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worksheets/sheet14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anaMateus\Desktop\Dissertação\Testes\"/>
    </mc:Choice>
  </mc:AlternateContent>
  <xr:revisionPtr revIDLastSave="0" documentId="8_{712C3555-AD5D-4836-9298-E4A8FBA67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etibilidade" sheetId="1" r:id="rId1"/>
    <sheet name="Métricas PICK_POSE" sheetId="2" r:id="rId2"/>
    <sheet name="Métricas TARGET_POSE" sheetId="3" r:id="rId3"/>
    <sheet name="Métricas IR_POSE" sheetId="4" r:id="rId4"/>
    <sheet name="Métricas IR_POSE TCP_CORRIGIDO" sheetId="5" r:id="rId5"/>
    <sheet name="Métricas GRIPPER" sheetId="6" r:id="rId6"/>
    <sheet name="Métricas TERMINAR_TAREFA" sheetId="7" r:id="rId7"/>
    <sheet name="Comparação Planners" sheetId="8" r:id="rId8"/>
    <sheet name="Robustez" sheetId="9" r:id="rId9"/>
    <sheet name="Segurança" sheetId="10" r:id="rId10"/>
    <sheet name="Resumo" sheetId="11" r:id="rId11"/>
    <sheet name="Dados Análise" sheetId="12" r:id="rId12"/>
    <sheet name="Análise Estatística" sheetId="13" r:id="rId13"/>
    <sheet xmlns:r="http://schemas.openxmlformats.org/officeDocument/2006/relationships" name="Gráficos Cap. 5" sheetId="14" r:id="rIdGraficosCap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3" l="1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11" i="13"/>
  <c r="L3" i="7"/>
  <c r="T2" i="12"/>
  <c r="AC3" i="7"/>
  <c r="T3" i="12"/>
  <c r="L4" i="7"/>
  <c r="T4" i="12"/>
  <c r="AC4" i="7"/>
  <c r="T5" i="12"/>
  <c r="L5" i="7"/>
  <c r="T6" i="12"/>
  <c r="AC5" i="7"/>
  <c r="T7" i="12"/>
  <c r="L6" i="7"/>
  <c r="T8" i="12"/>
  <c r="AC6" i="7"/>
  <c r="T9" i="12"/>
  <c r="L7" i="7"/>
  <c r="T10" i="12"/>
  <c r="AC7" i="7"/>
  <c r="T11" i="12"/>
  <c r="L8" i="7"/>
  <c r="T12" i="12"/>
  <c r="AC8" i="7"/>
  <c r="T13" i="12"/>
  <c r="L9" i="7"/>
  <c r="T14" i="12"/>
  <c r="AC9" i="7"/>
  <c r="T15" i="12"/>
  <c r="L10" i="7"/>
  <c r="T16" i="12"/>
  <c r="AC10" i="7"/>
  <c r="T17" i="12"/>
  <c r="L11" i="7"/>
  <c r="T18" i="12"/>
  <c r="AC11" i="7"/>
  <c r="T19" i="12"/>
  <c r="L12" i="7"/>
  <c r="T20" i="12"/>
  <c r="AC12" i="7"/>
  <c r="T21" i="12"/>
  <c r="L16" i="7"/>
  <c r="T22" i="12"/>
  <c r="AC16" i="7"/>
  <c r="T23" i="12"/>
  <c r="L17" i="7"/>
  <c r="T24" i="12"/>
  <c r="AC17" i="7"/>
  <c r="T25" i="12"/>
  <c r="L18" i="7"/>
  <c r="T26" i="12"/>
  <c r="AC18" i="7"/>
  <c r="T27" i="12"/>
  <c r="L19" i="7"/>
  <c r="T28" i="12"/>
  <c r="AC19" i="7"/>
  <c r="T29" i="12"/>
  <c r="L20" i="7"/>
  <c r="T30" i="12"/>
  <c r="AC20" i="7"/>
  <c r="T31" i="12"/>
  <c r="L21" i="7"/>
  <c r="T32" i="12"/>
  <c r="AC21" i="7"/>
  <c r="T33" i="12"/>
  <c r="L22" i="7"/>
  <c r="T34" i="12"/>
  <c r="AC22" i="7"/>
  <c r="T35" i="12"/>
  <c r="L23" i="7"/>
  <c r="T36" i="12"/>
  <c r="AC23" i="7"/>
  <c r="T37" i="12"/>
  <c r="L24" i="7"/>
  <c r="T38" i="12"/>
  <c r="AC24" i="7"/>
  <c r="T39" i="12"/>
  <c r="L25" i="7"/>
  <c r="T40" i="12"/>
  <c r="AC25" i="7"/>
  <c r="T41" i="12"/>
  <c r="L29" i="7"/>
  <c r="T42" i="12"/>
  <c r="AC29" i="7"/>
  <c r="T43" i="12"/>
  <c r="L30" i="7"/>
  <c r="T44" i="12"/>
  <c r="AC30" i="7"/>
  <c r="T45" i="12"/>
  <c r="L31" i="7"/>
  <c r="T46" i="12"/>
  <c r="AC31" i="7"/>
  <c r="T47" i="12"/>
  <c r="L32" i="7"/>
  <c r="T48" i="12"/>
  <c r="AC32" i="7"/>
  <c r="T49" i="12"/>
  <c r="L33" i="7"/>
  <c r="T50" i="12"/>
  <c r="AC33" i="7"/>
  <c r="T51" i="12"/>
  <c r="L34" i="7"/>
  <c r="T52" i="12"/>
  <c r="AC34" i="7"/>
  <c r="T53" i="12"/>
  <c r="L35" i="7"/>
  <c r="T54" i="12"/>
  <c r="AC35" i="7"/>
  <c r="T55" i="12"/>
  <c r="L36" i="7"/>
  <c r="T56" i="12"/>
  <c r="AC36" i="7"/>
  <c r="T57" i="12"/>
  <c r="L37" i="7"/>
  <c r="T58" i="12"/>
  <c r="AC37" i="7"/>
  <c r="T59" i="12"/>
  <c r="L38" i="7"/>
  <c r="T60" i="12"/>
  <c r="AC38" i="7"/>
  <c r="T61" i="12"/>
  <c r="L42" i="7"/>
  <c r="T62" i="12"/>
  <c r="AC42" i="7"/>
  <c r="T63" i="12"/>
  <c r="L43" i="7"/>
  <c r="T64" i="12"/>
  <c r="AC43" i="7"/>
  <c r="T65" i="12"/>
  <c r="L44" i="7"/>
  <c r="T66" i="12"/>
  <c r="AC44" i="7"/>
  <c r="T67" i="12"/>
  <c r="L45" i="7"/>
  <c r="T68" i="12"/>
  <c r="AC45" i="7"/>
  <c r="T69" i="12"/>
  <c r="L46" i="7"/>
  <c r="T70" i="12"/>
  <c r="AC46" i="7"/>
  <c r="T71" i="12"/>
  <c r="L47" i="7"/>
  <c r="T72" i="12"/>
  <c r="AC47" i="7"/>
  <c r="T73" i="12"/>
  <c r="L48" i="7"/>
  <c r="T74" i="12"/>
  <c r="AC48" i="7"/>
  <c r="T75" i="12"/>
  <c r="L49" i="7"/>
  <c r="T76" i="12"/>
  <c r="AC49" i="7"/>
  <c r="T77" i="12"/>
  <c r="L50" i="7"/>
  <c r="T78" i="12"/>
  <c r="AC50" i="7"/>
  <c r="T79" i="12"/>
  <c r="L51" i="7"/>
  <c r="T80" i="12"/>
  <c r="AC51" i="7"/>
  <c r="T81" i="12"/>
  <c r="L55" i="7"/>
  <c r="T82" i="12"/>
  <c r="AC55" i="7"/>
  <c r="T83" i="12"/>
  <c r="L56" i="7"/>
  <c r="T84" i="12"/>
  <c r="AC56" i="7"/>
  <c r="T85" i="12"/>
  <c r="L57" i="7"/>
  <c r="T86" i="12"/>
  <c r="AC57" i="7"/>
  <c r="T87" i="12"/>
  <c r="L58" i="7"/>
  <c r="T88" i="12"/>
  <c r="AC58" i="7"/>
  <c r="T89" i="12"/>
  <c r="L59" i="7"/>
  <c r="T90" i="12"/>
  <c r="AC59" i="7"/>
  <c r="T91" i="12"/>
  <c r="L60" i="7"/>
  <c r="T92" i="12"/>
  <c r="AC60" i="7"/>
  <c r="T93" i="12"/>
  <c r="L61" i="7"/>
  <c r="T94" i="12"/>
  <c r="AC61" i="7"/>
  <c r="T95" i="12"/>
  <c r="L62" i="7"/>
  <c r="T96" i="12"/>
  <c r="AC62" i="7"/>
  <c r="T97" i="12"/>
  <c r="L63" i="7"/>
  <c r="T98" i="12"/>
  <c r="AC63" i="7"/>
  <c r="T99" i="12"/>
  <c r="L64" i="7"/>
  <c r="T100" i="12"/>
  <c r="AC64" i="7"/>
  <c r="T101" i="12"/>
  <c r="F39" i="13"/>
  <c r="E39" i="13"/>
  <c r="D39" i="13"/>
  <c r="C39" i="13"/>
  <c r="B39" i="13"/>
  <c r="S2" i="12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F38" i="13"/>
  <c r="E38" i="13"/>
  <c r="D38" i="13"/>
  <c r="C38" i="13"/>
  <c r="B38" i="13"/>
  <c r="R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F37" i="13"/>
  <c r="E37" i="13"/>
  <c r="D37" i="13"/>
  <c r="C37" i="13"/>
  <c r="B37" i="13"/>
  <c r="L4" i="5"/>
  <c r="N4" i="5"/>
  <c r="P4" i="5"/>
  <c r="R4" i="5"/>
  <c r="Q2" i="12"/>
  <c r="L5" i="5"/>
  <c r="N5" i="5"/>
  <c r="P5" i="5"/>
  <c r="R5" i="5"/>
  <c r="Q3" i="12"/>
  <c r="L6" i="5"/>
  <c r="N6" i="5"/>
  <c r="P6" i="5"/>
  <c r="R6" i="5"/>
  <c r="Q4" i="12"/>
  <c r="L7" i="5"/>
  <c r="N7" i="5"/>
  <c r="P7" i="5"/>
  <c r="R7" i="5"/>
  <c r="Q5" i="12"/>
  <c r="L8" i="5"/>
  <c r="N8" i="5"/>
  <c r="P8" i="5"/>
  <c r="R8" i="5"/>
  <c r="Q6" i="12"/>
  <c r="L9" i="5"/>
  <c r="N9" i="5"/>
  <c r="P9" i="5"/>
  <c r="R9" i="5"/>
  <c r="Q7" i="12"/>
  <c r="L10" i="5"/>
  <c r="N10" i="5"/>
  <c r="P10" i="5"/>
  <c r="R10" i="5"/>
  <c r="Q8" i="12"/>
  <c r="L11" i="5"/>
  <c r="N11" i="5"/>
  <c r="P11" i="5"/>
  <c r="R11" i="5"/>
  <c r="Q9" i="12"/>
  <c r="L12" i="5"/>
  <c r="N12" i="5"/>
  <c r="P12" i="5"/>
  <c r="R12" i="5"/>
  <c r="Q10" i="12"/>
  <c r="L13" i="5"/>
  <c r="N13" i="5"/>
  <c r="P13" i="5"/>
  <c r="R13" i="5"/>
  <c r="Q11" i="12"/>
  <c r="L14" i="5"/>
  <c r="N14" i="5"/>
  <c r="P14" i="5"/>
  <c r="R14" i="5"/>
  <c r="Q12" i="12"/>
  <c r="L15" i="5"/>
  <c r="N15" i="5"/>
  <c r="P15" i="5"/>
  <c r="R15" i="5"/>
  <c r="Q13" i="12"/>
  <c r="L16" i="5"/>
  <c r="N16" i="5"/>
  <c r="P16" i="5"/>
  <c r="R16" i="5"/>
  <c r="Q14" i="12"/>
  <c r="L17" i="5"/>
  <c r="N17" i="5"/>
  <c r="P17" i="5"/>
  <c r="R17" i="5"/>
  <c r="Q15" i="12"/>
  <c r="L18" i="5"/>
  <c r="N18" i="5"/>
  <c r="P18" i="5"/>
  <c r="R18" i="5"/>
  <c r="Q16" i="12"/>
  <c r="L19" i="5"/>
  <c r="N19" i="5"/>
  <c r="P19" i="5"/>
  <c r="R19" i="5"/>
  <c r="Q17" i="12"/>
  <c r="L20" i="5"/>
  <c r="N20" i="5"/>
  <c r="P20" i="5"/>
  <c r="R20" i="5"/>
  <c r="Q18" i="12"/>
  <c r="L21" i="5"/>
  <c r="N21" i="5"/>
  <c r="P21" i="5"/>
  <c r="R21" i="5"/>
  <c r="Q19" i="12"/>
  <c r="L22" i="5"/>
  <c r="N22" i="5"/>
  <c r="P22" i="5"/>
  <c r="R22" i="5"/>
  <c r="Q20" i="12"/>
  <c r="L23" i="5"/>
  <c r="N23" i="5"/>
  <c r="P23" i="5"/>
  <c r="R23" i="5"/>
  <c r="Q21" i="12"/>
  <c r="Q22" i="12"/>
  <c r="L28" i="5"/>
  <c r="N28" i="5"/>
  <c r="P28" i="5"/>
  <c r="R28" i="5"/>
  <c r="Q23" i="12"/>
  <c r="L29" i="5"/>
  <c r="N29" i="5"/>
  <c r="P29" i="5"/>
  <c r="R29" i="5"/>
  <c r="Q24" i="12"/>
  <c r="L30" i="5"/>
  <c r="N30" i="5"/>
  <c r="P30" i="5"/>
  <c r="R30" i="5"/>
  <c r="Q25" i="12"/>
  <c r="L31" i="5"/>
  <c r="N31" i="5"/>
  <c r="P31" i="5"/>
  <c r="R31" i="5"/>
  <c r="Q26" i="12"/>
  <c r="L32" i="5"/>
  <c r="N32" i="5"/>
  <c r="P32" i="5"/>
  <c r="R32" i="5"/>
  <c r="Q27" i="12"/>
  <c r="L33" i="5"/>
  <c r="N33" i="5"/>
  <c r="P33" i="5"/>
  <c r="R33" i="5"/>
  <c r="Q28" i="12"/>
  <c r="L34" i="5"/>
  <c r="N34" i="5"/>
  <c r="P34" i="5"/>
  <c r="R34" i="5"/>
  <c r="Q29" i="12"/>
  <c r="L35" i="5"/>
  <c r="N35" i="5"/>
  <c r="P35" i="5"/>
  <c r="R35" i="5"/>
  <c r="Q30" i="12"/>
  <c r="L36" i="5"/>
  <c r="N36" i="5"/>
  <c r="P36" i="5"/>
  <c r="R36" i="5"/>
  <c r="Q31" i="12"/>
  <c r="L37" i="5"/>
  <c r="N37" i="5"/>
  <c r="P37" i="5"/>
  <c r="R37" i="5"/>
  <c r="Q32" i="12"/>
  <c r="L38" i="5"/>
  <c r="N38" i="5"/>
  <c r="P38" i="5"/>
  <c r="R38" i="5"/>
  <c r="Q33" i="12"/>
  <c r="L39" i="5"/>
  <c r="N39" i="5"/>
  <c r="P39" i="5"/>
  <c r="R39" i="5"/>
  <c r="Q34" i="12"/>
  <c r="L40" i="5"/>
  <c r="N40" i="5"/>
  <c r="P40" i="5"/>
  <c r="R40" i="5"/>
  <c r="Q35" i="12"/>
  <c r="L41" i="5"/>
  <c r="N41" i="5"/>
  <c r="P41" i="5"/>
  <c r="R41" i="5"/>
  <c r="Q36" i="12"/>
  <c r="L42" i="5"/>
  <c r="N42" i="5"/>
  <c r="P42" i="5"/>
  <c r="R42" i="5"/>
  <c r="Q37" i="12"/>
  <c r="L43" i="5"/>
  <c r="N43" i="5"/>
  <c r="P43" i="5"/>
  <c r="R43" i="5"/>
  <c r="Q38" i="12"/>
  <c r="L44" i="5"/>
  <c r="N44" i="5"/>
  <c r="P44" i="5"/>
  <c r="R44" i="5"/>
  <c r="Q39" i="12"/>
  <c r="L45" i="5"/>
  <c r="N45" i="5"/>
  <c r="P45" i="5"/>
  <c r="R45" i="5"/>
  <c r="Q40" i="12"/>
  <c r="L46" i="5"/>
  <c r="N46" i="5"/>
  <c r="P46" i="5"/>
  <c r="R46" i="5"/>
  <c r="Q41" i="12"/>
  <c r="L50" i="5"/>
  <c r="N50" i="5"/>
  <c r="P50" i="5"/>
  <c r="R50" i="5"/>
  <c r="Q42" i="12"/>
  <c r="L51" i="5"/>
  <c r="N51" i="5"/>
  <c r="P51" i="5"/>
  <c r="R51" i="5"/>
  <c r="Q43" i="12"/>
  <c r="L52" i="5"/>
  <c r="N52" i="5"/>
  <c r="P52" i="5"/>
  <c r="R52" i="5"/>
  <c r="Q44" i="12"/>
  <c r="L53" i="5"/>
  <c r="N53" i="5"/>
  <c r="P53" i="5"/>
  <c r="R53" i="5"/>
  <c r="Q45" i="12"/>
  <c r="L54" i="5"/>
  <c r="N54" i="5"/>
  <c r="P54" i="5"/>
  <c r="R54" i="5"/>
  <c r="Q46" i="12"/>
  <c r="L55" i="5"/>
  <c r="N55" i="5"/>
  <c r="P55" i="5"/>
  <c r="R55" i="5"/>
  <c r="Q47" i="12"/>
  <c r="L56" i="5"/>
  <c r="N56" i="5"/>
  <c r="P56" i="5"/>
  <c r="R56" i="5"/>
  <c r="Q48" i="12"/>
  <c r="L57" i="5"/>
  <c r="N57" i="5"/>
  <c r="P57" i="5"/>
  <c r="R57" i="5"/>
  <c r="Q49" i="12"/>
  <c r="L58" i="5"/>
  <c r="N58" i="5"/>
  <c r="P58" i="5"/>
  <c r="R58" i="5"/>
  <c r="Q50" i="12"/>
  <c r="L59" i="5"/>
  <c r="N59" i="5"/>
  <c r="P59" i="5"/>
  <c r="R59" i="5"/>
  <c r="Q51" i="12"/>
  <c r="L60" i="5"/>
  <c r="N60" i="5"/>
  <c r="P60" i="5"/>
  <c r="R60" i="5"/>
  <c r="Q52" i="12"/>
  <c r="L61" i="5"/>
  <c r="N61" i="5"/>
  <c r="P61" i="5"/>
  <c r="R61" i="5"/>
  <c r="Q53" i="12"/>
  <c r="L62" i="5"/>
  <c r="N62" i="5"/>
  <c r="P62" i="5"/>
  <c r="R62" i="5"/>
  <c r="Q54" i="12"/>
  <c r="L63" i="5"/>
  <c r="N63" i="5"/>
  <c r="P63" i="5"/>
  <c r="R63" i="5"/>
  <c r="Q55" i="12"/>
  <c r="L64" i="5"/>
  <c r="N64" i="5"/>
  <c r="P64" i="5"/>
  <c r="R64" i="5"/>
  <c r="Q56" i="12"/>
  <c r="L65" i="5"/>
  <c r="N65" i="5"/>
  <c r="P65" i="5"/>
  <c r="R65" i="5"/>
  <c r="Q57" i="12"/>
  <c r="L66" i="5"/>
  <c r="N66" i="5"/>
  <c r="P66" i="5"/>
  <c r="R66" i="5"/>
  <c r="Q58" i="12"/>
  <c r="L67" i="5"/>
  <c r="N67" i="5"/>
  <c r="P67" i="5"/>
  <c r="R67" i="5"/>
  <c r="Q59" i="12"/>
  <c r="L68" i="5"/>
  <c r="N68" i="5"/>
  <c r="P68" i="5"/>
  <c r="R68" i="5"/>
  <c r="Q60" i="12"/>
  <c r="L69" i="5"/>
  <c r="N69" i="5"/>
  <c r="P69" i="5"/>
  <c r="R69" i="5"/>
  <c r="Q61" i="12"/>
  <c r="L73" i="5"/>
  <c r="N73" i="5"/>
  <c r="P73" i="5"/>
  <c r="R73" i="5"/>
  <c r="Q62" i="12"/>
  <c r="L74" i="5"/>
  <c r="N74" i="5"/>
  <c r="P74" i="5"/>
  <c r="R74" i="5"/>
  <c r="Q63" i="12"/>
  <c r="L75" i="5"/>
  <c r="N75" i="5"/>
  <c r="P75" i="5"/>
  <c r="R75" i="5"/>
  <c r="Q64" i="12"/>
  <c r="L76" i="5"/>
  <c r="N76" i="5"/>
  <c r="P76" i="5"/>
  <c r="R76" i="5"/>
  <c r="Q65" i="12"/>
  <c r="L77" i="5"/>
  <c r="N77" i="5"/>
  <c r="P77" i="5"/>
  <c r="R77" i="5"/>
  <c r="Q66" i="12"/>
  <c r="L78" i="5"/>
  <c r="N78" i="5"/>
  <c r="P78" i="5"/>
  <c r="R78" i="5"/>
  <c r="Q67" i="12"/>
  <c r="L79" i="5"/>
  <c r="N79" i="5"/>
  <c r="P79" i="5"/>
  <c r="R79" i="5"/>
  <c r="Q68" i="12"/>
  <c r="L80" i="5"/>
  <c r="N80" i="5"/>
  <c r="P80" i="5"/>
  <c r="R80" i="5"/>
  <c r="Q69" i="12"/>
  <c r="L81" i="5"/>
  <c r="N81" i="5"/>
  <c r="P81" i="5"/>
  <c r="R81" i="5"/>
  <c r="Q70" i="12"/>
  <c r="L82" i="5"/>
  <c r="N82" i="5"/>
  <c r="P82" i="5"/>
  <c r="R82" i="5"/>
  <c r="Q71" i="12"/>
  <c r="L83" i="5"/>
  <c r="N83" i="5"/>
  <c r="P83" i="5"/>
  <c r="R83" i="5"/>
  <c r="Q72" i="12"/>
  <c r="L84" i="5"/>
  <c r="N84" i="5"/>
  <c r="P84" i="5"/>
  <c r="R84" i="5"/>
  <c r="Q73" i="12"/>
  <c r="L85" i="5"/>
  <c r="N85" i="5"/>
  <c r="P85" i="5"/>
  <c r="R85" i="5"/>
  <c r="Q74" i="12"/>
  <c r="L86" i="5"/>
  <c r="N86" i="5"/>
  <c r="P86" i="5"/>
  <c r="R86" i="5"/>
  <c r="Q75" i="12"/>
  <c r="L87" i="5"/>
  <c r="N87" i="5"/>
  <c r="P87" i="5"/>
  <c r="R87" i="5"/>
  <c r="Q76" i="12"/>
  <c r="L88" i="5"/>
  <c r="N88" i="5"/>
  <c r="P88" i="5"/>
  <c r="R88" i="5"/>
  <c r="Q77" i="12"/>
  <c r="L89" i="5"/>
  <c r="N89" i="5"/>
  <c r="P89" i="5"/>
  <c r="R89" i="5"/>
  <c r="Q78" i="12"/>
  <c r="L90" i="5"/>
  <c r="N90" i="5"/>
  <c r="P90" i="5"/>
  <c r="R90" i="5"/>
  <c r="Q79" i="12"/>
  <c r="L91" i="5"/>
  <c r="N91" i="5"/>
  <c r="P91" i="5"/>
  <c r="R91" i="5"/>
  <c r="Q80" i="12"/>
  <c r="L92" i="5"/>
  <c r="N92" i="5"/>
  <c r="P92" i="5"/>
  <c r="R92" i="5"/>
  <c r="Q81" i="12"/>
  <c r="L96" i="5"/>
  <c r="N96" i="5"/>
  <c r="P96" i="5"/>
  <c r="R96" i="5"/>
  <c r="Q82" i="12"/>
  <c r="L97" i="5"/>
  <c r="N97" i="5"/>
  <c r="P97" i="5"/>
  <c r="R97" i="5"/>
  <c r="Q83" i="12"/>
  <c r="L98" i="5"/>
  <c r="N98" i="5"/>
  <c r="P98" i="5"/>
  <c r="R98" i="5"/>
  <c r="Q84" i="12"/>
  <c r="L99" i="5"/>
  <c r="N99" i="5"/>
  <c r="P99" i="5"/>
  <c r="R99" i="5"/>
  <c r="Q85" i="12"/>
  <c r="L100" i="5"/>
  <c r="N100" i="5"/>
  <c r="P100" i="5"/>
  <c r="R100" i="5"/>
  <c r="Q86" i="12"/>
  <c r="L101" i="5"/>
  <c r="N101" i="5"/>
  <c r="P101" i="5"/>
  <c r="R101" i="5"/>
  <c r="Q87" i="12"/>
  <c r="L102" i="5"/>
  <c r="N102" i="5"/>
  <c r="P102" i="5"/>
  <c r="R102" i="5"/>
  <c r="Q88" i="12"/>
  <c r="L103" i="5"/>
  <c r="N103" i="5"/>
  <c r="P103" i="5"/>
  <c r="R103" i="5"/>
  <c r="Q89" i="12"/>
  <c r="L104" i="5"/>
  <c r="N104" i="5"/>
  <c r="P104" i="5"/>
  <c r="R104" i="5"/>
  <c r="Q90" i="12"/>
  <c r="L105" i="5"/>
  <c r="N105" i="5"/>
  <c r="P105" i="5"/>
  <c r="R105" i="5"/>
  <c r="Q91" i="12"/>
  <c r="L106" i="5"/>
  <c r="N106" i="5"/>
  <c r="P106" i="5"/>
  <c r="R106" i="5"/>
  <c r="Q92" i="12"/>
  <c r="L107" i="5"/>
  <c r="N107" i="5"/>
  <c r="P107" i="5"/>
  <c r="R107" i="5"/>
  <c r="Q93" i="12"/>
  <c r="L108" i="5"/>
  <c r="N108" i="5"/>
  <c r="P108" i="5"/>
  <c r="R108" i="5"/>
  <c r="Q94" i="12"/>
  <c r="L109" i="5"/>
  <c r="N109" i="5"/>
  <c r="P109" i="5"/>
  <c r="R109" i="5"/>
  <c r="Q95" i="12"/>
  <c r="L110" i="5"/>
  <c r="N110" i="5"/>
  <c r="P110" i="5"/>
  <c r="R110" i="5"/>
  <c r="Q96" i="12"/>
  <c r="L111" i="5"/>
  <c r="N111" i="5"/>
  <c r="P111" i="5"/>
  <c r="R111" i="5"/>
  <c r="Q97" i="12"/>
  <c r="L112" i="5"/>
  <c r="N112" i="5"/>
  <c r="P112" i="5"/>
  <c r="R112" i="5"/>
  <c r="Q98" i="12"/>
  <c r="L113" i="5"/>
  <c r="N113" i="5"/>
  <c r="P113" i="5"/>
  <c r="R113" i="5"/>
  <c r="Q99" i="12"/>
  <c r="L114" i="5"/>
  <c r="N114" i="5"/>
  <c r="P114" i="5"/>
  <c r="R114" i="5"/>
  <c r="Q100" i="12"/>
  <c r="L115" i="5"/>
  <c r="N115" i="5"/>
  <c r="P115" i="5"/>
  <c r="R115" i="5"/>
  <c r="Q101" i="12"/>
  <c r="L119" i="5"/>
  <c r="N119" i="5"/>
  <c r="P119" i="5"/>
  <c r="R119" i="5"/>
  <c r="Q102" i="12"/>
  <c r="L120" i="5"/>
  <c r="N120" i="5"/>
  <c r="P120" i="5"/>
  <c r="R120" i="5"/>
  <c r="Q103" i="12"/>
  <c r="L121" i="5"/>
  <c r="N121" i="5"/>
  <c r="P121" i="5"/>
  <c r="R121" i="5"/>
  <c r="Q104" i="12"/>
  <c r="L122" i="5"/>
  <c r="N122" i="5"/>
  <c r="P122" i="5"/>
  <c r="R122" i="5"/>
  <c r="Q105" i="12"/>
  <c r="L123" i="5"/>
  <c r="N123" i="5"/>
  <c r="P123" i="5"/>
  <c r="R123" i="5"/>
  <c r="Q106" i="12"/>
  <c r="L124" i="5"/>
  <c r="N124" i="5"/>
  <c r="P124" i="5"/>
  <c r="R124" i="5"/>
  <c r="Q107" i="12"/>
  <c r="L125" i="5"/>
  <c r="N125" i="5"/>
  <c r="P125" i="5"/>
  <c r="R125" i="5"/>
  <c r="Q108" i="12"/>
  <c r="L126" i="5"/>
  <c r="N126" i="5"/>
  <c r="P126" i="5"/>
  <c r="R126" i="5"/>
  <c r="Q109" i="12"/>
  <c r="L127" i="5"/>
  <c r="N127" i="5"/>
  <c r="P127" i="5"/>
  <c r="R127" i="5"/>
  <c r="Q110" i="12"/>
  <c r="L128" i="5"/>
  <c r="N128" i="5"/>
  <c r="P128" i="5"/>
  <c r="R128" i="5"/>
  <c r="Q111" i="12"/>
  <c r="L129" i="5"/>
  <c r="N129" i="5"/>
  <c r="P129" i="5"/>
  <c r="R129" i="5"/>
  <c r="Q112" i="12"/>
  <c r="L130" i="5"/>
  <c r="N130" i="5"/>
  <c r="P130" i="5"/>
  <c r="R130" i="5"/>
  <c r="Q113" i="12"/>
  <c r="L131" i="5"/>
  <c r="N131" i="5"/>
  <c r="P131" i="5"/>
  <c r="R131" i="5"/>
  <c r="Q114" i="12"/>
  <c r="L132" i="5"/>
  <c r="N132" i="5"/>
  <c r="P132" i="5"/>
  <c r="R132" i="5"/>
  <c r="Q115" i="12"/>
  <c r="L133" i="5"/>
  <c r="N133" i="5"/>
  <c r="P133" i="5"/>
  <c r="R133" i="5"/>
  <c r="Q116" i="12"/>
  <c r="L134" i="5"/>
  <c r="N134" i="5"/>
  <c r="P134" i="5"/>
  <c r="R134" i="5"/>
  <c r="Q117" i="12"/>
  <c r="L135" i="5"/>
  <c r="N135" i="5"/>
  <c r="P135" i="5"/>
  <c r="R135" i="5"/>
  <c r="Q118" i="12"/>
  <c r="L136" i="5"/>
  <c r="N136" i="5"/>
  <c r="P136" i="5"/>
  <c r="R136" i="5"/>
  <c r="Q119" i="12"/>
  <c r="L137" i="5"/>
  <c r="N137" i="5"/>
  <c r="P137" i="5"/>
  <c r="R137" i="5"/>
  <c r="Q120" i="12"/>
  <c r="L138" i="5"/>
  <c r="N138" i="5"/>
  <c r="P138" i="5"/>
  <c r="R138" i="5"/>
  <c r="Q121" i="12"/>
  <c r="L142" i="5"/>
  <c r="N142" i="5"/>
  <c r="P142" i="5"/>
  <c r="R142" i="5"/>
  <c r="Q122" i="12"/>
  <c r="L143" i="5"/>
  <c r="N143" i="5"/>
  <c r="P143" i="5"/>
  <c r="R143" i="5"/>
  <c r="Q123" i="12"/>
  <c r="L144" i="5"/>
  <c r="N144" i="5"/>
  <c r="P144" i="5"/>
  <c r="R144" i="5"/>
  <c r="Q124" i="12"/>
  <c r="L145" i="5"/>
  <c r="N145" i="5"/>
  <c r="P145" i="5"/>
  <c r="R145" i="5"/>
  <c r="Q125" i="12"/>
  <c r="L146" i="5"/>
  <c r="N146" i="5"/>
  <c r="P146" i="5"/>
  <c r="R146" i="5"/>
  <c r="Q126" i="12"/>
  <c r="L147" i="5"/>
  <c r="N147" i="5"/>
  <c r="P147" i="5"/>
  <c r="R147" i="5"/>
  <c r="Q127" i="12"/>
  <c r="L148" i="5"/>
  <c r="N148" i="5"/>
  <c r="P148" i="5"/>
  <c r="R148" i="5"/>
  <c r="Q128" i="12"/>
  <c r="L149" i="5"/>
  <c r="N149" i="5"/>
  <c r="P149" i="5"/>
  <c r="R149" i="5"/>
  <c r="Q129" i="12"/>
  <c r="L150" i="5"/>
  <c r="N150" i="5"/>
  <c r="P150" i="5"/>
  <c r="R150" i="5"/>
  <c r="Q130" i="12"/>
  <c r="L151" i="5"/>
  <c r="N151" i="5"/>
  <c r="P151" i="5"/>
  <c r="R151" i="5"/>
  <c r="Q131" i="12"/>
  <c r="L152" i="5"/>
  <c r="N152" i="5"/>
  <c r="P152" i="5"/>
  <c r="R152" i="5"/>
  <c r="Q132" i="12"/>
  <c r="L153" i="5"/>
  <c r="N153" i="5"/>
  <c r="P153" i="5"/>
  <c r="R153" i="5"/>
  <c r="Q133" i="12"/>
  <c r="L154" i="5"/>
  <c r="N154" i="5"/>
  <c r="P154" i="5"/>
  <c r="R154" i="5"/>
  <c r="Q134" i="12"/>
  <c r="L155" i="5"/>
  <c r="N155" i="5"/>
  <c r="P155" i="5"/>
  <c r="R155" i="5"/>
  <c r="Q135" i="12"/>
  <c r="L156" i="5"/>
  <c r="N156" i="5"/>
  <c r="P156" i="5"/>
  <c r="R156" i="5"/>
  <c r="Q136" i="12"/>
  <c r="L157" i="5"/>
  <c r="N157" i="5"/>
  <c r="P157" i="5"/>
  <c r="R157" i="5"/>
  <c r="Q137" i="12"/>
  <c r="L158" i="5"/>
  <c r="N158" i="5"/>
  <c r="P158" i="5"/>
  <c r="R158" i="5"/>
  <c r="Q138" i="12"/>
  <c r="L159" i="5"/>
  <c r="N159" i="5"/>
  <c r="P159" i="5"/>
  <c r="R159" i="5"/>
  <c r="Q139" i="12"/>
  <c r="L160" i="5"/>
  <c r="N160" i="5"/>
  <c r="P160" i="5"/>
  <c r="R160" i="5"/>
  <c r="Q140" i="12"/>
  <c r="L161" i="5"/>
  <c r="N161" i="5"/>
  <c r="P161" i="5"/>
  <c r="R161" i="5"/>
  <c r="Q141" i="12"/>
  <c r="L165" i="5"/>
  <c r="N165" i="5"/>
  <c r="P165" i="5"/>
  <c r="R165" i="5"/>
  <c r="Q142" i="12"/>
  <c r="L166" i="5"/>
  <c r="N166" i="5"/>
  <c r="P166" i="5"/>
  <c r="R166" i="5"/>
  <c r="Q143" i="12"/>
  <c r="L167" i="5"/>
  <c r="N167" i="5"/>
  <c r="P167" i="5"/>
  <c r="R167" i="5"/>
  <c r="Q144" i="12"/>
  <c r="L168" i="5"/>
  <c r="N168" i="5"/>
  <c r="P168" i="5"/>
  <c r="R168" i="5"/>
  <c r="Q145" i="12"/>
  <c r="L169" i="5"/>
  <c r="N169" i="5"/>
  <c r="P169" i="5"/>
  <c r="R169" i="5"/>
  <c r="Q146" i="12"/>
  <c r="L170" i="5"/>
  <c r="N170" i="5"/>
  <c r="P170" i="5"/>
  <c r="R170" i="5"/>
  <c r="Q147" i="12"/>
  <c r="L171" i="5"/>
  <c r="N171" i="5"/>
  <c r="P171" i="5"/>
  <c r="R171" i="5"/>
  <c r="Q148" i="12"/>
  <c r="L172" i="5"/>
  <c r="N172" i="5"/>
  <c r="P172" i="5"/>
  <c r="R172" i="5"/>
  <c r="Q149" i="12"/>
  <c r="L173" i="5"/>
  <c r="N173" i="5"/>
  <c r="P173" i="5"/>
  <c r="R173" i="5"/>
  <c r="Q150" i="12"/>
  <c r="L174" i="5"/>
  <c r="N174" i="5"/>
  <c r="P174" i="5"/>
  <c r="R174" i="5"/>
  <c r="Q151" i="12"/>
  <c r="L175" i="5"/>
  <c r="N175" i="5"/>
  <c r="P175" i="5"/>
  <c r="R175" i="5"/>
  <c r="Q152" i="12"/>
  <c r="L176" i="5"/>
  <c r="N176" i="5"/>
  <c r="P176" i="5"/>
  <c r="R176" i="5"/>
  <c r="Q153" i="12"/>
  <c r="L177" i="5"/>
  <c r="N177" i="5"/>
  <c r="P177" i="5"/>
  <c r="R177" i="5"/>
  <c r="Q154" i="12"/>
  <c r="L178" i="5"/>
  <c r="N178" i="5"/>
  <c r="P178" i="5"/>
  <c r="R178" i="5"/>
  <c r="Q155" i="12"/>
  <c r="L179" i="5"/>
  <c r="N179" i="5"/>
  <c r="P179" i="5"/>
  <c r="R179" i="5"/>
  <c r="Q156" i="12"/>
  <c r="L180" i="5"/>
  <c r="N180" i="5"/>
  <c r="P180" i="5"/>
  <c r="R180" i="5"/>
  <c r="Q157" i="12"/>
  <c r="L181" i="5"/>
  <c r="N181" i="5"/>
  <c r="P181" i="5"/>
  <c r="R181" i="5"/>
  <c r="Q158" i="12"/>
  <c r="L182" i="5"/>
  <c r="N182" i="5"/>
  <c r="P182" i="5"/>
  <c r="R182" i="5"/>
  <c r="Q159" i="12"/>
  <c r="L183" i="5"/>
  <c r="N183" i="5"/>
  <c r="P183" i="5"/>
  <c r="R183" i="5"/>
  <c r="Q160" i="12"/>
  <c r="L184" i="5"/>
  <c r="N184" i="5"/>
  <c r="P184" i="5"/>
  <c r="R184" i="5"/>
  <c r="Q161" i="12"/>
  <c r="L188" i="5"/>
  <c r="N188" i="5"/>
  <c r="P188" i="5"/>
  <c r="R188" i="5"/>
  <c r="Q162" i="12"/>
  <c r="L189" i="5"/>
  <c r="N189" i="5"/>
  <c r="P189" i="5"/>
  <c r="R189" i="5"/>
  <c r="Q163" i="12"/>
  <c r="L190" i="5"/>
  <c r="N190" i="5"/>
  <c r="P190" i="5"/>
  <c r="R190" i="5"/>
  <c r="Q164" i="12"/>
  <c r="L191" i="5"/>
  <c r="N191" i="5"/>
  <c r="P191" i="5"/>
  <c r="R191" i="5"/>
  <c r="Q165" i="12"/>
  <c r="L192" i="5"/>
  <c r="N192" i="5"/>
  <c r="P192" i="5"/>
  <c r="R192" i="5"/>
  <c r="Q166" i="12"/>
  <c r="L193" i="5"/>
  <c r="N193" i="5"/>
  <c r="P193" i="5"/>
  <c r="R193" i="5"/>
  <c r="Q167" i="12"/>
  <c r="L194" i="5"/>
  <c r="N194" i="5"/>
  <c r="P194" i="5"/>
  <c r="R194" i="5"/>
  <c r="Q168" i="12"/>
  <c r="L195" i="5"/>
  <c r="N195" i="5"/>
  <c r="P195" i="5"/>
  <c r="R195" i="5"/>
  <c r="Q169" i="12"/>
  <c r="L196" i="5"/>
  <c r="N196" i="5"/>
  <c r="P196" i="5"/>
  <c r="R196" i="5"/>
  <c r="Q170" i="12"/>
  <c r="L197" i="5"/>
  <c r="N197" i="5"/>
  <c r="P197" i="5"/>
  <c r="R197" i="5"/>
  <c r="Q171" i="12"/>
  <c r="L198" i="5"/>
  <c r="N198" i="5"/>
  <c r="P198" i="5"/>
  <c r="R198" i="5"/>
  <c r="Q172" i="12"/>
  <c r="L199" i="5"/>
  <c r="N199" i="5"/>
  <c r="P199" i="5"/>
  <c r="R199" i="5"/>
  <c r="Q173" i="12"/>
  <c r="L200" i="5"/>
  <c r="N200" i="5"/>
  <c r="P200" i="5"/>
  <c r="R200" i="5"/>
  <c r="Q174" i="12"/>
  <c r="L201" i="5"/>
  <c r="N201" i="5"/>
  <c r="P201" i="5"/>
  <c r="R201" i="5"/>
  <c r="Q175" i="12"/>
  <c r="L202" i="5"/>
  <c r="N202" i="5"/>
  <c r="P202" i="5"/>
  <c r="R202" i="5"/>
  <c r="Q176" i="12"/>
  <c r="L203" i="5"/>
  <c r="N203" i="5"/>
  <c r="P203" i="5"/>
  <c r="R203" i="5"/>
  <c r="Q177" i="12"/>
  <c r="L204" i="5"/>
  <c r="N204" i="5"/>
  <c r="P204" i="5"/>
  <c r="R204" i="5"/>
  <c r="Q178" i="12"/>
  <c r="L205" i="5"/>
  <c r="N205" i="5"/>
  <c r="P205" i="5"/>
  <c r="R205" i="5"/>
  <c r="Q179" i="12"/>
  <c r="L206" i="5"/>
  <c r="N206" i="5"/>
  <c r="P206" i="5"/>
  <c r="R206" i="5"/>
  <c r="Q180" i="12"/>
  <c r="L207" i="5"/>
  <c r="N207" i="5"/>
  <c r="P207" i="5"/>
  <c r="R207" i="5"/>
  <c r="Q181" i="12"/>
  <c r="L211" i="5"/>
  <c r="N211" i="5"/>
  <c r="P211" i="5"/>
  <c r="R211" i="5"/>
  <c r="Q182" i="12"/>
  <c r="L212" i="5"/>
  <c r="N212" i="5"/>
  <c r="P212" i="5"/>
  <c r="R212" i="5"/>
  <c r="Q183" i="12"/>
  <c r="L213" i="5"/>
  <c r="N213" i="5"/>
  <c r="P213" i="5"/>
  <c r="R213" i="5"/>
  <c r="Q184" i="12"/>
  <c r="L214" i="5"/>
  <c r="N214" i="5"/>
  <c r="P214" i="5"/>
  <c r="R214" i="5"/>
  <c r="Q185" i="12"/>
  <c r="L215" i="5"/>
  <c r="N215" i="5"/>
  <c r="P215" i="5"/>
  <c r="R215" i="5"/>
  <c r="Q186" i="12"/>
  <c r="L216" i="5"/>
  <c r="N216" i="5"/>
  <c r="P216" i="5"/>
  <c r="R216" i="5"/>
  <c r="Q187" i="12"/>
  <c r="L217" i="5"/>
  <c r="N217" i="5"/>
  <c r="P217" i="5"/>
  <c r="R217" i="5"/>
  <c r="Q188" i="12"/>
  <c r="L218" i="5"/>
  <c r="N218" i="5"/>
  <c r="P218" i="5"/>
  <c r="R218" i="5"/>
  <c r="Q189" i="12"/>
  <c r="L219" i="5"/>
  <c r="N219" i="5"/>
  <c r="P219" i="5"/>
  <c r="R219" i="5"/>
  <c r="Q190" i="12"/>
  <c r="L220" i="5"/>
  <c r="N220" i="5"/>
  <c r="P220" i="5"/>
  <c r="R220" i="5"/>
  <c r="Q191" i="12"/>
  <c r="L221" i="5"/>
  <c r="N221" i="5"/>
  <c r="P221" i="5"/>
  <c r="R221" i="5"/>
  <c r="Q192" i="12"/>
  <c r="L222" i="5"/>
  <c r="N222" i="5"/>
  <c r="P222" i="5"/>
  <c r="R222" i="5"/>
  <c r="Q193" i="12"/>
  <c r="L223" i="5"/>
  <c r="N223" i="5"/>
  <c r="P223" i="5"/>
  <c r="R223" i="5"/>
  <c r="Q194" i="12"/>
  <c r="L224" i="5"/>
  <c r="N224" i="5"/>
  <c r="P224" i="5"/>
  <c r="R224" i="5"/>
  <c r="Q195" i="12"/>
  <c r="L225" i="5"/>
  <c r="N225" i="5"/>
  <c r="P225" i="5"/>
  <c r="R225" i="5"/>
  <c r="Q196" i="12"/>
  <c r="L226" i="5"/>
  <c r="N226" i="5"/>
  <c r="P226" i="5"/>
  <c r="R226" i="5"/>
  <c r="Q197" i="12"/>
  <c r="L227" i="5"/>
  <c r="N227" i="5"/>
  <c r="P227" i="5"/>
  <c r="R227" i="5"/>
  <c r="Q198" i="12"/>
  <c r="L228" i="5"/>
  <c r="N228" i="5"/>
  <c r="P228" i="5"/>
  <c r="R228" i="5"/>
  <c r="Q199" i="12"/>
  <c r="L229" i="5"/>
  <c r="N229" i="5"/>
  <c r="P229" i="5"/>
  <c r="R229" i="5"/>
  <c r="Q200" i="12"/>
  <c r="L230" i="5"/>
  <c r="N230" i="5"/>
  <c r="P230" i="5"/>
  <c r="R230" i="5"/>
  <c r="Q201" i="12"/>
  <c r="F36" i="13"/>
  <c r="E36" i="13"/>
  <c r="D36" i="13"/>
  <c r="C36" i="13"/>
  <c r="B36" i="13"/>
  <c r="AD4" i="5"/>
  <c r="P2" i="12"/>
  <c r="AD5" i="5"/>
  <c r="P3" i="12"/>
  <c r="AD6" i="5"/>
  <c r="P4" i="12"/>
  <c r="AD7" i="5"/>
  <c r="P5" i="12"/>
  <c r="AD8" i="5"/>
  <c r="P6" i="12"/>
  <c r="AD9" i="5"/>
  <c r="P7" i="12"/>
  <c r="AD10" i="5"/>
  <c r="P8" i="12"/>
  <c r="AD11" i="5"/>
  <c r="P9" i="12"/>
  <c r="AD12" i="5"/>
  <c r="P10" i="12"/>
  <c r="AD13" i="5"/>
  <c r="P11" i="12"/>
  <c r="AD14" i="5"/>
  <c r="P12" i="12"/>
  <c r="AD15" i="5"/>
  <c r="P13" i="12"/>
  <c r="AD16" i="5"/>
  <c r="P14" i="12"/>
  <c r="AD17" i="5"/>
  <c r="P15" i="12"/>
  <c r="AD18" i="5"/>
  <c r="P16" i="12"/>
  <c r="AD19" i="5"/>
  <c r="P17" i="12"/>
  <c r="AD20" i="5"/>
  <c r="P18" i="12"/>
  <c r="AD21" i="5"/>
  <c r="P19" i="12"/>
  <c r="AD22" i="5"/>
  <c r="P20" i="12"/>
  <c r="AD23" i="5"/>
  <c r="P21" i="12"/>
  <c r="AD27" i="5"/>
  <c r="P22" i="12"/>
  <c r="AD28" i="5"/>
  <c r="P23" i="12"/>
  <c r="AD29" i="5"/>
  <c r="P24" i="12"/>
  <c r="AD30" i="5"/>
  <c r="P25" i="12"/>
  <c r="AD31" i="5"/>
  <c r="P26" i="12"/>
  <c r="AD32" i="5"/>
  <c r="P27" i="12"/>
  <c r="AD33" i="5"/>
  <c r="P28" i="12"/>
  <c r="AD34" i="5"/>
  <c r="P29" i="12"/>
  <c r="AD35" i="5"/>
  <c r="P30" i="12"/>
  <c r="AD36" i="5"/>
  <c r="P31" i="12"/>
  <c r="AD37" i="5"/>
  <c r="P32" i="12"/>
  <c r="AD38" i="5"/>
  <c r="P33" i="12"/>
  <c r="AD39" i="5"/>
  <c r="P34" i="12"/>
  <c r="AD40" i="5"/>
  <c r="P35" i="12"/>
  <c r="AD41" i="5"/>
  <c r="P36" i="12"/>
  <c r="AD42" i="5"/>
  <c r="P37" i="12"/>
  <c r="AD43" i="5"/>
  <c r="P38" i="12"/>
  <c r="AD44" i="5"/>
  <c r="P39" i="12"/>
  <c r="AD45" i="5"/>
  <c r="P40" i="12"/>
  <c r="AD46" i="5"/>
  <c r="P41" i="12"/>
  <c r="AD50" i="5"/>
  <c r="P42" i="12"/>
  <c r="AD51" i="5"/>
  <c r="P43" i="12"/>
  <c r="AD52" i="5"/>
  <c r="P44" i="12"/>
  <c r="AD53" i="5"/>
  <c r="P45" i="12"/>
  <c r="AD54" i="5"/>
  <c r="P46" i="12"/>
  <c r="AD55" i="5"/>
  <c r="P47" i="12"/>
  <c r="AD56" i="5"/>
  <c r="P48" i="12"/>
  <c r="AD57" i="5"/>
  <c r="P49" i="12"/>
  <c r="AD58" i="5"/>
  <c r="P50" i="12"/>
  <c r="AD59" i="5"/>
  <c r="P51" i="12"/>
  <c r="AD60" i="5"/>
  <c r="P52" i="12"/>
  <c r="AD61" i="5"/>
  <c r="P53" i="12"/>
  <c r="AD62" i="5"/>
  <c r="P54" i="12"/>
  <c r="AD63" i="5"/>
  <c r="P55" i="12"/>
  <c r="AD64" i="5"/>
  <c r="P56" i="12"/>
  <c r="AD65" i="5"/>
  <c r="P57" i="12"/>
  <c r="AD66" i="5"/>
  <c r="P58" i="12"/>
  <c r="AD67" i="5"/>
  <c r="P59" i="12"/>
  <c r="AD68" i="5"/>
  <c r="P60" i="12"/>
  <c r="AD69" i="5"/>
  <c r="P61" i="12"/>
  <c r="AD73" i="5"/>
  <c r="P62" i="12"/>
  <c r="AD74" i="5"/>
  <c r="P63" i="12"/>
  <c r="AD75" i="5"/>
  <c r="P64" i="12"/>
  <c r="AD76" i="5"/>
  <c r="P65" i="12"/>
  <c r="AD77" i="5"/>
  <c r="P66" i="12"/>
  <c r="AD78" i="5"/>
  <c r="P67" i="12"/>
  <c r="AD79" i="5"/>
  <c r="P68" i="12"/>
  <c r="AD80" i="5"/>
  <c r="P69" i="12"/>
  <c r="AD81" i="5"/>
  <c r="P70" i="12"/>
  <c r="AD82" i="5"/>
  <c r="P71" i="12"/>
  <c r="AD83" i="5"/>
  <c r="P72" i="12"/>
  <c r="AD84" i="5"/>
  <c r="P73" i="12"/>
  <c r="AD85" i="5"/>
  <c r="P74" i="12"/>
  <c r="AD86" i="5"/>
  <c r="P75" i="12"/>
  <c r="AD87" i="5"/>
  <c r="P76" i="12"/>
  <c r="AD88" i="5"/>
  <c r="P77" i="12"/>
  <c r="AD89" i="5"/>
  <c r="P78" i="12"/>
  <c r="AD90" i="5"/>
  <c r="P79" i="12"/>
  <c r="AD91" i="5"/>
  <c r="P80" i="12"/>
  <c r="AD92" i="5"/>
  <c r="P81" i="12"/>
  <c r="AD96" i="5"/>
  <c r="P82" i="12"/>
  <c r="AD97" i="5"/>
  <c r="P83" i="12"/>
  <c r="AD98" i="5"/>
  <c r="P84" i="12"/>
  <c r="AD99" i="5"/>
  <c r="P85" i="12"/>
  <c r="AD100" i="5"/>
  <c r="P86" i="12"/>
  <c r="AD101" i="5"/>
  <c r="P87" i="12"/>
  <c r="AD102" i="5"/>
  <c r="P88" i="12"/>
  <c r="AD103" i="5"/>
  <c r="P89" i="12"/>
  <c r="AD104" i="5"/>
  <c r="P90" i="12"/>
  <c r="AD105" i="5"/>
  <c r="P91" i="12"/>
  <c r="AD106" i="5"/>
  <c r="P92" i="12"/>
  <c r="AD107" i="5"/>
  <c r="P93" i="12"/>
  <c r="AD108" i="5"/>
  <c r="P94" i="12"/>
  <c r="AD109" i="5"/>
  <c r="P95" i="12"/>
  <c r="AD110" i="5"/>
  <c r="P96" i="12"/>
  <c r="AD111" i="5"/>
  <c r="P97" i="12"/>
  <c r="AD112" i="5"/>
  <c r="P98" i="12"/>
  <c r="AD113" i="5"/>
  <c r="P99" i="12"/>
  <c r="AD114" i="5"/>
  <c r="P100" i="12"/>
  <c r="AD115" i="5"/>
  <c r="P101" i="12"/>
  <c r="AD119" i="5"/>
  <c r="P102" i="12"/>
  <c r="AD120" i="5"/>
  <c r="P103" i="12"/>
  <c r="AD121" i="5"/>
  <c r="P104" i="12"/>
  <c r="AD122" i="5"/>
  <c r="P105" i="12"/>
  <c r="AD123" i="5"/>
  <c r="P106" i="12"/>
  <c r="AD124" i="5"/>
  <c r="P107" i="12"/>
  <c r="AD125" i="5"/>
  <c r="P108" i="12"/>
  <c r="AD126" i="5"/>
  <c r="P109" i="12"/>
  <c r="AD127" i="5"/>
  <c r="P110" i="12"/>
  <c r="AD128" i="5"/>
  <c r="P111" i="12"/>
  <c r="AD129" i="5"/>
  <c r="P112" i="12"/>
  <c r="AD130" i="5"/>
  <c r="P113" i="12"/>
  <c r="AD131" i="5"/>
  <c r="P114" i="12"/>
  <c r="AD132" i="5"/>
  <c r="P115" i="12"/>
  <c r="AD133" i="5"/>
  <c r="P116" i="12"/>
  <c r="AD134" i="5"/>
  <c r="P117" i="12"/>
  <c r="AD135" i="5"/>
  <c r="P118" i="12"/>
  <c r="AD136" i="5"/>
  <c r="P119" i="12"/>
  <c r="AD137" i="5"/>
  <c r="P120" i="12"/>
  <c r="AD138" i="5"/>
  <c r="P121" i="12"/>
  <c r="AD142" i="5"/>
  <c r="P122" i="12"/>
  <c r="AD143" i="5"/>
  <c r="P123" i="12"/>
  <c r="AD144" i="5"/>
  <c r="P124" i="12"/>
  <c r="AD145" i="5"/>
  <c r="P125" i="12"/>
  <c r="AD146" i="5"/>
  <c r="P126" i="12"/>
  <c r="AD147" i="5"/>
  <c r="P127" i="12"/>
  <c r="AD148" i="5"/>
  <c r="P128" i="12"/>
  <c r="AD149" i="5"/>
  <c r="P129" i="12"/>
  <c r="AD150" i="5"/>
  <c r="P130" i="12"/>
  <c r="AD151" i="5"/>
  <c r="P131" i="12"/>
  <c r="AD152" i="5"/>
  <c r="P132" i="12"/>
  <c r="AD153" i="5"/>
  <c r="P133" i="12"/>
  <c r="AD154" i="5"/>
  <c r="P134" i="12"/>
  <c r="AD155" i="5"/>
  <c r="P135" i="12"/>
  <c r="AD156" i="5"/>
  <c r="P136" i="12"/>
  <c r="AD157" i="5"/>
  <c r="P137" i="12"/>
  <c r="AD158" i="5"/>
  <c r="P138" i="12"/>
  <c r="AD159" i="5"/>
  <c r="P139" i="12"/>
  <c r="AD160" i="5"/>
  <c r="P140" i="12"/>
  <c r="AD161" i="5"/>
  <c r="P141" i="12"/>
  <c r="AD165" i="5"/>
  <c r="P142" i="12"/>
  <c r="AD166" i="5"/>
  <c r="P143" i="12"/>
  <c r="AD167" i="5"/>
  <c r="P144" i="12"/>
  <c r="AD168" i="5"/>
  <c r="P145" i="12"/>
  <c r="AD169" i="5"/>
  <c r="P146" i="12"/>
  <c r="AD170" i="5"/>
  <c r="P147" i="12"/>
  <c r="AD171" i="5"/>
  <c r="P148" i="12"/>
  <c r="AD172" i="5"/>
  <c r="P149" i="12"/>
  <c r="AD173" i="5"/>
  <c r="P150" i="12"/>
  <c r="AD174" i="5"/>
  <c r="P151" i="12"/>
  <c r="AD175" i="5"/>
  <c r="P152" i="12"/>
  <c r="AD176" i="5"/>
  <c r="P153" i="12"/>
  <c r="AD177" i="5"/>
  <c r="P154" i="12"/>
  <c r="AD178" i="5"/>
  <c r="P155" i="12"/>
  <c r="AD179" i="5"/>
  <c r="P156" i="12"/>
  <c r="AD180" i="5"/>
  <c r="P157" i="12"/>
  <c r="AD181" i="5"/>
  <c r="P158" i="12"/>
  <c r="AD182" i="5"/>
  <c r="P159" i="12"/>
  <c r="AD183" i="5"/>
  <c r="P160" i="12"/>
  <c r="AD184" i="5"/>
  <c r="P161" i="12"/>
  <c r="AD188" i="5"/>
  <c r="P162" i="12"/>
  <c r="AD189" i="5"/>
  <c r="P163" i="12"/>
  <c r="AD190" i="5"/>
  <c r="P164" i="12"/>
  <c r="AD191" i="5"/>
  <c r="P165" i="12"/>
  <c r="AD192" i="5"/>
  <c r="P166" i="12"/>
  <c r="AD193" i="5"/>
  <c r="P167" i="12"/>
  <c r="AD194" i="5"/>
  <c r="P168" i="12"/>
  <c r="AD195" i="5"/>
  <c r="P169" i="12"/>
  <c r="AD196" i="5"/>
  <c r="P170" i="12"/>
  <c r="AD197" i="5"/>
  <c r="P171" i="12"/>
  <c r="AD198" i="5"/>
  <c r="P172" i="12"/>
  <c r="AD199" i="5"/>
  <c r="P173" i="12"/>
  <c r="AD200" i="5"/>
  <c r="P174" i="12"/>
  <c r="AD201" i="5"/>
  <c r="P175" i="12"/>
  <c r="AD202" i="5"/>
  <c r="P176" i="12"/>
  <c r="AD203" i="5"/>
  <c r="P177" i="12"/>
  <c r="AD204" i="5"/>
  <c r="P178" i="12"/>
  <c r="AD205" i="5"/>
  <c r="P179" i="12"/>
  <c r="AD206" i="5"/>
  <c r="P180" i="12"/>
  <c r="AD207" i="5"/>
  <c r="P181" i="12"/>
  <c r="AD211" i="5"/>
  <c r="P182" i="12"/>
  <c r="AD212" i="5"/>
  <c r="P183" i="12"/>
  <c r="AD213" i="5"/>
  <c r="P184" i="12"/>
  <c r="AD214" i="5"/>
  <c r="P185" i="12"/>
  <c r="AD215" i="5"/>
  <c r="P186" i="12"/>
  <c r="AD216" i="5"/>
  <c r="P187" i="12"/>
  <c r="AD217" i="5"/>
  <c r="P188" i="12"/>
  <c r="AD218" i="5"/>
  <c r="P189" i="12"/>
  <c r="AD219" i="5"/>
  <c r="P190" i="12"/>
  <c r="AD220" i="5"/>
  <c r="P191" i="12"/>
  <c r="Z221" i="5"/>
  <c r="AD221" i="5"/>
  <c r="P192" i="12"/>
  <c r="AD222" i="5"/>
  <c r="P193" i="12"/>
  <c r="AD223" i="5"/>
  <c r="P194" i="12"/>
  <c r="AD224" i="5"/>
  <c r="P195" i="12"/>
  <c r="AD225" i="5"/>
  <c r="P196" i="12"/>
  <c r="AD226" i="5"/>
  <c r="P197" i="12"/>
  <c r="AD227" i="5"/>
  <c r="P198" i="12"/>
  <c r="AD228" i="5"/>
  <c r="P199" i="12"/>
  <c r="AD229" i="5"/>
  <c r="P200" i="12"/>
  <c r="AD230" i="5"/>
  <c r="P201" i="12"/>
  <c r="F35" i="13"/>
  <c r="E35" i="13"/>
  <c r="D35" i="13"/>
  <c r="C35" i="13"/>
  <c r="B35" i="13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F34" i="13"/>
  <c r="E34" i="13"/>
  <c r="D34" i="13"/>
  <c r="C34" i="13"/>
  <c r="B34" i="13"/>
  <c r="N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F33" i="13"/>
  <c r="E33" i="13"/>
  <c r="D33" i="13"/>
  <c r="C33" i="13"/>
  <c r="B33" i="13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F32" i="13"/>
  <c r="E32" i="13"/>
  <c r="D32" i="13"/>
  <c r="C32" i="13"/>
  <c r="B32" i="13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F31" i="13"/>
  <c r="E31" i="13"/>
  <c r="D31" i="13"/>
  <c r="C31" i="13"/>
  <c r="B31" i="13"/>
  <c r="G4" i="8"/>
  <c r="H102" i="12"/>
  <c r="G7" i="8"/>
  <c r="H103" i="12"/>
  <c r="G10" i="8"/>
  <c r="H104" i="12"/>
  <c r="G13" i="8"/>
  <c r="H105" i="12"/>
  <c r="G16" i="8"/>
  <c r="H106" i="12"/>
  <c r="G19" i="8"/>
  <c r="H107" i="12"/>
  <c r="G22" i="8"/>
  <c r="H108" i="12"/>
  <c r="G25" i="8"/>
  <c r="H109" i="12"/>
  <c r="G28" i="8"/>
  <c r="H110" i="12"/>
  <c r="G31" i="8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G25" i="13"/>
  <c r="F25" i="13"/>
  <c r="D25" i="13"/>
  <c r="C25" i="13"/>
  <c r="F4" i="8"/>
  <c r="G102" i="12"/>
  <c r="F7" i="8"/>
  <c r="G103" i="12"/>
  <c r="F10" i="8"/>
  <c r="G104" i="12"/>
  <c r="F13" i="8"/>
  <c r="G105" i="12"/>
  <c r="F16" i="8"/>
  <c r="G106" i="12"/>
  <c r="F19" i="8"/>
  <c r="G107" i="12"/>
  <c r="F22" i="8"/>
  <c r="G108" i="12"/>
  <c r="F25" i="8"/>
  <c r="G109" i="12"/>
  <c r="F28" i="8"/>
  <c r="G110" i="12"/>
  <c r="F31" i="8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24" i="13"/>
  <c r="F24" i="13"/>
  <c r="D24" i="13"/>
  <c r="C24" i="13"/>
  <c r="C4" i="8"/>
  <c r="D4" i="8"/>
  <c r="E4" i="8"/>
  <c r="F102" i="12"/>
  <c r="D7" i="8"/>
  <c r="C7" i="8"/>
  <c r="E7" i="8"/>
  <c r="F103" i="12"/>
  <c r="C10" i="8"/>
  <c r="D10" i="8"/>
  <c r="E10" i="8"/>
  <c r="F104" i="12"/>
  <c r="C13" i="8"/>
  <c r="D13" i="8"/>
  <c r="E13" i="8"/>
  <c r="F105" i="12"/>
  <c r="C16" i="8"/>
  <c r="D16" i="8"/>
  <c r="E16" i="8"/>
  <c r="F106" i="12"/>
  <c r="D19" i="8"/>
  <c r="C19" i="8"/>
  <c r="E19" i="8"/>
  <c r="F107" i="12"/>
  <c r="D22" i="8"/>
  <c r="C22" i="8"/>
  <c r="E22" i="8"/>
  <c r="F108" i="12"/>
  <c r="C25" i="8"/>
  <c r="D25" i="8"/>
  <c r="E25" i="8"/>
  <c r="F109" i="12"/>
  <c r="D28" i="8"/>
  <c r="C28" i="8"/>
  <c r="E28" i="8"/>
  <c r="F110" i="12"/>
  <c r="D31" i="8"/>
  <c r="C31" i="8"/>
  <c r="E31" i="8"/>
  <c r="F111" i="12"/>
  <c r="V4" i="8"/>
  <c r="F112" i="12"/>
  <c r="V7" i="8"/>
  <c r="F113" i="12"/>
  <c r="V10" i="8"/>
  <c r="F114" i="12"/>
  <c r="V13" i="8"/>
  <c r="F115" i="12"/>
  <c r="V16" i="8"/>
  <c r="F116" i="12"/>
  <c r="V19" i="8"/>
  <c r="F117" i="12"/>
  <c r="V22" i="8"/>
  <c r="F118" i="12"/>
  <c r="V25" i="8"/>
  <c r="F119" i="12"/>
  <c r="V28" i="8"/>
  <c r="F120" i="12"/>
  <c r="V31" i="8"/>
  <c r="F121" i="12"/>
  <c r="E38" i="8"/>
  <c r="F122" i="12"/>
  <c r="E41" i="8"/>
  <c r="F123" i="12"/>
  <c r="E44" i="8"/>
  <c r="F124" i="12"/>
  <c r="E47" i="8"/>
  <c r="F125" i="12"/>
  <c r="E50" i="8"/>
  <c r="F126" i="12"/>
  <c r="E53" i="8"/>
  <c r="F127" i="12"/>
  <c r="E56" i="8"/>
  <c r="F128" i="12"/>
  <c r="E59" i="8"/>
  <c r="F129" i="12"/>
  <c r="E62" i="8"/>
  <c r="F130" i="12"/>
  <c r="E65" i="8"/>
  <c r="F131" i="12"/>
  <c r="V38" i="8"/>
  <c r="F132" i="12"/>
  <c r="V41" i="8"/>
  <c r="F133" i="12"/>
  <c r="V44" i="8"/>
  <c r="F134" i="12"/>
  <c r="V47" i="8"/>
  <c r="F135" i="12"/>
  <c r="V50" i="8"/>
  <c r="F136" i="12"/>
  <c r="V53" i="8"/>
  <c r="F137" i="12"/>
  <c r="V56" i="8"/>
  <c r="F138" i="12"/>
  <c r="V59" i="8"/>
  <c r="F139" i="12"/>
  <c r="V62" i="8"/>
  <c r="F140" i="12"/>
  <c r="V65" i="8"/>
  <c r="F141" i="12"/>
  <c r="E71" i="8"/>
  <c r="F142" i="12"/>
  <c r="E74" i="8"/>
  <c r="F143" i="12"/>
  <c r="E77" i="8"/>
  <c r="F144" i="12"/>
  <c r="E80" i="8"/>
  <c r="F145" i="12"/>
  <c r="E83" i="8"/>
  <c r="F146" i="12"/>
  <c r="E86" i="8"/>
  <c r="F147" i="12"/>
  <c r="E89" i="8"/>
  <c r="F148" i="12"/>
  <c r="E92" i="8"/>
  <c r="F149" i="12"/>
  <c r="E95" i="8"/>
  <c r="F150" i="12"/>
  <c r="E98" i="8"/>
  <c r="F151" i="12"/>
  <c r="G23" i="13"/>
  <c r="F23" i="13"/>
  <c r="D23" i="13"/>
  <c r="C23" i="13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G22" i="13"/>
  <c r="F22" i="13"/>
  <c r="D22" i="13"/>
  <c r="C22" i="13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G21" i="13"/>
  <c r="F21" i="13"/>
  <c r="D21" i="13"/>
  <c r="C21" i="13"/>
  <c r="G5" i="8"/>
  <c r="H52" i="12"/>
  <c r="G8" i="8"/>
  <c r="H53" i="12"/>
  <c r="G11" i="8"/>
  <c r="H54" i="12"/>
  <c r="G14" i="8"/>
  <c r="H55" i="12"/>
  <c r="G17" i="8"/>
  <c r="H56" i="12"/>
  <c r="G20" i="8"/>
  <c r="H57" i="12"/>
  <c r="G23" i="8"/>
  <c r="H58" i="12"/>
  <c r="G26" i="8"/>
  <c r="H59" i="12"/>
  <c r="G29" i="8"/>
  <c r="H60" i="12"/>
  <c r="G32" i="8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X42" i="8"/>
  <c r="H83" i="12"/>
  <c r="H84" i="12"/>
  <c r="H85" i="12"/>
  <c r="H86" i="12"/>
  <c r="H87" i="12"/>
  <c r="H88" i="12"/>
  <c r="X60" i="8"/>
  <c r="H89" i="12"/>
  <c r="X63" i="8"/>
  <c r="H90" i="12"/>
  <c r="H91" i="12"/>
  <c r="G72" i="8"/>
  <c r="H92" i="12"/>
  <c r="H93" i="12"/>
  <c r="H94" i="12"/>
  <c r="G81" i="8"/>
  <c r="H95" i="12"/>
  <c r="H96" i="12"/>
  <c r="H97" i="12"/>
  <c r="H98" i="12"/>
  <c r="H99" i="12"/>
  <c r="G96" i="8"/>
  <c r="H100" i="12"/>
  <c r="H101" i="12"/>
  <c r="G20" i="13"/>
  <c r="F20" i="13"/>
  <c r="D20" i="13"/>
  <c r="C20" i="13"/>
  <c r="F5" i="8"/>
  <c r="G52" i="12"/>
  <c r="F8" i="8"/>
  <c r="G53" i="12"/>
  <c r="F11" i="8"/>
  <c r="G54" i="12"/>
  <c r="F14" i="8"/>
  <c r="G55" i="12"/>
  <c r="F17" i="8"/>
  <c r="G56" i="12"/>
  <c r="F20" i="8"/>
  <c r="G57" i="12"/>
  <c r="F23" i="8"/>
  <c r="G58" i="12"/>
  <c r="F26" i="8"/>
  <c r="G59" i="12"/>
  <c r="F29" i="8"/>
  <c r="G60" i="12"/>
  <c r="F32" i="8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W42" i="8"/>
  <c r="G83" i="12"/>
  <c r="G84" i="12"/>
  <c r="G85" i="12"/>
  <c r="G86" i="12"/>
  <c r="G87" i="12"/>
  <c r="G88" i="12"/>
  <c r="W60" i="8"/>
  <c r="G89" i="12"/>
  <c r="W63" i="8"/>
  <c r="G90" i="12"/>
  <c r="G91" i="12"/>
  <c r="F72" i="8"/>
  <c r="G92" i="12"/>
  <c r="G93" i="12"/>
  <c r="G94" i="12"/>
  <c r="F81" i="8"/>
  <c r="G95" i="12"/>
  <c r="G96" i="12"/>
  <c r="G97" i="12"/>
  <c r="G98" i="12"/>
  <c r="G99" i="12"/>
  <c r="F96" i="8"/>
  <c r="G100" i="12"/>
  <c r="G101" i="12"/>
  <c r="G19" i="13"/>
  <c r="F19" i="13"/>
  <c r="D19" i="13"/>
  <c r="C19" i="13"/>
  <c r="C5" i="8"/>
  <c r="D5" i="8"/>
  <c r="E5" i="8"/>
  <c r="F52" i="12"/>
  <c r="D8" i="8"/>
  <c r="C8" i="8"/>
  <c r="E8" i="8"/>
  <c r="F53" i="12"/>
  <c r="D11" i="8"/>
  <c r="C11" i="8"/>
  <c r="E11" i="8"/>
  <c r="F54" i="12"/>
  <c r="D14" i="8"/>
  <c r="C14" i="8"/>
  <c r="E14" i="8"/>
  <c r="F55" i="12"/>
  <c r="D17" i="8"/>
  <c r="C17" i="8"/>
  <c r="E17" i="8"/>
  <c r="F56" i="12"/>
  <c r="D20" i="8"/>
  <c r="C20" i="8"/>
  <c r="E20" i="8"/>
  <c r="F57" i="12"/>
  <c r="D23" i="8"/>
  <c r="C23" i="8"/>
  <c r="E23" i="8"/>
  <c r="F58" i="12"/>
  <c r="D26" i="8"/>
  <c r="C26" i="8"/>
  <c r="E26" i="8"/>
  <c r="F59" i="12"/>
  <c r="D29" i="8"/>
  <c r="C29" i="8"/>
  <c r="E29" i="8"/>
  <c r="F60" i="12"/>
  <c r="D32" i="8"/>
  <c r="C32" i="8"/>
  <c r="E32" i="8"/>
  <c r="F61" i="12"/>
  <c r="V5" i="8"/>
  <c r="F62" i="12"/>
  <c r="V8" i="8"/>
  <c r="F63" i="12"/>
  <c r="V11" i="8"/>
  <c r="F64" i="12"/>
  <c r="V14" i="8"/>
  <c r="F65" i="12"/>
  <c r="V17" i="8"/>
  <c r="F66" i="12"/>
  <c r="V20" i="8"/>
  <c r="F67" i="12"/>
  <c r="V23" i="8"/>
  <c r="F68" i="12"/>
  <c r="V26" i="8"/>
  <c r="F69" i="12"/>
  <c r="V29" i="8"/>
  <c r="F70" i="12"/>
  <c r="V32" i="8"/>
  <c r="F71" i="12"/>
  <c r="E39" i="8"/>
  <c r="F72" i="12"/>
  <c r="E42" i="8"/>
  <c r="F73" i="12"/>
  <c r="E45" i="8"/>
  <c r="F74" i="12"/>
  <c r="E48" i="8"/>
  <c r="F75" i="12"/>
  <c r="E51" i="8"/>
  <c r="F76" i="12"/>
  <c r="E54" i="8"/>
  <c r="F77" i="12"/>
  <c r="E57" i="8"/>
  <c r="F78" i="12"/>
  <c r="E60" i="8"/>
  <c r="F79" i="12"/>
  <c r="E63" i="8"/>
  <c r="F80" i="12"/>
  <c r="E66" i="8"/>
  <c r="F81" i="12"/>
  <c r="V39" i="8"/>
  <c r="F82" i="12"/>
  <c r="U42" i="8"/>
  <c r="T42" i="8"/>
  <c r="V42" i="8"/>
  <c r="F83" i="12"/>
  <c r="V45" i="8"/>
  <c r="F84" i="12"/>
  <c r="V48" i="8"/>
  <c r="F85" i="12"/>
  <c r="V51" i="8"/>
  <c r="F86" i="12"/>
  <c r="V54" i="8"/>
  <c r="F87" i="12"/>
  <c r="V57" i="8"/>
  <c r="F88" i="12"/>
  <c r="U60" i="8"/>
  <c r="T60" i="8"/>
  <c r="V60" i="8"/>
  <c r="F89" i="12"/>
  <c r="U63" i="8"/>
  <c r="T63" i="8"/>
  <c r="V63" i="8"/>
  <c r="F90" i="12"/>
  <c r="V66" i="8"/>
  <c r="F91" i="12"/>
  <c r="C72" i="8"/>
  <c r="D72" i="8"/>
  <c r="E72" i="8"/>
  <c r="F92" i="12"/>
  <c r="E75" i="8"/>
  <c r="F93" i="12"/>
  <c r="E78" i="8"/>
  <c r="F94" i="12"/>
  <c r="D81" i="8"/>
  <c r="C81" i="8"/>
  <c r="E81" i="8"/>
  <c r="F95" i="12"/>
  <c r="E84" i="8"/>
  <c r="F96" i="12"/>
  <c r="E87" i="8"/>
  <c r="F97" i="12"/>
  <c r="E90" i="8"/>
  <c r="F98" i="12"/>
  <c r="E93" i="8"/>
  <c r="F99" i="12"/>
  <c r="D96" i="8"/>
  <c r="C96" i="8"/>
  <c r="E96" i="8"/>
  <c r="F100" i="12"/>
  <c r="E99" i="8"/>
  <c r="F101" i="12"/>
  <c r="G18" i="13"/>
  <c r="F18" i="13"/>
  <c r="D18" i="13"/>
  <c r="C18" i="13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G17" i="13"/>
  <c r="F17" i="13"/>
  <c r="D17" i="13"/>
  <c r="C17" i="13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G16" i="13"/>
  <c r="F16" i="13"/>
  <c r="D16" i="13"/>
  <c r="C16" i="13"/>
  <c r="G3" i="8"/>
  <c r="H2" i="12"/>
  <c r="G6" i="8"/>
  <c r="H3" i="12"/>
  <c r="G9" i="8"/>
  <c r="H4" i="12"/>
  <c r="G12" i="8"/>
  <c r="H5" i="12"/>
  <c r="G15" i="8"/>
  <c r="H6" i="12"/>
  <c r="G18" i="8"/>
  <c r="H7" i="12"/>
  <c r="G21" i="8"/>
  <c r="H8" i="12"/>
  <c r="G24" i="8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G15" i="13"/>
  <c r="F15" i="13"/>
  <c r="D15" i="13"/>
  <c r="C15" i="13"/>
  <c r="F3" i="8"/>
  <c r="G2" i="12"/>
  <c r="F6" i="8"/>
  <c r="G3" i="12"/>
  <c r="F9" i="8"/>
  <c r="G4" i="12"/>
  <c r="F12" i="8"/>
  <c r="G5" i="12"/>
  <c r="F15" i="8"/>
  <c r="G6" i="12"/>
  <c r="F18" i="8"/>
  <c r="G7" i="12"/>
  <c r="F21" i="8"/>
  <c r="G8" i="12"/>
  <c r="F24" i="8"/>
  <c r="G9" i="12"/>
  <c r="F27" i="8"/>
  <c r="G10" i="12"/>
  <c r="F30" i="8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14" i="13"/>
  <c r="F14" i="13"/>
  <c r="D14" i="13"/>
  <c r="C14" i="13"/>
  <c r="C3" i="8"/>
  <c r="D3" i="8"/>
  <c r="E3" i="8"/>
  <c r="F2" i="12"/>
  <c r="D6" i="8"/>
  <c r="C6" i="8"/>
  <c r="E6" i="8"/>
  <c r="F3" i="12"/>
  <c r="D9" i="8"/>
  <c r="C9" i="8"/>
  <c r="E9" i="8"/>
  <c r="F4" i="12"/>
  <c r="D12" i="8"/>
  <c r="C12" i="8"/>
  <c r="E12" i="8"/>
  <c r="F5" i="12"/>
  <c r="D15" i="8"/>
  <c r="C15" i="8"/>
  <c r="E15" i="8"/>
  <c r="F6" i="12"/>
  <c r="D18" i="8"/>
  <c r="C18" i="8"/>
  <c r="E18" i="8"/>
  <c r="F7" i="12"/>
  <c r="D21" i="8"/>
  <c r="C21" i="8"/>
  <c r="E21" i="8"/>
  <c r="F8" i="12"/>
  <c r="D24" i="8"/>
  <c r="E24" i="8"/>
  <c r="F9" i="12"/>
  <c r="D27" i="8"/>
  <c r="E27" i="8"/>
  <c r="F10" i="12"/>
  <c r="D30" i="8"/>
  <c r="E30" i="8"/>
  <c r="F11" i="12"/>
  <c r="T3" i="8"/>
  <c r="V3" i="8"/>
  <c r="F12" i="12"/>
  <c r="V6" i="8"/>
  <c r="F13" i="12"/>
  <c r="V9" i="8"/>
  <c r="F14" i="12"/>
  <c r="V12" i="8"/>
  <c r="F15" i="12"/>
  <c r="V15" i="8"/>
  <c r="F16" i="12"/>
  <c r="V18" i="8"/>
  <c r="F17" i="12"/>
  <c r="V21" i="8"/>
  <c r="F18" i="12"/>
  <c r="V24" i="8"/>
  <c r="F19" i="12"/>
  <c r="V27" i="8"/>
  <c r="F20" i="12"/>
  <c r="F21" i="12"/>
  <c r="E37" i="8"/>
  <c r="F22" i="12"/>
  <c r="F23" i="12"/>
  <c r="E43" i="8"/>
  <c r="F24" i="12"/>
  <c r="E46" i="8"/>
  <c r="F25" i="12"/>
  <c r="E49" i="8"/>
  <c r="F26" i="12"/>
  <c r="E52" i="8"/>
  <c r="F27" i="12"/>
  <c r="E55" i="8"/>
  <c r="F28" i="12"/>
  <c r="E58" i="8"/>
  <c r="F29" i="12"/>
  <c r="E61" i="8"/>
  <c r="F30" i="12"/>
  <c r="E64" i="8"/>
  <c r="F31" i="12"/>
  <c r="V37" i="8"/>
  <c r="F32" i="12"/>
  <c r="V40" i="8"/>
  <c r="F33" i="12"/>
  <c r="V43" i="8"/>
  <c r="F34" i="12"/>
  <c r="V46" i="8"/>
  <c r="F35" i="12"/>
  <c r="V49" i="8"/>
  <c r="F36" i="12"/>
  <c r="V52" i="8"/>
  <c r="F37" i="12"/>
  <c r="V55" i="8"/>
  <c r="F38" i="12"/>
  <c r="V58" i="8"/>
  <c r="F39" i="12"/>
  <c r="V61" i="8"/>
  <c r="F40" i="12"/>
  <c r="V64" i="8"/>
  <c r="F41" i="12"/>
  <c r="E70" i="8"/>
  <c r="F42" i="12"/>
  <c r="E73" i="8"/>
  <c r="F43" i="12"/>
  <c r="E76" i="8"/>
  <c r="F44" i="12"/>
  <c r="E79" i="8"/>
  <c r="F45" i="12"/>
  <c r="E82" i="8"/>
  <c r="F46" i="12"/>
  <c r="E85" i="8"/>
  <c r="F47" i="12"/>
  <c r="E88" i="8"/>
  <c r="F48" i="12"/>
  <c r="E91" i="8"/>
  <c r="F49" i="12"/>
  <c r="E94" i="8"/>
  <c r="F50" i="12"/>
  <c r="E97" i="8"/>
  <c r="F51" i="12"/>
  <c r="G13" i="13"/>
  <c r="F13" i="13"/>
  <c r="D13" i="13"/>
  <c r="C13" i="13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G12" i="13"/>
  <c r="F12" i="13"/>
  <c r="D12" i="13"/>
  <c r="C12" i="13"/>
  <c r="T11" i="13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G11" i="13"/>
  <c r="F11" i="13"/>
  <c r="D11" i="13"/>
  <c r="C11" i="13"/>
  <c r="T10" i="13"/>
  <c r="T9" i="13"/>
  <c r="J19" i="12"/>
  <c r="J34" i="12"/>
  <c r="J38" i="12"/>
  <c r="J48" i="12"/>
  <c r="F4" i="13"/>
  <c r="J62" i="12"/>
  <c r="J78" i="12"/>
  <c r="J82" i="12"/>
  <c r="J88" i="12"/>
  <c r="J98" i="12"/>
  <c r="F5" i="13"/>
  <c r="J114" i="12"/>
  <c r="J123" i="12"/>
  <c r="J128" i="12"/>
  <c r="J146" i="12"/>
  <c r="F6" i="13"/>
  <c r="F7" i="13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B4" i="13"/>
  <c r="B5" i="13"/>
  <c r="B6" i="13"/>
  <c r="B7" i="13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C4" i="13"/>
  <c r="C5" i="13"/>
  <c r="C6" i="13"/>
  <c r="C7" i="13"/>
  <c r="E7" i="13"/>
  <c r="D4" i="13"/>
  <c r="D5" i="13"/>
  <c r="D6" i="13"/>
  <c r="D7" i="13"/>
  <c r="E6" i="13"/>
  <c r="T5" i="13"/>
  <c r="E5" i="13"/>
  <c r="T4" i="13"/>
  <c r="E4" i="13"/>
  <c r="T3" i="13"/>
  <c r="J151" i="12"/>
  <c r="B151" i="12"/>
  <c r="J150" i="12"/>
  <c r="B150" i="12"/>
  <c r="J149" i="12"/>
  <c r="B149" i="12"/>
  <c r="J148" i="12"/>
  <c r="B148" i="12"/>
  <c r="J147" i="12"/>
  <c r="B147" i="12"/>
  <c r="B146" i="12"/>
  <c r="J145" i="12"/>
  <c r="B145" i="12"/>
  <c r="J144" i="12"/>
  <c r="B144" i="12"/>
  <c r="J143" i="12"/>
  <c r="B143" i="12"/>
  <c r="J142" i="12"/>
  <c r="B142" i="12"/>
  <c r="J141" i="12"/>
  <c r="B141" i="12"/>
  <c r="J140" i="12"/>
  <c r="B140" i="12"/>
  <c r="J139" i="12"/>
  <c r="B139" i="12"/>
  <c r="J138" i="12"/>
  <c r="B138" i="12"/>
  <c r="J137" i="12"/>
  <c r="B137" i="12"/>
  <c r="J136" i="12"/>
  <c r="B136" i="12"/>
  <c r="J135" i="12"/>
  <c r="B135" i="12"/>
  <c r="J134" i="12"/>
  <c r="B134" i="12"/>
  <c r="J133" i="12"/>
  <c r="B133" i="12"/>
  <c r="J132" i="12"/>
  <c r="B132" i="12"/>
  <c r="J131" i="12"/>
  <c r="B131" i="12"/>
  <c r="J130" i="12"/>
  <c r="B130" i="12"/>
  <c r="J129" i="12"/>
  <c r="B129" i="12"/>
  <c r="B128" i="12"/>
  <c r="J127" i="12"/>
  <c r="B127" i="12"/>
  <c r="J126" i="12"/>
  <c r="B126" i="12"/>
  <c r="J125" i="12"/>
  <c r="B125" i="12"/>
  <c r="J124" i="12"/>
  <c r="B124" i="12"/>
  <c r="B123" i="12"/>
  <c r="J122" i="12"/>
  <c r="B122" i="12"/>
  <c r="J121" i="12"/>
  <c r="B121" i="12"/>
  <c r="J120" i="12"/>
  <c r="B120" i="12"/>
  <c r="J119" i="12"/>
  <c r="B119" i="12"/>
  <c r="J118" i="12"/>
  <c r="B118" i="12"/>
  <c r="J117" i="12"/>
  <c r="B117" i="12"/>
  <c r="J116" i="12"/>
  <c r="B116" i="12"/>
  <c r="J115" i="12"/>
  <c r="B115" i="12"/>
  <c r="B114" i="12"/>
  <c r="J113" i="12"/>
  <c r="B113" i="12"/>
  <c r="J112" i="12"/>
  <c r="B112" i="12"/>
  <c r="J111" i="12"/>
  <c r="B111" i="12"/>
  <c r="J110" i="12"/>
  <c r="B110" i="12"/>
  <c r="J109" i="12"/>
  <c r="B109" i="12"/>
  <c r="J108" i="12"/>
  <c r="B108" i="12"/>
  <c r="J107" i="12"/>
  <c r="B107" i="12"/>
  <c r="J106" i="12"/>
  <c r="B106" i="12"/>
  <c r="J105" i="12"/>
  <c r="B105" i="12"/>
  <c r="J104" i="12"/>
  <c r="B104" i="12"/>
  <c r="J103" i="12"/>
  <c r="B103" i="12"/>
  <c r="J102" i="12"/>
  <c r="B102" i="12"/>
  <c r="J101" i="12"/>
  <c r="B101" i="12"/>
  <c r="J100" i="12"/>
  <c r="B100" i="12"/>
  <c r="J99" i="12"/>
  <c r="B99" i="12"/>
  <c r="B98" i="12"/>
  <c r="J97" i="12"/>
  <c r="B97" i="12"/>
  <c r="J96" i="12"/>
  <c r="B96" i="12"/>
  <c r="J95" i="12"/>
  <c r="B95" i="12"/>
  <c r="J94" i="12"/>
  <c r="B94" i="12"/>
  <c r="J93" i="12"/>
  <c r="B93" i="12"/>
  <c r="J92" i="12"/>
  <c r="B92" i="12"/>
  <c r="J91" i="12"/>
  <c r="B91" i="12"/>
  <c r="J90" i="12"/>
  <c r="B90" i="12"/>
  <c r="J89" i="12"/>
  <c r="B89" i="12"/>
  <c r="B88" i="12"/>
  <c r="J87" i="12"/>
  <c r="B87" i="12"/>
  <c r="J86" i="12"/>
  <c r="B86" i="12"/>
  <c r="J85" i="12"/>
  <c r="B85" i="12"/>
  <c r="J84" i="12"/>
  <c r="B84" i="12"/>
  <c r="J83" i="12"/>
  <c r="B83" i="12"/>
  <c r="B82" i="12"/>
  <c r="J81" i="12"/>
  <c r="B81" i="12"/>
  <c r="J80" i="12"/>
  <c r="B80" i="12"/>
  <c r="J79" i="12"/>
  <c r="B79" i="12"/>
  <c r="B78" i="12"/>
  <c r="J77" i="12"/>
  <c r="B77" i="12"/>
  <c r="J76" i="12"/>
  <c r="B76" i="12"/>
  <c r="J75" i="12"/>
  <c r="B75" i="12"/>
  <c r="J74" i="12"/>
  <c r="B74" i="12"/>
  <c r="J73" i="12"/>
  <c r="B73" i="12"/>
  <c r="J72" i="12"/>
  <c r="B72" i="12"/>
  <c r="J71" i="12"/>
  <c r="B71" i="12"/>
  <c r="J70" i="12"/>
  <c r="B70" i="12"/>
  <c r="J69" i="12"/>
  <c r="B69" i="12"/>
  <c r="J68" i="12"/>
  <c r="B68" i="12"/>
  <c r="J67" i="12"/>
  <c r="B67" i="12"/>
  <c r="J66" i="12"/>
  <c r="B66" i="12"/>
  <c r="J65" i="12"/>
  <c r="B65" i="12"/>
  <c r="J64" i="12"/>
  <c r="B64" i="12"/>
  <c r="J63" i="12"/>
  <c r="B63" i="12"/>
  <c r="B62" i="12"/>
  <c r="J61" i="12"/>
  <c r="B61" i="12"/>
  <c r="J60" i="12"/>
  <c r="B60" i="12"/>
  <c r="J59" i="12"/>
  <c r="B59" i="12"/>
  <c r="J58" i="12"/>
  <c r="B58" i="12"/>
  <c r="J57" i="12"/>
  <c r="B57" i="12"/>
  <c r="J56" i="12"/>
  <c r="B56" i="12"/>
  <c r="J55" i="12"/>
  <c r="B55" i="12"/>
  <c r="J54" i="12"/>
  <c r="B54" i="12"/>
  <c r="J53" i="12"/>
  <c r="B53" i="12"/>
  <c r="J52" i="12"/>
  <c r="B52" i="12"/>
  <c r="J51" i="12"/>
  <c r="B51" i="12"/>
  <c r="J50" i="12"/>
  <c r="B50" i="12"/>
  <c r="J49" i="12"/>
  <c r="B49" i="12"/>
  <c r="B48" i="12"/>
  <c r="J47" i="12"/>
  <c r="B47" i="12"/>
  <c r="J46" i="12"/>
  <c r="B46" i="12"/>
  <c r="J45" i="12"/>
  <c r="B45" i="12"/>
  <c r="J44" i="12"/>
  <c r="B44" i="12"/>
  <c r="J43" i="12"/>
  <c r="B43" i="12"/>
  <c r="J42" i="12"/>
  <c r="B42" i="12"/>
  <c r="J41" i="12"/>
  <c r="B41" i="12"/>
  <c r="J40" i="12"/>
  <c r="B40" i="12"/>
  <c r="J39" i="12"/>
  <c r="B39" i="12"/>
  <c r="B38" i="12"/>
  <c r="J37" i="12"/>
  <c r="B37" i="12"/>
  <c r="J36" i="12"/>
  <c r="B36" i="12"/>
  <c r="J35" i="12"/>
  <c r="B35" i="12"/>
  <c r="B34" i="12"/>
  <c r="J33" i="12"/>
  <c r="B33" i="12"/>
  <c r="J32" i="12"/>
  <c r="B32" i="12"/>
  <c r="J31" i="12"/>
  <c r="B31" i="12"/>
  <c r="J30" i="12"/>
  <c r="B30" i="12"/>
  <c r="J29" i="12"/>
  <c r="B29" i="12"/>
  <c r="J28" i="12"/>
  <c r="B28" i="12"/>
  <c r="J27" i="12"/>
  <c r="B27" i="12"/>
  <c r="J26" i="12"/>
  <c r="B26" i="12"/>
  <c r="J25" i="12"/>
  <c r="B25" i="12"/>
  <c r="J24" i="12"/>
  <c r="B24" i="12"/>
  <c r="J23" i="12"/>
  <c r="B23" i="12"/>
  <c r="J22" i="12"/>
  <c r="B22" i="12"/>
  <c r="J21" i="12"/>
  <c r="B21" i="12"/>
  <c r="J20" i="12"/>
  <c r="B20" i="12"/>
  <c r="B19" i="12"/>
  <c r="J18" i="12"/>
  <c r="B18" i="12"/>
  <c r="J17" i="12"/>
  <c r="B17" i="12"/>
  <c r="J16" i="12"/>
  <c r="B16" i="12"/>
  <c r="J15" i="12"/>
  <c r="B15" i="12"/>
  <c r="J14" i="12"/>
  <c r="B14" i="12"/>
  <c r="J13" i="12"/>
  <c r="B13" i="12"/>
  <c r="J12" i="12"/>
  <c r="B12" i="12"/>
  <c r="J11" i="12"/>
  <c r="B11" i="12"/>
  <c r="J10" i="12"/>
  <c r="B10" i="12"/>
  <c r="J9" i="12"/>
  <c r="B9" i="12"/>
  <c r="J8" i="12"/>
  <c r="B8" i="12"/>
  <c r="J7" i="12"/>
  <c r="B7" i="12"/>
  <c r="J6" i="12"/>
  <c r="B6" i="12"/>
  <c r="J5" i="12"/>
  <c r="B5" i="12"/>
  <c r="J4" i="12"/>
  <c r="B4" i="12"/>
  <c r="J3" i="12"/>
  <c r="B3" i="12"/>
  <c r="J2" i="12"/>
  <c r="B2" i="12"/>
  <c r="B22" i="11"/>
  <c r="B23" i="11"/>
  <c r="B24" i="11"/>
  <c r="B25" i="11"/>
  <c r="C22" i="11"/>
  <c r="C23" i="11"/>
  <c r="C24" i="11"/>
  <c r="C25" i="11"/>
  <c r="D25" i="11"/>
  <c r="I24" i="11"/>
  <c r="H24" i="11"/>
  <c r="G24" i="11"/>
  <c r="F24" i="11"/>
  <c r="E24" i="11"/>
  <c r="D24" i="11"/>
  <c r="I23" i="11"/>
  <c r="H23" i="11"/>
  <c r="G23" i="11"/>
  <c r="F23" i="11"/>
  <c r="E23" i="11"/>
  <c r="D23" i="11"/>
  <c r="I22" i="11"/>
  <c r="H22" i="11"/>
  <c r="G22" i="11"/>
  <c r="F22" i="11"/>
  <c r="E22" i="11"/>
  <c r="D22" i="11"/>
  <c r="B15" i="11"/>
  <c r="B17" i="11"/>
  <c r="B18" i="11"/>
  <c r="C15" i="11"/>
  <c r="C16" i="11"/>
  <c r="C17" i="11"/>
  <c r="C18" i="11"/>
  <c r="D18" i="11"/>
  <c r="D17" i="11"/>
  <c r="D16" i="11"/>
  <c r="D15" i="11"/>
  <c r="T12" i="2"/>
  <c r="T24" i="2"/>
  <c r="T36" i="2"/>
  <c r="T48" i="2"/>
  <c r="T60" i="2"/>
  <c r="C4" i="11"/>
  <c r="T22" i="3"/>
  <c r="T44" i="3"/>
  <c r="T66" i="3"/>
  <c r="T88" i="3"/>
  <c r="T110" i="3"/>
  <c r="C5" i="11"/>
  <c r="C6" i="11"/>
  <c r="C7" i="11"/>
  <c r="C8" i="11"/>
  <c r="AB3" i="7"/>
  <c r="AB4" i="7"/>
  <c r="AB5" i="7"/>
  <c r="AB6" i="7"/>
  <c r="AB7" i="7"/>
  <c r="AB8" i="7"/>
  <c r="AB9" i="7"/>
  <c r="AB10" i="7"/>
  <c r="AB11" i="7"/>
  <c r="AB12" i="7"/>
  <c r="X13" i="7"/>
  <c r="Z13" i="7"/>
  <c r="AB13" i="7"/>
  <c r="AB16" i="7"/>
  <c r="AB17" i="7"/>
  <c r="AB18" i="7"/>
  <c r="AB19" i="7"/>
  <c r="AB20" i="7"/>
  <c r="AB21" i="7"/>
  <c r="AB22" i="7"/>
  <c r="AB23" i="7"/>
  <c r="AB24" i="7"/>
  <c r="AB25" i="7"/>
  <c r="X26" i="7"/>
  <c r="Z26" i="7"/>
  <c r="AB26" i="7"/>
  <c r="AB29" i="7"/>
  <c r="AB30" i="7"/>
  <c r="AB31" i="7"/>
  <c r="AB32" i="7"/>
  <c r="AB33" i="7"/>
  <c r="AB34" i="7"/>
  <c r="AB35" i="7"/>
  <c r="AB36" i="7"/>
  <c r="AB37" i="7"/>
  <c r="AB38" i="7"/>
  <c r="X39" i="7"/>
  <c r="Z39" i="7"/>
  <c r="AB39" i="7"/>
  <c r="AB42" i="7"/>
  <c r="AB43" i="7"/>
  <c r="AB44" i="7"/>
  <c r="AB45" i="7"/>
  <c r="AB46" i="7"/>
  <c r="AB47" i="7"/>
  <c r="AB48" i="7"/>
  <c r="AB49" i="7"/>
  <c r="AB50" i="7"/>
  <c r="AB51" i="7"/>
  <c r="X52" i="7"/>
  <c r="Z52" i="7"/>
  <c r="AB52" i="7"/>
  <c r="AB55" i="7"/>
  <c r="AB56" i="7"/>
  <c r="AB57" i="7"/>
  <c r="AB58" i="7"/>
  <c r="AB59" i="7"/>
  <c r="AB60" i="7"/>
  <c r="AB61" i="7"/>
  <c r="AB62" i="7"/>
  <c r="AB63" i="7"/>
  <c r="AB64" i="7"/>
  <c r="X65" i="7"/>
  <c r="Z65" i="7"/>
  <c r="AB65" i="7"/>
  <c r="C9" i="11"/>
  <c r="C10" i="11"/>
  <c r="C11" i="11"/>
  <c r="D4" i="11"/>
  <c r="D5" i="11"/>
  <c r="D6" i="11"/>
  <c r="D7" i="11"/>
  <c r="D8" i="11"/>
  <c r="D9" i="11"/>
  <c r="D11" i="11"/>
  <c r="E11" i="11"/>
  <c r="B11" i="11"/>
  <c r="E10" i="11"/>
  <c r="E9" i="11"/>
  <c r="E8" i="11"/>
  <c r="E7" i="11"/>
  <c r="E6" i="11"/>
  <c r="E5" i="11"/>
  <c r="E4" i="11"/>
  <c r="P75" i="8"/>
  <c r="O75" i="8"/>
  <c r="N75" i="8"/>
  <c r="M75" i="8"/>
  <c r="L75" i="8"/>
  <c r="P74" i="8"/>
  <c r="O74" i="8"/>
  <c r="N74" i="8"/>
  <c r="M74" i="8"/>
  <c r="L74" i="8"/>
  <c r="P73" i="8"/>
  <c r="O73" i="8"/>
  <c r="N73" i="8"/>
  <c r="M73" i="8"/>
  <c r="L73" i="8"/>
  <c r="AG42" i="8"/>
  <c r="AF42" i="8"/>
  <c r="AE42" i="8"/>
  <c r="AD42" i="8"/>
  <c r="AC42" i="8"/>
  <c r="P42" i="8"/>
  <c r="O42" i="8"/>
  <c r="N42" i="8"/>
  <c r="M42" i="8"/>
  <c r="L42" i="8"/>
  <c r="AG41" i="8"/>
  <c r="AF41" i="8"/>
  <c r="AE41" i="8"/>
  <c r="AD41" i="8"/>
  <c r="AC41" i="8"/>
  <c r="P41" i="8"/>
  <c r="O41" i="8"/>
  <c r="N41" i="8"/>
  <c r="M41" i="8"/>
  <c r="L41" i="8"/>
  <c r="AG40" i="8"/>
  <c r="AF40" i="8"/>
  <c r="AE40" i="8"/>
  <c r="AD40" i="8"/>
  <c r="AC40" i="8"/>
  <c r="P40" i="8"/>
  <c r="O40" i="8"/>
  <c r="N40" i="8"/>
  <c r="M40" i="8"/>
  <c r="L40" i="8"/>
  <c r="AH7" i="8"/>
  <c r="AG7" i="8"/>
  <c r="AF7" i="8"/>
  <c r="AE7" i="8"/>
  <c r="AD7" i="8"/>
  <c r="P7" i="8"/>
  <c r="O7" i="8"/>
  <c r="N7" i="8"/>
  <c r="M7" i="8"/>
  <c r="L7" i="8"/>
  <c r="AH6" i="8"/>
  <c r="AG6" i="8"/>
  <c r="AF6" i="8"/>
  <c r="AE6" i="8"/>
  <c r="AD6" i="8"/>
  <c r="P6" i="8"/>
  <c r="O6" i="8"/>
  <c r="N6" i="8"/>
  <c r="M6" i="8"/>
  <c r="L6" i="8"/>
  <c r="AH5" i="8"/>
  <c r="AG5" i="8"/>
  <c r="AF5" i="8"/>
  <c r="AE5" i="8"/>
  <c r="AD5" i="8"/>
  <c r="P5" i="8"/>
  <c r="O5" i="8"/>
  <c r="N5" i="8"/>
  <c r="M5" i="8"/>
  <c r="L5" i="8"/>
  <c r="K55" i="7"/>
  <c r="K56" i="7"/>
  <c r="K57" i="7"/>
  <c r="K58" i="7"/>
  <c r="K59" i="7"/>
  <c r="K60" i="7"/>
  <c r="K61" i="7"/>
  <c r="K62" i="7"/>
  <c r="K63" i="7"/>
  <c r="K64" i="7"/>
  <c r="K65" i="7"/>
  <c r="I65" i="7"/>
  <c r="G65" i="7"/>
  <c r="K42" i="7"/>
  <c r="K43" i="7"/>
  <c r="K44" i="7"/>
  <c r="K45" i="7"/>
  <c r="K46" i="7"/>
  <c r="K47" i="7"/>
  <c r="K48" i="7"/>
  <c r="K49" i="7"/>
  <c r="K50" i="7"/>
  <c r="K51" i="7"/>
  <c r="K52" i="7"/>
  <c r="I52" i="7"/>
  <c r="G52" i="7"/>
  <c r="K29" i="7"/>
  <c r="K30" i="7"/>
  <c r="K31" i="7"/>
  <c r="K32" i="7"/>
  <c r="K33" i="7"/>
  <c r="K34" i="7"/>
  <c r="K35" i="7"/>
  <c r="K36" i="7"/>
  <c r="K37" i="7"/>
  <c r="K38" i="7"/>
  <c r="K39" i="7"/>
  <c r="I39" i="7"/>
  <c r="G39" i="7"/>
  <c r="K16" i="7"/>
  <c r="K17" i="7"/>
  <c r="K18" i="7"/>
  <c r="K19" i="7"/>
  <c r="K20" i="7"/>
  <c r="K21" i="7"/>
  <c r="K22" i="7"/>
  <c r="K23" i="7"/>
  <c r="K24" i="7"/>
  <c r="K25" i="7"/>
  <c r="K26" i="7"/>
  <c r="I26" i="7"/>
  <c r="G26" i="7"/>
  <c r="K3" i="7"/>
  <c r="K4" i="7"/>
  <c r="K5" i="7"/>
  <c r="K6" i="7"/>
  <c r="K7" i="7"/>
  <c r="K8" i="7"/>
  <c r="K9" i="7"/>
  <c r="K10" i="7"/>
  <c r="K11" i="7"/>
  <c r="K12" i="7"/>
  <c r="K13" i="7"/>
  <c r="I13" i="7"/>
  <c r="G13" i="7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Q111" i="6"/>
  <c r="P111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E111" i="6"/>
  <c r="D111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Q89" i="6"/>
  <c r="P89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E89" i="6"/>
  <c r="D89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Q67" i="6"/>
  <c r="P67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E67" i="6"/>
  <c r="D67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Q45" i="6"/>
  <c r="P45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E45" i="6"/>
  <c r="D45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Q23" i="6"/>
  <c r="P23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E23" i="6"/>
  <c r="D23" i="6"/>
  <c r="X211" i="5"/>
  <c r="V211" i="5"/>
  <c r="T211" i="5"/>
  <c r="X188" i="5"/>
  <c r="V188" i="5"/>
  <c r="T188" i="5"/>
  <c r="X165" i="5"/>
  <c r="V165" i="5"/>
  <c r="T165" i="5"/>
  <c r="X142" i="5"/>
  <c r="V142" i="5"/>
  <c r="T142" i="5"/>
  <c r="X119" i="5"/>
  <c r="V119" i="5"/>
  <c r="T119" i="5"/>
  <c r="X96" i="5"/>
  <c r="V96" i="5"/>
  <c r="T96" i="5"/>
  <c r="X73" i="5"/>
  <c r="V73" i="5"/>
  <c r="T73" i="5"/>
  <c r="X50" i="5"/>
  <c r="V50" i="5"/>
  <c r="T50" i="5"/>
  <c r="X27" i="5"/>
  <c r="V27" i="5"/>
  <c r="T27" i="5"/>
  <c r="P27" i="5"/>
  <c r="N27" i="5"/>
  <c r="L27" i="5"/>
  <c r="X4" i="5"/>
  <c r="V4" i="5"/>
  <c r="T4" i="5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B240" i="4"/>
  <c r="Z240" i="4"/>
  <c r="X220" i="4"/>
  <c r="Y220" i="4"/>
  <c r="X240" i="4"/>
  <c r="V220" i="4"/>
  <c r="W220" i="4"/>
  <c r="V240" i="4"/>
  <c r="T220" i="4"/>
  <c r="U220" i="4"/>
  <c r="T240" i="4"/>
  <c r="L220" i="4"/>
  <c r="N220" i="4"/>
  <c r="P220" i="4"/>
  <c r="R220" i="4"/>
  <c r="L221" i="4"/>
  <c r="N221" i="4"/>
  <c r="P221" i="4"/>
  <c r="R221" i="4"/>
  <c r="L222" i="4"/>
  <c r="N222" i="4"/>
  <c r="P222" i="4"/>
  <c r="R222" i="4"/>
  <c r="L223" i="4"/>
  <c r="N223" i="4"/>
  <c r="P223" i="4"/>
  <c r="R223" i="4"/>
  <c r="L224" i="4"/>
  <c r="N224" i="4"/>
  <c r="P224" i="4"/>
  <c r="R224" i="4"/>
  <c r="L225" i="4"/>
  <c r="N225" i="4"/>
  <c r="P225" i="4"/>
  <c r="R225" i="4"/>
  <c r="L226" i="4"/>
  <c r="N226" i="4"/>
  <c r="P226" i="4"/>
  <c r="R226" i="4"/>
  <c r="L227" i="4"/>
  <c r="N227" i="4"/>
  <c r="P227" i="4"/>
  <c r="R227" i="4"/>
  <c r="L228" i="4"/>
  <c r="N228" i="4"/>
  <c r="P228" i="4"/>
  <c r="R228" i="4"/>
  <c r="L229" i="4"/>
  <c r="N229" i="4"/>
  <c r="P229" i="4"/>
  <c r="R229" i="4"/>
  <c r="L230" i="4"/>
  <c r="N230" i="4"/>
  <c r="P230" i="4"/>
  <c r="R230" i="4"/>
  <c r="L231" i="4"/>
  <c r="N231" i="4"/>
  <c r="P231" i="4"/>
  <c r="R231" i="4"/>
  <c r="L232" i="4"/>
  <c r="N232" i="4"/>
  <c r="P232" i="4"/>
  <c r="R232" i="4"/>
  <c r="L233" i="4"/>
  <c r="N233" i="4"/>
  <c r="P233" i="4"/>
  <c r="R233" i="4"/>
  <c r="L234" i="4"/>
  <c r="N234" i="4"/>
  <c r="P234" i="4"/>
  <c r="R234" i="4"/>
  <c r="L235" i="4"/>
  <c r="N235" i="4"/>
  <c r="P235" i="4"/>
  <c r="R235" i="4"/>
  <c r="L236" i="4"/>
  <c r="N236" i="4"/>
  <c r="P236" i="4"/>
  <c r="R236" i="4"/>
  <c r="L237" i="4"/>
  <c r="N237" i="4"/>
  <c r="P237" i="4"/>
  <c r="R237" i="4"/>
  <c r="L238" i="4"/>
  <c r="N238" i="4"/>
  <c r="P238" i="4"/>
  <c r="R238" i="4"/>
  <c r="L239" i="4"/>
  <c r="N239" i="4"/>
  <c r="P239" i="4"/>
  <c r="R239" i="4"/>
  <c r="M220" i="4"/>
  <c r="O220" i="4"/>
  <c r="Q220" i="4"/>
  <c r="S220" i="4"/>
  <c r="M221" i="4"/>
  <c r="O221" i="4"/>
  <c r="Q221" i="4"/>
  <c r="S221" i="4"/>
  <c r="M222" i="4"/>
  <c r="O222" i="4"/>
  <c r="Q222" i="4"/>
  <c r="S222" i="4"/>
  <c r="M223" i="4"/>
  <c r="O223" i="4"/>
  <c r="Q223" i="4"/>
  <c r="S223" i="4"/>
  <c r="M224" i="4"/>
  <c r="O224" i="4"/>
  <c r="Q224" i="4"/>
  <c r="S224" i="4"/>
  <c r="M225" i="4"/>
  <c r="O225" i="4"/>
  <c r="Q225" i="4"/>
  <c r="S225" i="4"/>
  <c r="M226" i="4"/>
  <c r="O226" i="4"/>
  <c r="Q226" i="4"/>
  <c r="S226" i="4"/>
  <c r="M227" i="4"/>
  <c r="O227" i="4"/>
  <c r="Q227" i="4"/>
  <c r="S227" i="4"/>
  <c r="M228" i="4"/>
  <c r="O228" i="4"/>
  <c r="Q228" i="4"/>
  <c r="S228" i="4"/>
  <c r="M229" i="4"/>
  <c r="O229" i="4"/>
  <c r="Q229" i="4"/>
  <c r="S229" i="4"/>
  <c r="M230" i="4"/>
  <c r="O230" i="4"/>
  <c r="Q230" i="4"/>
  <c r="S230" i="4"/>
  <c r="M231" i="4"/>
  <c r="O231" i="4"/>
  <c r="Q231" i="4"/>
  <c r="S231" i="4"/>
  <c r="M232" i="4"/>
  <c r="O232" i="4"/>
  <c r="Q232" i="4"/>
  <c r="S232" i="4"/>
  <c r="M233" i="4"/>
  <c r="O233" i="4"/>
  <c r="Q233" i="4"/>
  <c r="S233" i="4"/>
  <c r="M234" i="4"/>
  <c r="O234" i="4"/>
  <c r="Q234" i="4"/>
  <c r="S234" i="4"/>
  <c r="M235" i="4"/>
  <c r="O235" i="4"/>
  <c r="Q235" i="4"/>
  <c r="S235" i="4"/>
  <c r="M236" i="4"/>
  <c r="O236" i="4"/>
  <c r="Q236" i="4"/>
  <c r="S236" i="4"/>
  <c r="M237" i="4"/>
  <c r="O237" i="4"/>
  <c r="Q237" i="4"/>
  <c r="S237" i="4"/>
  <c r="M238" i="4"/>
  <c r="O238" i="4"/>
  <c r="Q238" i="4"/>
  <c r="S238" i="4"/>
  <c r="M239" i="4"/>
  <c r="O239" i="4"/>
  <c r="Q239" i="4"/>
  <c r="S239" i="4"/>
  <c r="R240" i="4"/>
  <c r="P240" i="4"/>
  <c r="N240" i="4"/>
  <c r="L240" i="4"/>
  <c r="J240" i="4"/>
  <c r="H240" i="4"/>
  <c r="F240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B216" i="4"/>
  <c r="Z216" i="4"/>
  <c r="X196" i="4"/>
  <c r="Y196" i="4"/>
  <c r="X216" i="4"/>
  <c r="V196" i="4"/>
  <c r="W196" i="4"/>
  <c r="V216" i="4"/>
  <c r="T196" i="4"/>
  <c r="U196" i="4"/>
  <c r="T216" i="4"/>
  <c r="L196" i="4"/>
  <c r="N196" i="4"/>
  <c r="P196" i="4"/>
  <c r="R196" i="4"/>
  <c r="L197" i="4"/>
  <c r="N197" i="4"/>
  <c r="P197" i="4"/>
  <c r="R197" i="4"/>
  <c r="L198" i="4"/>
  <c r="N198" i="4"/>
  <c r="P198" i="4"/>
  <c r="R198" i="4"/>
  <c r="L199" i="4"/>
  <c r="N199" i="4"/>
  <c r="P199" i="4"/>
  <c r="R199" i="4"/>
  <c r="L200" i="4"/>
  <c r="N200" i="4"/>
  <c r="P200" i="4"/>
  <c r="R200" i="4"/>
  <c r="L201" i="4"/>
  <c r="N201" i="4"/>
  <c r="P201" i="4"/>
  <c r="R201" i="4"/>
  <c r="L202" i="4"/>
  <c r="N202" i="4"/>
  <c r="P202" i="4"/>
  <c r="R202" i="4"/>
  <c r="L203" i="4"/>
  <c r="N203" i="4"/>
  <c r="P203" i="4"/>
  <c r="R203" i="4"/>
  <c r="L204" i="4"/>
  <c r="N204" i="4"/>
  <c r="P204" i="4"/>
  <c r="R204" i="4"/>
  <c r="L205" i="4"/>
  <c r="N205" i="4"/>
  <c r="P205" i="4"/>
  <c r="R205" i="4"/>
  <c r="L206" i="4"/>
  <c r="N206" i="4"/>
  <c r="P206" i="4"/>
  <c r="R206" i="4"/>
  <c r="L207" i="4"/>
  <c r="N207" i="4"/>
  <c r="P207" i="4"/>
  <c r="R207" i="4"/>
  <c r="L208" i="4"/>
  <c r="N208" i="4"/>
  <c r="P208" i="4"/>
  <c r="R208" i="4"/>
  <c r="L209" i="4"/>
  <c r="N209" i="4"/>
  <c r="P209" i="4"/>
  <c r="R209" i="4"/>
  <c r="L210" i="4"/>
  <c r="N210" i="4"/>
  <c r="P210" i="4"/>
  <c r="R210" i="4"/>
  <c r="L211" i="4"/>
  <c r="N211" i="4"/>
  <c r="P211" i="4"/>
  <c r="R211" i="4"/>
  <c r="L212" i="4"/>
  <c r="N212" i="4"/>
  <c r="P212" i="4"/>
  <c r="R212" i="4"/>
  <c r="L213" i="4"/>
  <c r="N213" i="4"/>
  <c r="P213" i="4"/>
  <c r="R213" i="4"/>
  <c r="L214" i="4"/>
  <c r="N214" i="4"/>
  <c r="P214" i="4"/>
  <c r="R214" i="4"/>
  <c r="L215" i="4"/>
  <c r="N215" i="4"/>
  <c r="P215" i="4"/>
  <c r="R215" i="4"/>
  <c r="M196" i="4"/>
  <c r="O196" i="4"/>
  <c r="Q196" i="4"/>
  <c r="S196" i="4"/>
  <c r="M197" i="4"/>
  <c r="O197" i="4"/>
  <c r="Q197" i="4"/>
  <c r="S197" i="4"/>
  <c r="M198" i="4"/>
  <c r="O198" i="4"/>
  <c r="Q198" i="4"/>
  <c r="S198" i="4"/>
  <c r="M199" i="4"/>
  <c r="O199" i="4"/>
  <c r="Q199" i="4"/>
  <c r="S199" i="4"/>
  <c r="M200" i="4"/>
  <c r="O200" i="4"/>
  <c r="Q200" i="4"/>
  <c r="S200" i="4"/>
  <c r="M201" i="4"/>
  <c r="O201" i="4"/>
  <c r="Q201" i="4"/>
  <c r="S201" i="4"/>
  <c r="M202" i="4"/>
  <c r="O202" i="4"/>
  <c r="Q202" i="4"/>
  <c r="S202" i="4"/>
  <c r="M203" i="4"/>
  <c r="O203" i="4"/>
  <c r="Q203" i="4"/>
  <c r="S203" i="4"/>
  <c r="M204" i="4"/>
  <c r="O204" i="4"/>
  <c r="Q204" i="4"/>
  <c r="S204" i="4"/>
  <c r="M205" i="4"/>
  <c r="O205" i="4"/>
  <c r="Q205" i="4"/>
  <c r="S205" i="4"/>
  <c r="M206" i="4"/>
  <c r="O206" i="4"/>
  <c r="Q206" i="4"/>
  <c r="S206" i="4"/>
  <c r="M207" i="4"/>
  <c r="O207" i="4"/>
  <c r="Q207" i="4"/>
  <c r="S207" i="4"/>
  <c r="M208" i="4"/>
  <c r="O208" i="4"/>
  <c r="Q208" i="4"/>
  <c r="S208" i="4"/>
  <c r="M209" i="4"/>
  <c r="O209" i="4"/>
  <c r="Q209" i="4"/>
  <c r="S209" i="4"/>
  <c r="M210" i="4"/>
  <c r="O210" i="4"/>
  <c r="Q210" i="4"/>
  <c r="S210" i="4"/>
  <c r="M211" i="4"/>
  <c r="O211" i="4"/>
  <c r="Q211" i="4"/>
  <c r="S211" i="4"/>
  <c r="M212" i="4"/>
  <c r="O212" i="4"/>
  <c r="Q212" i="4"/>
  <c r="S212" i="4"/>
  <c r="M213" i="4"/>
  <c r="O213" i="4"/>
  <c r="Q213" i="4"/>
  <c r="S213" i="4"/>
  <c r="M214" i="4"/>
  <c r="O214" i="4"/>
  <c r="Q214" i="4"/>
  <c r="S214" i="4"/>
  <c r="M215" i="4"/>
  <c r="O215" i="4"/>
  <c r="Q215" i="4"/>
  <c r="S215" i="4"/>
  <c r="R216" i="4"/>
  <c r="P216" i="4"/>
  <c r="N216" i="4"/>
  <c r="L216" i="4"/>
  <c r="J216" i="4"/>
  <c r="H216" i="4"/>
  <c r="F216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B192" i="4"/>
  <c r="Z192" i="4"/>
  <c r="X172" i="4"/>
  <c r="Y172" i="4"/>
  <c r="X192" i="4"/>
  <c r="V172" i="4"/>
  <c r="W172" i="4"/>
  <c r="V192" i="4"/>
  <c r="T172" i="4"/>
  <c r="U172" i="4"/>
  <c r="T192" i="4"/>
  <c r="L172" i="4"/>
  <c r="N172" i="4"/>
  <c r="P172" i="4"/>
  <c r="R172" i="4"/>
  <c r="L173" i="4"/>
  <c r="N173" i="4"/>
  <c r="P173" i="4"/>
  <c r="R173" i="4"/>
  <c r="L174" i="4"/>
  <c r="N174" i="4"/>
  <c r="P174" i="4"/>
  <c r="R174" i="4"/>
  <c r="L175" i="4"/>
  <c r="N175" i="4"/>
  <c r="P175" i="4"/>
  <c r="R175" i="4"/>
  <c r="L176" i="4"/>
  <c r="N176" i="4"/>
  <c r="P176" i="4"/>
  <c r="R176" i="4"/>
  <c r="L177" i="4"/>
  <c r="N177" i="4"/>
  <c r="P177" i="4"/>
  <c r="R177" i="4"/>
  <c r="L178" i="4"/>
  <c r="N178" i="4"/>
  <c r="P178" i="4"/>
  <c r="R178" i="4"/>
  <c r="L179" i="4"/>
  <c r="N179" i="4"/>
  <c r="P179" i="4"/>
  <c r="R179" i="4"/>
  <c r="L180" i="4"/>
  <c r="N180" i="4"/>
  <c r="P180" i="4"/>
  <c r="R180" i="4"/>
  <c r="L181" i="4"/>
  <c r="N181" i="4"/>
  <c r="P181" i="4"/>
  <c r="R181" i="4"/>
  <c r="L182" i="4"/>
  <c r="N182" i="4"/>
  <c r="P182" i="4"/>
  <c r="R182" i="4"/>
  <c r="L183" i="4"/>
  <c r="N183" i="4"/>
  <c r="P183" i="4"/>
  <c r="R183" i="4"/>
  <c r="L184" i="4"/>
  <c r="N184" i="4"/>
  <c r="P184" i="4"/>
  <c r="R184" i="4"/>
  <c r="L185" i="4"/>
  <c r="N185" i="4"/>
  <c r="P185" i="4"/>
  <c r="R185" i="4"/>
  <c r="L186" i="4"/>
  <c r="N186" i="4"/>
  <c r="P186" i="4"/>
  <c r="R186" i="4"/>
  <c r="L187" i="4"/>
  <c r="N187" i="4"/>
  <c r="P187" i="4"/>
  <c r="R187" i="4"/>
  <c r="L188" i="4"/>
  <c r="N188" i="4"/>
  <c r="P188" i="4"/>
  <c r="R188" i="4"/>
  <c r="L189" i="4"/>
  <c r="N189" i="4"/>
  <c r="P189" i="4"/>
  <c r="R189" i="4"/>
  <c r="L190" i="4"/>
  <c r="N190" i="4"/>
  <c r="P190" i="4"/>
  <c r="R190" i="4"/>
  <c r="L191" i="4"/>
  <c r="N191" i="4"/>
  <c r="P191" i="4"/>
  <c r="R191" i="4"/>
  <c r="M172" i="4"/>
  <c r="O172" i="4"/>
  <c r="Q172" i="4"/>
  <c r="S172" i="4"/>
  <c r="M173" i="4"/>
  <c r="O173" i="4"/>
  <c r="Q173" i="4"/>
  <c r="S173" i="4"/>
  <c r="M174" i="4"/>
  <c r="O174" i="4"/>
  <c r="Q174" i="4"/>
  <c r="S174" i="4"/>
  <c r="M175" i="4"/>
  <c r="O175" i="4"/>
  <c r="Q175" i="4"/>
  <c r="S175" i="4"/>
  <c r="M176" i="4"/>
  <c r="O176" i="4"/>
  <c r="Q176" i="4"/>
  <c r="S176" i="4"/>
  <c r="M177" i="4"/>
  <c r="O177" i="4"/>
  <c r="Q177" i="4"/>
  <c r="S177" i="4"/>
  <c r="M178" i="4"/>
  <c r="O178" i="4"/>
  <c r="Q178" i="4"/>
  <c r="S178" i="4"/>
  <c r="M179" i="4"/>
  <c r="O179" i="4"/>
  <c r="Q179" i="4"/>
  <c r="S179" i="4"/>
  <c r="M180" i="4"/>
  <c r="O180" i="4"/>
  <c r="Q180" i="4"/>
  <c r="S180" i="4"/>
  <c r="M181" i="4"/>
  <c r="O181" i="4"/>
  <c r="Q181" i="4"/>
  <c r="S181" i="4"/>
  <c r="M182" i="4"/>
  <c r="O182" i="4"/>
  <c r="Q182" i="4"/>
  <c r="S182" i="4"/>
  <c r="M183" i="4"/>
  <c r="O183" i="4"/>
  <c r="Q183" i="4"/>
  <c r="S183" i="4"/>
  <c r="M184" i="4"/>
  <c r="O184" i="4"/>
  <c r="Q184" i="4"/>
  <c r="S184" i="4"/>
  <c r="M185" i="4"/>
  <c r="O185" i="4"/>
  <c r="Q185" i="4"/>
  <c r="S185" i="4"/>
  <c r="M186" i="4"/>
  <c r="O186" i="4"/>
  <c r="Q186" i="4"/>
  <c r="S186" i="4"/>
  <c r="M187" i="4"/>
  <c r="O187" i="4"/>
  <c r="Q187" i="4"/>
  <c r="S187" i="4"/>
  <c r="M188" i="4"/>
  <c r="O188" i="4"/>
  <c r="Q188" i="4"/>
  <c r="S188" i="4"/>
  <c r="M189" i="4"/>
  <c r="O189" i="4"/>
  <c r="Q189" i="4"/>
  <c r="S189" i="4"/>
  <c r="M190" i="4"/>
  <c r="O190" i="4"/>
  <c r="Q190" i="4"/>
  <c r="S190" i="4"/>
  <c r="M191" i="4"/>
  <c r="O191" i="4"/>
  <c r="Q191" i="4"/>
  <c r="S191" i="4"/>
  <c r="R192" i="4"/>
  <c r="P192" i="4"/>
  <c r="N192" i="4"/>
  <c r="L192" i="4"/>
  <c r="J192" i="4"/>
  <c r="H192" i="4"/>
  <c r="F192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B168" i="4"/>
  <c r="Z168" i="4"/>
  <c r="X148" i="4"/>
  <c r="Y148" i="4"/>
  <c r="X168" i="4"/>
  <c r="V148" i="4"/>
  <c r="W148" i="4"/>
  <c r="V168" i="4"/>
  <c r="T148" i="4"/>
  <c r="U148" i="4"/>
  <c r="T168" i="4"/>
  <c r="L148" i="4"/>
  <c r="N148" i="4"/>
  <c r="P148" i="4"/>
  <c r="R148" i="4"/>
  <c r="L149" i="4"/>
  <c r="N149" i="4"/>
  <c r="P149" i="4"/>
  <c r="R149" i="4"/>
  <c r="L150" i="4"/>
  <c r="N150" i="4"/>
  <c r="P150" i="4"/>
  <c r="R150" i="4"/>
  <c r="L151" i="4"/>
  <c r="N151" i="4"/>
  <c r="P151" i="4"/>
  <c r="R151" i="4"/>
  <c r="L152" i="4"/>
  <c r="N152" i="4"/>
  <c r="P152" i="4"/>
  <c r="R152" i="4"/>
  <c r="L153" i="4"/>
  <c r="N153" i="4"/>
  <c r="P153" i="4"/>
  <c r="R153" i="4"/>
  <c r="L154" i="4"/>
  <c r="N154" i="4"/>
  <c r="P154" i="4"/>
  <c r="R154" i="4"/>
  <c r="L155" i="4"/>
  <c r="N155" i="4"/>
  <c r="P155" i="4"/>
  <c r="R155" i="4"/>
  <c r="L156" i="4"/>
  <c r="N156" i="4"/>
  <c r="P156" i="4"/>
  <c r="R156" i="4"/>
  <c r="L157" i="4"/>
  <c r="N157" i="4"/>
  <c r="P157" i="4"/>
  <c r="R157" i="4"/>
  <c r="L158" i="4"/>
  <c r="N158" i="4"/>
  <c r="P158" i="4"/>
  <c r="R158" i="4"/>
  <c r="L159" i="4"/>
  <c r="N159" i="4"/>
  <c r="P159" i="4"/>
  <c r="R159" i="4"/>
  <c r="L160" i="4"/>
  <c r="N160" i="4"/>
  <c r="P160" i="4"/>
  <c r="R160" i="4"/>
  <c r="L161" i="4"/>
  <c r="N161" i="4"/>
  <c r="P161" i="4"/>
  <c r="R161" i="4"/>
  <c r="L162" i="4"/>
  <c r="N162" i="4"/>
  <c r="P162" i="4"/>
  <c r="R162" i="4"/>
  <c r="L163" i="4"/>
  <c r="N163" i="4"/>
  <c r="P163" i="4"/>
  <c r="R163" i="4"/>
  <c r="L164" i="4"/>
  <c r="N164" i="4"/>
  <c r="P164" i="4"/>
  <c r="R164" i="4"/>
  <c r="L165" i="4"/>
  <c r="N165" i="4"/>
  <c r="P165" i="4"/>
  <c r="R165" i="4"/>
  <c r="L166" i="4"/>
  <c r="N166" i="4"/>
  <c r="P166" i="4"/>
  <c r="R166" i="4"/>
  <c r="L167" i="4"/>
  <c r="N167" i="4"/>
  <c r="P167" i="4"/>
  <c r="R167" i="4"/>
  <c r="M148" i="4"/>
  <c r="O148" i="4"/>
  <c r="Q148" i="4"/>
  <c r="S148" i="4"/>
  <c r="M149" i="4"/>
  <c r="O149" i="4"/>
  <c r="Q149" i="4"/>
  <c r="S149" i="4"/>
  <c r="M150" i="4"/>
  <c r="O150" i="4"/>
  <c r="Q150" i="4"/>
  <c r="S150" i="4"/>
  <c r="M151" i="4"/>
  <c r="O151" i="4"/>
  <c r="Q151" i="4"/>
  <c r="S151" i="4"/>
  <c r="M152" i="4"/>
  <c r="O152" i="4"/>
  <c r="Q152" i="4"/>
  <c r="S152" i="4"/>
  <c r="M153" i="4"/>
  <c r="O153" i="4"/>
  <c r="Q153" i="4"/>
  <c r="S153" i="4"/>
  <c r="M154" i="4"/>
  <c r="O154" i="4"/>
  <c r="Q154" i="4"/>
  <c r="S154" i="4"/>
  <c r="M155" i="4"/>
  <c r="O155" i="4"/>
  <c r="Q155" i="4"/>
  <c r="S155" i="4"/>
  <c r="M156" i="4"/>
  <c r="O156" i="4"/>
  <c r="Q156" i="4"/>
  <c r="S156" i="4"/>
  <c r="M157" i="4"/>
  <c r="O157" i="4"/>
  <c r="Q157" i="4"/>
  <c r="S157" i="4"/>
  <c r="M158" i="4"/>
  <c r="O158" i="4"/>
  <c r="Q158" i="4"/>
  <c r="S158" i="4"/>
  <c r="M159" i="4"/>
  <c r="O159" i="4"/>
  <c r="Q159" i="4"/>
  <c r="S159" i="4"/>
  <c r="M160" i="4"/>
  <c r="O160" i="4"/>
  <c r="Q160" i="4"/>
  <c r="S160" i="4"/>
  <c r="M161" i="4"/>
  <c r="O161" i="4"/>
  <c r="Q161" i="4"/>
  <c r="S161" i="4"/>
  <c r="M162" i="4"/>
  <c r="O162" i="4"/>
  <c r="Q162" i="4"/>
  <c r="S162" i="4"/>
  <c r="M163" i="4"/>
  <c r="O163" i="4"/>
  <c r="Q163" i="4"/>
  <c r="S163" i="4"/>
  <c r="M164" i="4"/>
  <c r="O164" i="4"/>
  <c r="Q164" i="4"/>
  <c r="S164" i="4"/>
  <c r="M165" i="4"/>
  <c r="O165" i="4"/>
  <c r="Q165" i="4"/>
  <c r="S165" i="4"/>
  <c r="M166" i="4"/>
  <c r="O166" i="4"/>
  <c r="Q166" i="4"/>
  <c r="S166" i="4"/>
  <c r="M167" i="4"/>
  <c r="O167" i="4"/>
  <c r="Q167" i="4"/>
  <c r="S167" i="4"/>
  <c r="R168" i="4"/>
  <c r="P168" i="4"/>
  <c r="N168" i="4"/>
  <c r="L168" i="4"/>
  <c r="J168" i="4"/>
  <c r="H168" i="4"/>
  <c r="F168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B144" i="4"/>
  <c r="Z144" i="4"/>
  <c r="X124" i="4"/>
  <c r="Y124" i="4"/>
  <c r="X144" i="4"/>
  <c r="V124" i="4"/>
  <c r="W124" i="4"/>
  <c r="V144" i="4"/>
  <c r="T124" i="4"/>
  <c r="U124" i="4"/>
  <c r="T144" i="4"/>
  <c r="L124" i="4"/>
  <c r="N124" i="4"/>
  <c r="P124" i="4"/>
  <c r="R124" i="4"/>
  <c r="L125" i="4"/>
  <c r="N125" i="4"/>
  <c r="P125" i="4"/>
  <c r="R125" i="4"/>
  <c r="L126" i="4"/>
  <c r="N126" i="4"/>
  <c r="P126" i="4"/>
  <c r="R126" i="4"/>
  <c r="L127" i="4"/>
  <c r="N127" i="4"/>
  <c r="P127" i="4"/>
  <c r="R127" i="4"/>
  <c r="L128" i="4"/>
  <c r="N128" i="4"/>
  <c r="P128" i="4"/>
  <c r="R128" i="4"/>
  <c r="L129" i="4"/>
  <c r="N129" i="4"/>
  <c r="P129" i="4"/>
  <c r="R129" i="4"/>
  <c r="L130" i="4"/>
  <c r="N130" i="4"/>
  <c r="P130" i="4"/>
  <c r="R130" i="4"/>
  <c r="L131" i="4"/>
  <c r="N131" i="4"/>
  <c r="P131" i="4"/>
  <c r="R131" i="4"/>
  <c r="L132" i="4"/>
  <c r="N132" i="4"/>
  <c r="P132" i="4"/>
  <c r="R132" i="4"/>
  <c r="L133" i="4"/>
  <c r="N133" i="4"/>
  <c r="P133" i="4"/>
  <c r="R133" i="4"/>
  <c r="L134" i="4"/>
  <c r="N134" i="4"/>
  <c r="P134" i="4"/>
  <c r="R134" i="4"/>
  <c r="L135" i="4"/>
  <c r="N135" i="4"/>
  <c r="P135" i="4"/>
  <c r="R135" i="4"/>
  <c r="L136" i="4"/>
  <c r="N136" i="4"/>
  <c r="P136" i="4"/>
  <c r="R136" i="4"/>
  <c r="L137" i="4"/>
  <c r="N137" i="4"/>
  <c r="P137" i="4"/>
  <c r="R137" i="4"/>
  <c r="L138" i="4"/>
  <c r="N138" i="4"/>
  <c r="P138" i="4"/>
  <c r="R138" i="4"/>
  <c r="L139" i="4"/>
  <c r="N139" i="4"/>
  <c r="P139" i="4"/>
  <c r="R139" i="4"/>
  <c r="L140" i="4"/>
  <c r="N140" i="4"/>
  <c r="P140" i="4"/>
  <c r="R140" i="4"/>
  <c r="L141" i="4"/>
  <c r="N141" i="4"/>
  <c r="P141" i="4"/>
  <c r="R141" i="4"/>
  <c r="L142" i="4"/>
  <c r="N142" i="4"/>
  <c r="P142" i="4"/>
  <c r="R142" i="4"/>
  <c r="L143" i="4"/>
  <c r="N143" i="4"/>
  <c r="P143" i="4"/>
  <c r="R143" i="4"/>
  <c r="M124" i="4"/>
  <c r="O124" i="4"/>
  <c r="Q124" i="4"/>
  <c r="S124" i="4"/>
  <c r="M125" i="4"/>
  <c r="O125" i="4"/>
  <c r="Q125" i="4"/>
  <c r="S125" i="4"/>
  <c r="M126" i="4"/>
  <c r="O126" i="4"/>
  <c r="Q126" i="4"/>
  <c r="S126" i="4"/>
  <c r="M127" i="4"/>
  <c r="O127" i="4"/>
  <c r="Q127" i="4"/>
  <c r="S127" i="4"/>
  <c r="M128" i="4"/>
  <c r="O128" i="4"/>
  <c r="Q128" i="4"/>
  <c r="S128" i="4"/>
  <c r="M129" i="4"/>
  <c r="O129" i="4"/>
  <c r="Q129" i="4"/>
  <c r="S129" i="4"/>
  <c r="M130" i="4"/>
  <c r="O130" i="4"/>
  <c r="Q130" i="4"/>
  <c r="S130" i="4"/>
  <c r="M131" i="4"/>
  <c r="O131" i="4"/>
  <c r="Q131" i="4"/>
  <c r="S131" i="4"/>
  <c r="M132" i="4"/>
  <c r="O132" i="4"/>
  <c r="Q132" i="4"/>
  <c r="S132" i="4"/>
  <c r="M133" i="4"/>
  <c r="O133" i="4"/>
  <c r="Q133" i="4"/>
  <c r="S133" i="4"/>
  <c r="M134" i="4"/>
  <c r="O134" i="4"/>
  <c r="Q134" i="4"/>
  <c r="S134" i="4"/>
  <c r="M135" i="4"/>
  <c r="O135" i="4"/>
  <c r="Q135" i="4"/>
  <c r="S135" i="4"/>
  <c r="M136" i="4"/>
  <c r="O136" i="4"/>
  <c r="Q136" i="4"/>
  <c r="S136" i="4"/>
  <c r="M137" i="4"/>
  <c r="O137" i="4"/>
  <c r="Q137" i="4"/>
  <c r="S137" i="4"/>
  <c r="M138" i="4"/>
  <c r="O138" i="4"/>
  <c r="Q138" i="4"/>
  <c r="S138" i="4"/>
  <c r="M139" i="4"/>
  <c r="O139" i="4"/>
  <c r="Q139" i="4"/>
  <c r="S139" i="4"/>
  <c r="M140" i="4"/>
  <c r="O140" i="4"/>
  <c r="Q140" i="4"/>
  <c r="S140" i="4"/>
  <c r="M141" i="4"/>
  <c r="O141" i="4"/>
  <c r="Q141" i="4"/>
  <c r="S141" i="4"/>
  <c r="M142" i="4"/>
  <c r="O142" i="4"/>
  <c r="Q142" i="4"/>
  <c r="S142" i="4"/>
  <c r="M143" i="4"/>
  <c r="O143" i="4"/>
  <c r="Q143" i="4"/>
  <c r="S143" i="4"/>
  <c r="R144" i="4"/>
  <c r="P144" i="4"/>
  <c r="N144" i="4"/>
  <c r="L144" i="4"/>
  <c r="J144" i="4"/>
  <c r="H144" i="4"/>
  <c r="F144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B120" i="4"/>
  <c r="Z120" i="4"/>
  <c r="X100" i="4"/>
  <c r="Y100" i="4"/>
  <c r="X120" i="4"/>
  <c r="V100" i="4"/>
  <c r="W100" i="4"/>
  <c r="V120" i="4"/>
  <c r="T100" i="4"/>
  <c r="U100" i="4"/>
  <c r="T120" i="4"/>
  <c r="L100" i="4"/>
  <c r="N100" i="4"/>
  <c r="P100" i="4"/>
  <c r="R100" i="4"/>
  <c r="L101" i="4"/>
  <c r="N101" i="4"/>
  <c r="P101" i="4"/>
  <c r="R101" i="4"/>
  <c r="L102" i="4"/>
  <c r="N102" i="4"/>
  <c r="P102" i="4"/>
  <c r="R102" i="4"/>
  <c r="L103" i="4"/>
  <c r="N103" i="4"/>
  <c r="P103" i="4"/>
  <c r="R103" i="4"/>
  <c r="L104" i="4"/>
  <c r="N104" i="4"/>
  <c r="P104" i="4"/>
  <c r="R104" i="4"/>
  <c r="L105" i="4"/>
  <c r="N105" i="4"/>
  <c r="P105" i="4"/>
  <c r="R105" i="4"/>
  <c r="L106" i="4"/>
  <c r="N106" i="4"/>
  <c r="P106" i="4"/>
  <c r="R106" i="4"/>
  <c r="L107" i="4"/>
  <c r="N107" i="4"/>
  <c r="P107" i="4"/>
  <c r="R107" i="4"/>
  <c r="L108" i="4"/>
  <c r="N108" i="4"/>
  <c r="P108" i="4"/>
  <c r="R108" i="4"/>
  <c r="L109" i="4"/>
  <c r="N109" i="4"/>
  <c r="P109" i="4"/>
  <c r="R109" i="4"/>
  <c r="L110" i="4"/>
  <c r="N110" i="4"/>
  <c r="P110" i="4"/>
  <c r="R110" i="4"/>
  <c r="L111" i="4"/>
  <c r="N111" i="4"/>
  <c r="P111" i="4"/>
  <c r="R111" i="4"/>
  <c r="L112" i="4"/>
  <c r="N112" i="4"/>
  <c r="P112" i="4"/>
  <c r="R112" i="4"/>
  <c r="L113" i="4"/>
  <c r="N113" i="4"/>
  <c r="P113" i="4"/>
  <c r="R113" i="4"/>
  <c r="L114" i="4"/>
  <c r="N114" i="4"/>
  <c r="P114" i="4"/>
  <c r="R114" i="4"/>
  <c r="L115" i="4"/>
  <c r="N115" i="4"/>
  <c r="P115" i="4"/>
  <c r="R115" i="4"/>
  <c r="L116" i="4"/>
  <c r="N116" i="4"/>
  <c r="P116" i="4"/>
  <c r="R116" i="4"/>
  <c r="L117" i="4"/>
  <c r="N117" i="4"/>
  <c r="P117" i="4"/>
  <c r="R117" i="4"/>
  <c r="L118" i="4"/>
  <c r="N118" i="4"/>
  <c r="P118" i="4"/>
  <c r="R118" i="4"/>
  <c r="L119" i="4"/>
  <c r="N119" i="4"/>
  <c r="P119" i="4"/>
  <c r="R119" i="4"/>
  <c r="M100" i="4"/>
  <c r="O100" i="4"/>
  <c r="Q100" i="4"/>
  <c r="S100" i="4"/>
  <c r="M101" i="4"/>
  <c r="O101" i="4"/>
  <c r="Q101" i="4"/>
  <c r="S101" i="4"/>
  <c r="M102" i="4"/>
  <c r="O102" i="4"/>
  <c r="Q102" i="4"/>
  <c r="S102" i="4"/>
  <c r="M103" i="4"/>
  <c r="O103" i="4"/>
  <c r="Q103" i="4"/>
  <c r="S103" i="4"/>
  <c r="M104" i="4"/>
  <c r="O104" i="4"/>
  <c r="Q104" i="4"/>
  <c r="S104" i="4"/>
  <c r="M105" i="4"/>
  <c r="O105" i="4"/>
  <c r="Q105" i="4"/>
  <c r="S105" i="4"/>
  <c r="M106" i="4"/>
  <c r="O106" i="4"/>
  <c r="Q106" i="4"/>
  <c r="S106" i="4"/>
  <c r="M107" i="4"/>
  <c r="O107" i="4"/>
  <c r="Q107" i="4"/>
  <c r="S107" i="4"/>
  <c r="M108" i="4"/>
  <c r="O108" i="4"/>
  <c r="Q108" i="4"/>
  <c r="S108" i="4"/>
  <c r="M109" i="4"/>
  <c r="O109" i="4"/>
  <c r="Q109" i="4"/>
  <c r="S109" i="4"/>
  <c r="M110" i="4"/>
  <c r="O110" i="4"/>
  <c r="Q110" i="4"/>
  <c r="S110" i="4"/>
  <c r="M111" i="4"/>
  <c r="O111" i="4"/>
  <c r="Q111" i="4"/>
  <c r="S111" i="4"/>
  <c r="M112" i="4"/>
  <c r="O112" i="4"/>
  <c r="Q112" i="4"/>
  <c r="S112" i="4"/>
  <c r="M113" i="4"/>
  <c r="O113" i="4"/>
  <c r="Q113" i="4"/>
  <c r="S113" i="4"/>
  <c r="M114" i="4"/>
  <c r="O114" i="4"/>
  <c r="Q114" i="4"/>
  <c r="S114" i="4"/>
  <c r="M115" i="4"/>
  <c r="O115" i="4"/>
  <c r="Q115" i="4"/>
  <c r="S115" i="4"/>
  <c r="M116" i="4"/>
  <c r="O116" i="4"/>
  <c r="Q116" i="4"/>
  <c r="S116" i="4"/>
  <c r="M117" i="4"/>
  <c r="O117" i="4"/>
  <c r="Q117" i="4"/>
  <c r="S117" i="4"/>
  <c r="M118" i="4"/>
  <c r="O118" i="4"/>
  <c r="Q118" i="4"/>
  <c r="S118" i="4"/>
  <c r="M119" i="4"/>
  <c r="O119" i="4"/>
  <c r="Q119" i="4"/>
  <c r="S119" i="4"/>
  <c r="R120" i="4"/>
  <c r="P120" i="4"/>
  <c r="N120" i="4"/>
  <c r="L120" i="4"/>
  <c r="J120" i="4"/>
  <c r="H120" i="4"/>
  <c r="F120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B96" i="4"/>
  <c r="Z96" i="4"/>
  <c r="X76" i="4"/>
  <c r="Y76" i="4"/>
  <c r="X96" i="4"/>
  <c r="V76" i="4"/>
  <c r="I82" i="4"/>
  <c r="W76" i="4"/>
  <c r="V96" i="4"/>
  <c r="T76" i="4"/>
  <c r="U76" i="4"/>
  <c r="T96" i="4"/>
  <c r="L76" i="4"/>
  <c r="N76" i="4"/>
  <c r="P76" i="4"/>
  <c r="R76" i="4"/>
  <c r="L77" i="4"/>
  <c r="N77" i="4"/>
  <c r="P77" i="4"/>
  <c r="R77" i="4"/>
  <c r="L78" i="4"/>
  <c r="N78" i="4"/>
  <c r="P78" i="4"/>
  <c r="R78" i="4"/>
  <c r="L79" i="4"/>
  <c r="N79" i="4"/>
  <c r="P79" i="4"/>
  <c r="R79" i="4"/>
  <c r="L80" i="4"/>
  <c r="N80" i="4"/>
  <c r="P80" i="4"/>
  <c r="R80" i="4"/>
  <c r="L81" i="4"/>
  <c r="N81" i="4"/>
  <c r="P81" i="4"/>
  <c r="R81" i="4"/>
  <c r="L82" i="4"/>
  <c r="N82" i="4"/>
  <c r="P82" i="4"/>
  <c r="R82" i="4"/>
  <c r="L83" i="4"/>
  <c r="N83" i="4"/>
  <c r="P83" i="4"/>
  <c r="R83" i="4"/>
  <c r="L84" i="4"/>
  <c r="N84" i="4"/>
  <c r="P84" i="4"/>
  <c r="R84" i="4"/>
  <c r="L85" i="4"/>
  <c r="N85" i="4"/>
  <c r="P85" i="4"/>
  <c r="R85" i="4"/>
  <c r="L86" i="4"/>
  <c r="N86" i="4"/>
  <c r="P86" i="4"/>
  <c r="R86" i="4"/>
  <c r="L87" i="4"/>
  <c r="N87" i="4"/>
  <c r="P87" i="4"/>
  <c r="R87" i="4"/>
  <c r="L88" i="4"/>
  <c r="N88" i="4"/>
  <c r="P88" i="4"/>
  <c r="R88" i="4"/>
  <c r="L89" i="4"/>
  <c r="N89" i="4"/>
  <c r="P89" i="4"/>
  <c r="R89" i="4"/>
  <c r="L90" i="4"/>
  <c r="N90" i="4"/>
  <c r="P90" i="4"/>
  <c r="R90" i="4"/>
  <c r="L91" i="4"/>
  <c r="N91" i="4"/>
  <c r="P91" i="4"/>
  <c r="R91" i="4"/>
  <c r="L92" i="4"/>
  <c r="N92" i="4"/>
  <c r="P92" i="4"/>
  <c r="R92" i="4"/>
  <c r="L93" i="4"/>
  <c r="N93" i="4"/>
  <c r="P93" i="4"/>
  <c r="R93" i="4"/>
  <c r="L94" i="4"/>
  <c r="N94" i="4"/>
  <c r="P94" i="4"/>
  <c r="R94" i="4"/>
  <c r="L95" i="4"/>
  <c r="N95" i="4"/>
  <c r="P95" i="4"/>
  <c r="R95" i="4"/>
  <c r="M76" i="4"/>
  <c r="O76" i="4"/>
  <c r="Q76" i="4"/>
  <c r="S76" i="4"/>
  <c r="M77" i="4"/>
  <c r="O77" i="4"/>
  <c r="Q77" i="4"/>
  <c r="S77" i="4"/>
  <c r="M78" i="4"/>
  <c r="O78" i="4"/>
  <c r="Q78" i="4"/>
  <c r="S78" i="4"/>
  <c r="M79" i="4"/>
  <c r="O79" i="4"/>
  <c r="Q79" i="4"/>
  <c r="S79" i="4"/>
  <c r="M80" i="4"/>
  <c r="O80" i="4"/>
  <c r="Q80" i="4"/>
  <c r="S80" i="4"/>
  <c r="M81" i="4"/>
  <c r="O81" i="4"/>
  <c r="Q81" i="4"/>
  <c r="S81" i="4"/>
  <c r="M82" i="4"/>
  <c r="O82" i="4"/>
  <c r="Q82" i="4"/>
  <c r="S82" i="4"/>
  <c r="M83" i="4"/>
  <c r="O83" i="4"/>
  <c r="Q83" i="4"/>
  <c r="S83" i="4"/>
  <c r="M84" i="4"/>
  <c r="O84" i="4"/>
  <c r="Q84" i="4"/>
  <c r="S84" i="4"/>
  <c r="M85" i="4"/>
  <c r="O85" i="4"/>
  <c r="Q85" i="4"/>
  <c r="S85" i="4"/>
  <c r="M86" i="4"/>
  <c r="O86" i="4"/>
  <c r="Q86" i="4"/>
  <c r="S86" i="4"/>
  <c r="M87" i="4"/>
  <c r="O87" i="4"/>
  <c r="Q87" i="4"/>
  <c r="S87" i="4"/>
  <c r="M88" i="4"/>
  <c r="O88" i="4"/>
  <c r="Q88" i="4"/>
  <c r="S88" i="4"/>
  <c r="M89" i="4"/>
  <c r="O89" i="4"/>
  <c r="Q89" i="4"/>
  <c r="S89" i="4"/>
  <c r="M90" i="4"/>
  <c r="O90" i="4"/>
  <c r="Q90" i="4"/>
  <c r="S90" i="4"/>
  <c r="M91" i="4"/>
  <c r="O91" i="4"/>
  <c r="Q91" i="4"/>
  <c r="S91" i="4"/>
  <c r="M92" i="4"/>
  <c r="O92" i="4"/>
  <c r="Q92" i="4"/>
  <c r="S92" i="4"/>
  <c r="M93" i="4"/>
  <c r="O93" i="4"/>
  <c r="Q93" i="4"/>
  <c r="S93" i="4"/>
  <c r="M94" i="4"/>
  <c r="O94" i="4"/>
  <c r="Q94" i="4"/>
  <c r="S94" i="4"/>
  <c r="M95" i="4"/>
  <c r="O95" i="4"/>
  <c r="Q95" i="4"/>
  <c r="S95" i="4"/>
  <c r="R96" i="4"/>
  <c r="P96" i="4"/>
  <c r="N96" i="4"/>
  <c r="L96" i="4"/>
  <c r="J96" i="4"/>
  <c r="H96" i="4"/>
  <c r="F96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B72" i="4"/>
  <c r="Z72" i="4"/>
  <c r="X52" i="4"/>
  <c r="Y52" i="4"/>
  <c r="X72" i="4"/>
  <c r="V52" i="4"/>
  <c r="W52" i="4"/>
  <c r="V72" i="4"/>
  <c r="T52" i="4"/>
  <c r="U52" i="4"/>
  <c r="T72" i="4"/>
  <c r="L52" i="4"/>
  <c r="N52" i="4"/>
  <c r="P52" i="4"/>
  <c r="R52" i="4"/>
  <c r="L53" i="4"/>
  <c r="N53" i="4"/>
  <c r="P53" i="4"/>
  <c r="R53" i="4"/>
  <c r="L54" i="4"/>
  <c r="N54" i="4"/>
  <c r="P54" i="4"/>
  <c r="R54" i="4"/>
  <c r="L55" i="4"/>
  <c r="N55" i="4"/>
  <c r="P55" i="4"/>
  <c r="R55" i="4"/>
  <c r="L56" i="4"/>
  <c r="N56" i="4"/>
  <c r="P56" i="4"/>
  <c r="R56" i="4"/>
  <c r="L57" i="4"/>
  <c r="N57" i="4"/>
  <c r="P57" i="4"/>
  <c r="R57" i="4"/>
  <c r="L58" i="4"/>
  <c r="N58" i="4"/>
  <c r="P58" i="4"/>
  <c r="R58" i="4"/>
  <c r="L59" i="4"/>
  <c r="N59" i="4"/>
  <c r="P59" i="4"/>
  <c r="R59" i="4"/>
  <c r="L60" i="4"/>
  <c r="N60" i="4"/>
  <c r="P60" i="4"/>
  <c r="R60" i="4"/>
  <c r="L61" i="4"/>
  <c r="N61" i="4"/>
  <c r="P61" i="4"/>
  <c r="R61" i="4"/>
  <c r="L62" i="4"/>
  <c r="N62" i="4"/>
  <c r="P62" i="4"/>
  <c r="R62" i="4"/>
  <c r="L63" i="4"/>
  <c r="N63" i="4"/>
  <c r="P63" i="4"/>
  <c r="R63" i="4"/>
  <c r="L64" i="4"/>
  <c r="N64" i="4"/>
  <c r="P64" i="4"/>
  <c r="R64" i="4"/>
  <c r="L65" i="4"/>
  <c r="N65" i="4"/>
  <c r="P65" i="4"/>
  <c r="R65" i="4"/>
  <c r="L66" i="4"/>
  <c r="N66" i="4"/>
  <c r="P66" i="4"/>
  <c r="R66" i="4"/>
  <c r="L67" i="4"/>
  <c r="N67" i="4"/>
  <c r="P67" i="4"/>
  <c r="R67" i="4"/>
  <c r="L68" i="4"/>
  <c r="N68" i="4"/>
  <c r="P68" i="4"/>
  <c r="R68" i="4"/>
  <c r="L69" i="4"/>
  <c r="N69" i="4"/>
  <c r="P69" i="4"/>
  <c r="R69" i="4"/>
  <c r="L70" i="4"/>
  <c r="N70" i="4"/>
  <c r="P70" i="4"/>
  <c r="R70" i="4"/>
  <c r="L71" i="4"/>
  <c r="N71" i="4"/>
  <c r="P71" i="4"/>
  <c r="R71" i="4"/>
  <c r="M52" i="4"/>
  <c r="O52" i="4"/>
  <c r="Q52" i="4"/>
  <c r="S52" i="4"/>
  <c r="M53" i="4"/>
  <c r="O53" i="4"/>
  <c r="Q53" i="4"/>
  <c r="S53" i="4"/>
  <c r="M54" i="4"/>
  <c r="O54" i="4"/>
  <c r="Q54" i="4"/>
  <c r="S54" i="4"/>
  <c r="M55" i="4"/>
  <c r="O55" i="4"/>
  <c r="Q55" i="4"/>
  <c r="S55" i="4"/>
  <c r="M56" i="4"/>
  <c r="O56" i="4"/>
  <c r="Q56" i="4"/>
  <c r="S56" i="4"/>
  <c r="M57" i="4"/>
  <c r="O57" i="4"/>
  <c r="Q57" i="4"/>
  <c r="S57" i="4"/>
  <c r="M58" i="4"/>
  <c r="O58" i="4"/>
  <c r="Q58" i="4"/>
  <c r="S58" i="4"/>
  <c r="M59" i="4"/>
  <c r="O59" i="4"/>
  <c r="Q59" i="4"/>
  <c r="S59" i="4"/>
  <c r="M60" i="4"/>
  <c r="O60" i="4"/>
  <c r="Q60" i="4"/>
  <c r="S60" i="4"/>
  <c r="M61" i="4"/>
  <c r="O61" i="4"/>
  <c r="Q61" i="4"/>
  <c r="S61" i="4"/>
  <c r="M62" i="4"/>
  <c r="O62" i="4"/>
  <c r="Q62" i="4"/>
  <c r="S62" i="4"/>
  <c r="M63" i="4"/>
  <c r="O63" i="4"/>
  <c r="Q63" i="4"/>
  <c r="S63" i="4"/>
  <c r="M64" i="4"/>
  <c r="O64" i="4"/>
  <c r="Q64" i="4"/>
  <c r="S64" i="4"/>
  <c r="M65" i="4"/>
  <c r="O65" i="4"/>
  <c r="Q65" i="4"/>
  <c r="S65" i="4"/>
  <c r="M66" i="4"/>
  <c r="O66" i="4"/>
  <c r="Q66" i="4"/>
  <c r="S66" i="4"/>
  <c r="M67" i="4"/>
  <c r="O67" i="4"/>
  <c r="Q67" i="4"/>
  <c r="S67" i="4"/>
  <c r="M68" i="4"/>
  <c r="O68" i="4"/>
  <c r="Q68" i="4"/>
  <c r="S68" i="4"/>
  <c r="M69" i="4"/>
  <c r="O69" i="4"/>
  <c r="Q69" i="4"/>
  <c r="S69" i="4"/>
  <c r="M70" i="4"/>
  <c r="O70" i="4"/>
  <c r="Q70" i="4"/>
  <c r="S70" i="4"/>
  <c r="M71" i="4"/>
  <c r="O71" i="4"/>
  <c r="Q71" i="4"/>
  <c r="S71" i="4"/>
  <c r="R72" i="4"/>
  <c r="P72" i="4"/>
  <c r="N72" i="4"/>
  <c r="L72" i="4"/>
  <c r="J72" i="4"/>
  <c r="H72" i="4"/>
  <c r="F72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B48" i="4"/>
  <c r="Z48" i="4"/>
  <c r="X28" i="4"/>
  <c r="Y28" i="4"/>
  <c r="X48" i="4"/>
  <c r="V28" i="4"/>
  <c r="W28" i="4"/>
  <c r="V48" i="4"/>
  <c r="T28" i="4"/>
  <c r="U28" i="4"/>
  <c r="T48" i="4"/>
  <c r="L28" i="4"/>
  <c r="N28" i="4"/>
  <c r="P28" i="4"/>
  <c r="R28" i="4"/>
  <c r="L29" i="4"/>
  <c r="N29" i="4"/>
  <c r="P29" i="4"/>
  <c r="R29" i="4"/>
  <c r="L30" i="4"/>
  <c r="N30" i="4"/>
  <c r="P30" i="4"/>
  <c r="R30" i="4"/>
  <c r="L31" i="4"/>
  <c r="N31" i="4"/>
  <c r="P31" i="4"/>
  <c r="R31" i="4"/>
  <c r="L32" i="4"/>
  <c r="N32" i="4"/>
  <c r="P32" i="4"/>
  <c r="R32" i="4"/>
  <c r="L33" i="4"/>
  <c r="N33" i="4"/>
  <c r="P33" i="4"/>
  <c r="R33" i="4"/>
  <c r="L34" i="4"/>
  <c r="N34" i="4"/>
  <c r="P34" i="4"/>
  <c r="R34" i="4"/>
  <c r="L35" i="4"/>
  <c r="N35" i="4"/>
  <c r="P35" i="4"/>
  <c r="R35" i="4"/>
  <c r="L36" i="4"/>
  <c r="N36" i="4"/>
  <c r="P36" i="4"/>
  <c r="R36" i="4"/>
  <c r="L37" i="4"/>
  <c r="N37" i="4"/>
  <c r="P37" i="4"/>
  <c r="R37" i="4"/>
  <c r="L38" i="4"/>
  <c r="N38" i="4"/>
  <c r="P38" i="4"/>
  <c r="R38" i="4"/>
  <c r="L39" i="4"/>
  <c r="N39" i="4"/>
  <c r="P39" i="4"/>
  <c r="R39" i="4"/>
  <c r="L40" i="4"/>
  <c r="N40" i="4"/>
  <c r="P40" i="4"/>
  <c r="R40" i="4"/>
  <c r="L41" i="4"/>
  <c r="N41" i="4"/>
  <c r="P41" i="4"/>
  <c r="R41" i="4"/>
  <c r="L42" i="4"/>
  <c r="N42" i="4"/>
  <c r="P42" i="4"/>
  <c r="R42" i="4"/>
  <c r="L43" i="4"/>
  <c r="N43" i="4"/>
  <c r="P43" i="4"/>
  <c r="R43" i="4"/>
  <c r="L44" i="4"/>
  <c r="N44" i="4"/>
  <c r="P44" i="4"/>
  <c r="R44" i="4"/>
  <c r="L45" i="4"/>
  <c r="N45" i="4"/>
  <c r="P45" i="4"/>
  <c r="R45" i="4"/>
  <c r="L46" i="4"/>
  <c r="N46" i="4"/>
  <c r="P46" i="4"/>
  <c r="R46" i="4"/>
  <c r="L47" i="4"/>
  <c r="N47" i="4"/>
  <c r="P47" i="4"/>
  <c r="R47" i="4"/>
  <c r="M28" i="4"/>
  <c r="O28" i="4"/>
  <c r="Q28" i="4"/>
  <c r="S28" i="4"/>
  <c r="M29" i="4"/>
  <c r="O29" i="4"/>
  <c r="Q29" i="4"/>
  <c r="S29" i="4"/>
  <c r="M30" i="4"/>
  <c r="O30" i="4"/>
  <c r="Q30" i="4"/>
  <c r="S30" i="4"/>
  <c r="M31" i="4"/>
  <c r="O31" i="4"/>
  <c r="Q31" i="4"/>
  <c r="S31" i="4"/>
  <c r="M32" i="4"/>
  <c r="O32" i="4"/>
  <c r="Q32" i="4"/>
  <c r="S32" i="4"/>
  <c r="M33" i="4"/>
  <c r="O33" i="4"/>
  <c r="Q33" i="4"/>
  <c r="S33" i="4"/>
  <c r="M34" i="4"/>
  <c r="O34" i="4"/>
  <c r="Q34" i="4"/>
  <c r="S34" i="4"/>
  <c r="M35" i="4"/>
  <c r="O35" i="4"/>
  <c r="Q35" i="4"/>
  <c r="S35" i="4"/>
  <c r="M36" i="4"/>
  <c r="O36" i="4"/>
  <c r="Q36" i="4"/>
  <c r="S36" i="4"/>
  <c r="M37" i="4"/>
  <c r="O37" i="4"/>
  <c r="Q37" i="4"/>
  <c r="S37" i="4"/>
  <c r="M38" i="4"/>
  <c r="O38" i="4"/>
  <c r="Q38" i="4"/>
  <c r="S38" i="4"/>
  <c r="M39" i="4"/>
  <c r="O39" i="4"/>
  <c r="Q39" i="4"/>
  <c r="S39" i="4"/>
  <c r="M40" i="4"/>
  <c r="O40" i="4"/>
  <c r="Q40" i="4"/>
  <c r="S40" i="4"/>
  <c r="M41" i="4"/>
  <c r="O41" i="4"/>
  <c r="Q41" i="4"/>
  <c r="S41" i="4"/>
  <c r="M42" i="4"/>
  <c r="O42" i="4"/>
  <c r="Q42" i="4"/>
  <c r="S42" i="4"/>
  <c r="M43" i="4"/>
  <c r="O43" i="4"/>
  <c r="Q43" i="4"/>
  <c r="S43" i="4"/>
  <c r="M44" i="4"/>
  <c r="O44" i="4"/>
  <c r="Q44" i="4"/>
  <c r="S44" i="4"/>
  <c r="M45" i="4"/>
  <c r="O45" i="4"/>
  <c r="Q45" i="4"/>
  <c r="S45" i="4"/>
  <c r="M46" i="4"/>
  <c r="O46" i="4"/>
  <c r="Q46" i="4"/>
  <c r="S46" i="4"/>
  <c r="M47" i="4"/>
  <c r="O47" i="4"/>
  <c r="Q47" i="4"/>
  <c r="S47" i="4"/>
  <c r="R48" i="4"/>
  <c r="P48" i="4"/>
  <c r="N48" i="4"/>
  <c r="L48" i="4"/>
  <c r="J48" i="4"/>
  <c r="H48" i="4"/>
  <c r="F48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B24" i="4"/>
  <c r="Z24" i="4"/>
  <c r="X4" i="4"/>
  <c r="Y4" i="4"/>
  <c r="X24" i="4"/>
  <c r="V4" i="4"/>
  <c r="W4" i="4"/>
  <c r="V24" i="4"/>
  <c r="T4" i="4"/>
  <c r="U4" i="4"/>
  <c r="T24" i="4"/>
  <c r="L4" i="4"/>
  <c r="N4" i="4"/>
  <c r="P4" i="4"/>
  <c r="R4" i="4"/>
  <c r="L5" i="4"/>
  <c r="N5" i="4"/>
  <c r="P5" i="4"/>
  <c r="R5" i="4"/>
  <c r="L6" i="4"/>
  <c r="N6" i="4"/>
  <c r="P6" i="4"/>
  <c r="R6" i="4"/>
  <c r="L7" i="4"/>
  <c r="N7" i="4"/>
  <c r="P7" i="4"/>
  <c r="R7" i="4"/>
  <c r="L8" i="4"/>
  <c r="N8" i="4"/>
  <c r="P8" i="4"/>
  <c r="R8" i="4"/>
  <c r="L9" i="4"/>
  <c r="N9" i="4"/>
  <c r="P9" i="4"/>
  <c r="R9" i="4"/>
  <c r="L10" i="4"/>
  <c r="N10" i="4"/>
  <c r="P10" i="4"/>
  <c r="R10" i="4"/>
  <c r="L11" i="4"/>
  <c r="N11" i="4"/>
  <c r="P11" i="4"/>
  <c r="R11" i="4"/>
  <c r="L12" i="4"/>
  <c r="N12" i="4"/>
  <c r="P12" i="4"/>
  <c r="R12" i="4"/>
  <c r="L13" i="4"/>
  <c r="N13" i="4"/>
  <c r="P13" i="4"/>
  <c r="R13" i="4"/>
  <c r="L14" i="4"/>
  <c r="N14" i="4"/>
  <c r="P14" i="4"/>
  <c r="R14" i="4"/>
  <c r="L15" i="4"/>
  <c r="N15" i="4"/>
  <c r="P15" i="4"/>
  <c r="R15" i="4"/>
  <c r="L16" i="4"/>
  <c r="N16" i="4"/>
  <c r="P16" i="4"/>
  <c r="R16" i="4"/>
  <c r="L17" i="4"/>
  <c r="N17" i="4"/>
  <c r="P17" i="4"/>
  <c r="R17" i="4"/>
  <c r="L18" i="4"/>
  <c r="N18" i="4"/>
  <c r="P18" i="4"/>
  <c r="R18" i="4"/>
  <c r="L19" i="4"/>
  <c r="N19" i="4"/>
  <c r="P19" i="4"/>
  <c r="R19" i="4"/>
  <c r="L20" i="4"/>
  <c r="N20" i="4"/>
  <c r="P20" i="4"/>
  <c r="R20" i="4"/>
  <c r="L21" i="4"/>
  <c r="N21" i="4"/>
  <c r="P21" i="4"/>
  <c r="R21" i="4"/>
  <c r="L22" i="4"/>
  <c r="N22" i="4"/>
  <c r="P22" i="4"/>
  <c r="R22" i="4"/>
  <c r="L23" i="4"/>
  <c r="N23" i="4"/>
  <c r="P23" i="4"/>
  <c r="R23" i="4"/>
  <c r="M4" i="4"/>
  <c r="O4" i="4"/>
  <c r="Q4" i="4"/>
  <c r="S4" i="4"/>
  <c r="M5" i="4"/>
  <c r="O5" i="4"/>
  <c r="Q5" i="4"/>
  <c r="S5" i="4"/>
  <c r="M6" i="4"/>
  <c r="O6" i="4"/>
  <c r="Q6" i="4"/>
  <c r="S6" i="4"/>
  <c r="M7" i="4"/>
  <c r="O7" i="4"/>
  <c r="Q7" i="4"/>
  <c r="S7" i="4"/>
  <c r="M8" i="4"/>
  <c r="O8" i="4"/>
  <c r="Q8" i="4"/>
  <c r="S8" i="4"/>
  <c r="M9" i="4"/>
  <c r="O9" i="4"/>
  <c r="Q9" i="4"/>
  <c r="S9" i="4"/>
  <c r="M10" i="4"/>
  <c r="O10" i="4"/>
  <c r="Q10" i="4"/>
  <c r="S10" i="4"/>
  <c r="M11" i="4"/>
  <c r="O11" i="4"/>
  <c r="Q11" i="4"/>
  <c r="S11" i="4"/>
  <c r="M12" i="4"/>
  <c r="O12" i="4"/>
  <c r="Q12" i="4"/>
  <c r="S12" i="4"/>
  <c r="M13" i="4"/>
  <c r="O13" i="4"/>
  <c r="Q13" i="4"/>
  <c r="S13" i="4"/>
  <c r="M14" i="4"/>
  <c r="O14" i="4"/>
  <c r="Q14" i="4"/>
  <c r="S14" i="4"/>
  <c r="M15" i="4"/>
  <c r="O15" i="4"/>
  <c r="Q15" i="4"/>
  <c r="S15" i="4"/>
  <c r="M16" i="4"/>
  <c r="O16" i="4"/>
  <c r="Q16" i="4"/>
  <c r="S16" i="4"/>
  <c r="M17" i="4"/>
  <c r="O17" i="4"/>
  <c r="Q17" i="4"/>
  <c r="S17" i="4"/>
  <c r="M18" i="4"/>
  <c r="O18" i="4"/>
  <c r="Q18" i="4"/>
  <c r="S18" i="4"/>
  <c r="M19" i="4"/>
  <c r="O19" i="4"/>
  <c r="Q19" i="4"/>
  <c r="S19" i="4"/>
  <c r="M20" i="4"/>
  <c r="O20" i="4"/>
  <c r="Q20" i="4"/>
  <c r="S20" i="4"/>
  <c r="M21" i="4"/>
  <c r="O21" i="4"/>
  <c r="Q21" i="4"/>
  <c r="S21" i="4"/>
  <c r="M22" i="4"/>
  <c r="O22" i="4"/>
  <c r="Q22" i="4"/>
  <c r="S22" i="4"/>
  <c r="M23" i="4"/>
  <c r="O23" i="4"/>
  <c r="Q23" i="4"/>
  <c r="S23" i="4"/>
  <c r="R24" i="4"/>
  <c r="P24" i="4"/>
  <c r="N24" i="4"/>
  <c r="L24" i="4"/>
  <c r="J24" i="4"/>
  <c r="H24" i="4"/>
  <c r="F24" i="4"/>
  <c r="H110" i="3"/>
  <c r="H88" i="3"/>
  <c r="H66" i="3"/>
  <c r="H44" i="3"/>
  <c r="H22" i="3"/>
  <c r="H60" i="2"/>
  <c r="H48" i="2"/>
  <c r="H36" i="2"/>
  <c r="H24" i="2"/>
  <c r="H12" i="2"/>
  <c r="C130" i="1"/>
  <c r="E130" i="1"/>
  <c r="D130" i="1"/>
  <c r="C116" i="1"/>
  <c r="E116" i="1"/>
  <c r="D116" i="1"/>
  <c r="C102" i="1"/>
  <c r="E102" i="1"/>
  <c r="D102" i="1"/>
  <c r="C88" i="1"/>
  <c r="E88" i="1"/>
  <c r="D88" i="1"/>
  <c r="C74" i="1"/>
  <c r="E74" i="1"/>
  <c r="D74" i="1"/>
  <c r="C60" i="1"/>
  <c r="E60" i="1"/>
  <c r="D60" i="1"/>
  <c r="C46" i="1"/>
  <c r="E46" i="1"/>
  <c r="D46" i="1"/>
  <c r="C32" i="1"/>
  <c r="E32" i="1"/>
  <c r="D32" i="1"/>
  <c r="C18" i="1"/>
  <c r="E18" i="1"/>
  <c r="D18" i="1"/>
  <c r="C4" i="1"/>
  <c r="E4" i="1"/>
  <c r="D4" i="1"/>
</calcChain>
</file>

<file path=xl/sharedStrings.xml><?xml version="1.0" encoding="utf-8"?>
<sst xmlns="http://schemas.openxmlformats.org/spreadsheetml/2006/main" count="635" uniqueCount="630">
  <si>
    <t>Repetibilidade — 10 ciclos × 10 repetições</t>
  </si>
  <si>
    <t>CICLO 1: Pick (0.55, -0.20, 0.35) → Place (0.70, 0.20, 0.42)</t>
  </si>
  <si>
    <t>Repetições</t>
  </si>
  <si>
    <t>Execuções avaliadas</t>
  </si>
  <si>
    <t>Sucessos</t>
  </si>
  <si>
    <t>Falhas</t>
  </si>
  <si>
    <t>Taxa de sucesso</t>
  </si>
  <si>
    <t>Observações gerais</t>
  </si>
  <si>
    <t>Várias trajetórias diferentes todas com sucesso</t>
  </si>
  <si>
    <t>Ciclo</t>
  </si>
  <si>
    <t>Passo</t>
  </si>
  <si>
    <t>Pose / Estado</t>
  </si>
  <si>
    <t>Comando terminal</t>
  </si>
  <si>
    <t>Resultado esperado</t>
  </si>
  <si>
    <t>Resultado 1</t>
  </si>
  <si>
    <t>Motivo falha 1</t>
  </si>
  <si>
    <t>Resultado 2</t>
  </si>
  <si>
    <t>Motivo falha 2</t>
  </si>
  <si>
    <t>Resultado 3</t>
  </si>
  <si>
    <t>Motivo falha 3</t>
  </si>
  <si>
    <t>Resultado 4</t>
  </si>
  <si>
    <t>Motivo falha 4</t>
  </si>
  <si>
    <t>Resultado 5</t>
  </si>
  <si>
    <t>Motivo falha 5</t>
  </si>
  <si>
    <t>Resultado 6</t>
  </si>
  <si>
    <t>Motivo falha 6</t>
  </si>
  <si>
    <t>Resultado 7</t>
  </si>
  <si>
    <t>Motivo falha 7</t>
  </si>
  <si>
    <t>Resultado 8</t>
  </si>
  <si>
    <t>Motivo falha 8</t>
  </si>
  <si>
    <t>Resultado 9</t>
  </si>
  <si>
    <t>Motivo falha 9</t>
  </si>
  <si>
    <t>Resultado 10</t>
  </si>
  <si>
    <t>Motivo falha 10</t>
  </si>
  <si>
    <t>1. PICK</t>
  </si>
  <si>
    <t>x=0.55, y=-0.20, z=0.35, q=(0,1,0,0)</t>
  </si>
  <si>
    <t>ros2 topic pub --once /pick_pose geometry_msgs/msg/PoseStamped "{header: {frame_id: 'base'}, pose: {position: {x: 0.55, y: -0.20, z: 0.35}, orientation: {x: 0.0, y: 1.0, z: 0.0, w: 0.0}}}"</t>
  </si>
  <si>
    <t>OK PICK_DONE peca_X</t>
  </si>
  <si>
    <t>✓ Sucesso execução</t>
  </si>
  <si>
    <t>-</t>
  </si>
  <si>
    <t>2. TARGET PICK</t>
  </si>
  <si>
    <t>ros2 topic pub --once /target_pose geometry_msgs/msg/PoseStamped "{header: {frame_id: 'base'}, pose: {position: {x: 0.55, y: -0.20, z: 0.35}, orientation: {x: 0.0, y: 1.0, z: 0.0, w: 0.0}}}"</t>
  </si>
  <si>
    <t>OK TARGET_DONE</t>
  </si>
  <si>
    <t>3. IR_POSE</t>
  </si>
  <si>
    <t>pose superior → descida</t>
  </si>
  <si>
    <t>ros2 topic pub --once /tm12_step std_msgs/msg/String "{data: 'IR_POSE'}"</t>
  </si>
  <si>
    <t>OK MOVE_DONE</t>
  </si>
  <si>
    <t>4. FECHAR_GARRA</t>
  </si>
  <si>
    <t>attach virtual</t>
  </si>
  <si>
    <t>ros2 topic pub --once /tm12_step std_msgs/msg/String "{data: 'FECHAR_GARRA'}"</t>
  </si>
  <si>
    <t>OK CLOSE_DONE ATTACHED peca_X</t>
  </si>
  <si>
    <t>5. TARGET PLACE</t>
  </si>
  <si>
    <t>x=0.70, y=0.20, z=0.42, q=(0,1,0,0)</t>
  </si>
  <si>
    <t>ros2 topic pub --once /target_pose geometry_msgs/msg/PoseStamped "{header: {frame_id: 'base'}, pose: {position: {x: 0.70, y: 0.20, z: 0.42}, orientation: {x: 0.0, y: 1.0, z: 0.0, w: 0.0}}}"</t>
  </si>
  <si>
    <t>6. IR_POSE</t>
  </si>
  <si>
    <t>transporte para place</t>
  </si>
  <si>
    <t>7. ABRIR_GARRA</t>
  </si>
  <si>
    <t>detach virtual</t>
  </si>
  <si>
    <t>ros2 topic pub --once /tm12_step std_msgs/msg/String "{data: 'ABRIR_GARRA'}"</t>
  </si>
  <si>
    <t>OK OPEN_DONE</t>
  </si>
  <si>
    <t>8. TERMINAR_TAREFA</t>
  </si>
  <si>
    <t>ir para home</t>
  </si>
  <si>
    <t>ros2 topic pub --once /tm12_step std_msgs/msg/String "{data: 'TERMINAR_TAREFA'}"</t>
  </si>
  <si>
    <t>OK FINISH_DONE</t>
  </si>
  <si>
    <t>9. REMOVER_PEÇA</t>
  </si>
  <si>
    <t>eliminar peça do planning</t>
  </si>
  <si>
    <t>ros2 topic pub --once /tm12_step std_msgs/msg/String "{data: 'REMOVER_PECA:peca_1'}"</t>
  </si>
  <si>
    <t>OK REMOVE_DONE peca_</t>
  </si>
  <si>
    <t>CICLO 2: Pick (0.60, 0.00, 0.35) → Place (0.50, 0.25, 0.42)</t>
  </si>
  <si>
    <t>x=0.60, y=0.00, z=0.35, q=(0,1,0,0)</t>
  </si>
  <si>
    <t>ros2 topic pub --once /pick_pose geometry_msgs/msg/PoseStamped "{header: {frame_id: 'base'}, pose: {position: {x: 0.60, y: 0.00, z: 0.35}, orientation: {x: 0.0, y: 1.0, z: 0.0, w: 0.0}}}"</t>
  </si>
  <si>
    <t>ros2 topic pub --once /target_pose geometry_msgs/msg/PoseStamped "{header: {frame_id: 'base'}, pose: {position: {x: 0.60, y: 0.00, z: 0.35}, orientation: {x: 0.0, y: 1.0, z: 0.0, w: 0.0}}}"</t>
  </si>
  <si>
    <t>x=0.50, y=0.25, z=0.42, q=(0,1,0,0)</t>
  </si>
  <si>
    <t>ros2 topic pub --once /target_pose geometry_msgs/msg/PoseStamped "{header: {frame_id: 'base'}, pose: {position: {x: 0.50, y: 0.25, z: 0.42}, orientation: {x: 0.0, y: 1.0, z: 0.0, w: 0.0}}}"</t>
  </si>
  <si>
    <t>CICLO 3: Pick (0.52, 0.25, 0.35) → Place (0.72, -0.20, 0.42)</t>
  </si>
  <si>
    <t>Executou diferentes trajetórias mas repetiu bastantes todas com sucesso</t>
  </si>
  <si>
    <t>x=0.52, y=0.25, z=0.35, q=(0,1,0,0)</t>
  </si>
  <si>
    <t>ros2 topic pub --once /pick_pose geometry_msgs/msg/PoseStamped "{header: {frame_id: 'base'}, pose: {position: {x: 0.52, y: 0.25, z: 0.35}, orientation: {x: 0.0, y: 1.0, z: 0.0, w: 0.0}}}"</t>
  </si>
  <si>
    <t>ros2 topic pub --once /target_pose geometry_msgs/msg/PoseStamped "{header: {frame_id: 'base'}, pose: {position: {x: 0.52, y: 0.25, z: 0.35}, orientation: {x: 0.0, y: 1.0, z: 0.0, w: 0.0}}}"</t>
  </si>
  <si>
    <t>x=0.72, y=-0.20, z=0.42, q=(0,1,0,0)</t>
  </si>
  <si>
    <t>ros2 topic pub --once /target_pose geometry_msgs/msg/PoseStamped "{header: {frame_id: 'base'}, pose: {position: {x: 0.72, y: -0.20, z: 0.42}, orientation: {x: 0.0, y: 1.0, z: 0.0, w: 0.0}}}"</t>
  </si>
  <si>
    <t>CICLO 4: Pick (0.70, -0.25, 0.35) → Place (0.52, -0.25, 0.42)</t>
  </si>
  <si>
    <t xml:space="preserve">Executou quase sempre a mesma trajetória todas com sucesso </t>
  </si>
  <si>
    <t>x=0.70, y=-0.25, z=0.35, q=(0,1,0,0)</t>
  </si>
  <si>
    <t>ros2 topic pub --once /pick_pose geometry_msgs/msg/PoseStamped "{header: {frame_id: 'base'}, pose: {position: {x: 0.70, y: -0.25, z: 0.35}, orientation: {x: 0.0, y: 1.0, z: 0.0, w: 0.0}}}"</t>
  </si>
  <si>
    <t>ros2 topic pub --once /target_pose geometry_msgs/msg/PoseStamped "{header: {frame_id: 'base'}, pose: {position: {x: 0.70, y: -0.25, z: 0.35}, orientation: {x: 0.0, y: 1.0, z: 0.0, w: 0.0}}}"</t>
  </si>
  <si>
    <t>x=0.52, y=-0.25, z=0.42, q=(0,1,0,0)</t>
  </si>
  <si>
    <t>ros2 topic pub --once /target_pose geometry_msgs/msg/PoseStamped "{header: {frame_id: 'base'}, pose: {position: {x: 0.52, y: -0.25, z: 0.42}, orientation: {x: 0.0, y: 1.0, z: 0.0, w: 0.0}}}"</t>
  </si>
  <si>
    <t>CICLO 5: Pick (0.62, 0.18, 0.35) → Place (0.72, 0.28, 0.42)</t>
  </si>
  <si>
    <t>Falha deu colisão mas o provével foi peça antiga mal removida</t>
  </si>
  <si>
    <t>x=0.62, y=0.18, z=0.35, q=(0,1,0,0)</t>
  </si>
  <si>
    <t>ros2 topic pub --once /pick_pose geometry_msgs/msg/PoseStamped "{header: {frame_id: 'base'}, pose: {position: {x: 0.62, y: 0.18, z: 0.35}, orientation: {x: 0.0, y: 1.0, z: 0.0, w: 0.0}}}"</t>
  </si>
  <si>
    <t>ros2 topic pub --once /target_pose geometry_msgs/msg/PoseStamped "{header: {frame_id: 'base'}, pose: {position: {x: 0.62, y: 0.18, z: 0.35}, orientation: {x: 0.0, y: 1.0, z: 0.0, w: 0.0}}}"</t>
  </si>
  <si>
    <t>x=0.72, y=0.28, z=0.42, q=(0,1,0,0)</t>
  </si>
  <si>
    <t>ros2 topic pub --once /target_pose geometry_msgs/msg/PoseStamped "{header: {frame_id: 'base'}, pose: {position: {x: 0.72, y: 0.28, z: 0.42}, orientation: {x: 0.0, y: 1.0, z: 0.0, w: 0.0}}}"</t>
  </si>
  <si>
    <t>⮾Falha real</t>
  </si>
  <si>
    <t>J3 torque limit value is 65</t>
  </si>
  <si>
    <t>CICLO 6: Pick (0.50, -0.30, 0.35) → Place (0.75, 0.10, 0.42)</t>
  </si>
  <si>
    <t>x=0.50, y=-0.30, z=0.35, q=(0,1,0,0)</t>
  </si>
  <si>
    <t>ros2 topic pub --once /pick_pose geometry_msgs/msg/PoseStamped "{header: {frame_id: 'base'}, pose: {position: {x: 0.50, y: -0.30, z: 0.35}, orientation: {x: 0.0, y: 1.0, z: 0.0, w: 0.0}}}"</t>
  </si>
  <si>
    <t>ros2 topic pub --once /target_pose geometry_msgs/msg/PoseStamped "{header: {frame_id: 'base'}, pose: {position: {x: 0.50, y: -0.30, z: 0.35}, orientation: {x: 0.0, y: 1.0, z: 0.0, w: 0.0}}}"</t>
  </si>
  <si>
    <t>x=0.75, y=0.10, z=0.42, q=(0,1,0,0)</t>
  </si>
  <si>
    <t>ros2 topic pub --once /target_pose geometry_msgs/msg/PoseStamped "{header: {frame_id: 'base'}, pose: {position: {x: 0.75, y: 0.10, z: 0.42}, orientation: {x: 0.0, y: 1.0, z: 0.0, w: 0.0}}}"</t>
  </si>
  <si>
    <t>CICLO 7: Pick (0.75, -0.10, 0.35) → Place (0.50, 0.30, 0.42)</t>
  </si>
  <si>
    <t>x=0.75, y=-0.10, z=0.35, q=(0,1,0,0)</t>
  </si>
  <si>
    <t>ros2 topic pub --once /pick_pose geometry_msgs/msg/PoseStamped "{header: {frame_id: 'base'}, pose: {position: {x: 0.75, y: -0.10, z: 0.35}, orientation: {x: 0.0, y: 1.0, z: 0.0, w: 0.0}}}"</t>
  </si>
  <si>
    <t>ros2 topic pub --once /target_pose geometry_msgs/msg/PoseStamped "{header: {frame_id: 'base'}, pose: {position: {x: 0.75, y: -0.10, z: 0.35}, orientation: {x: 0.0, y: 1.0, z: 0.0, w: 0.0}}}"</t>
  </si>
  <si>
    <t>x=0.50, y=0.30, z=0.42, q=(0,1,0,0)</t>
  </si>
  <si>
    <t>ros2 topic pub --once /target_pose geometry_msgs/msg/PoseStamped "{header: {frame_id: 'base'}, pose: {position: {x: 0.50, y: 0.30, z: 0.42}, orientation: {x: 0.0, y: 1.0, z: 0.0, w: 0.0}}}"</t>
  </si>
  <si>
    <t>Colisão com o objeto de place</t>
  </si>
  <si>
    <t>CICLO 8: Pick (0.55, 0.30, 0.35) → Place (0.75, -0.25, 0.42)</t>
  </si>
  <si>
    <t>x=0.55, y=0.30, z=0.35, q=(0,1,0,0)</t>
  </si>
  <si>
    <t>ros2 topic pub --once /pick_pose geometry_msgs/msg/PoseStamped "{header: {frame_id: 'base'}, pose: {position: {x: 0.55, y: 0.30, z: 0.35}, orientation: {x: 0.0, y: 1.0, z: 0.0, w: 0.0}}}"</t>
  </si>
  <si>
    <t>ros2 topic pub --once /target_pose geometry_msgs/msg/PoseStamped "{header: {frame_id: 'base'}, pose: {position: {x: 0.55, y: 0.30, z: 0.35}, orientation: {x: 0.0, y: 1.0, z: 0.0, w: 0.0}}}"</t>
  </si>
  <si>
    <t>Colisão do braço na peça</t>
  </si>
  <si>
    <t>x=0.75, y=-0.25, z=0.42, q=(0,1,0,0)</t>
  </si>
  <si>
    <t>ros2 topic pub --once /target_pose geometry_msgs/msg/PoseStamped "{header: {frame_id: 'base'}, pose: {position: {x: 0.75, y: -0.25, z: 0.42}, orientation: {x: 0.0, y: 1.0, z: 0.0, w: 0.0}}}"</t>
  </si>
  <si>
    <t>CICLO 9: Pick (0.50, -0.30, 0.35) → Place (0.75, 0.30, 0.42)</t>
  </si>
  <si>
    <t>x=0.75, y=0.30, z=0.42, q=(0,1,0,0)</t>
  </si>
  <si>
    <t>ros2 topic pub --once /target_pose geometry_msgs/msg/PoseStamped "{header: {frame_id: 'base'}, pose: {position: {x: 0.75, y: 0.30, z: 0.42}, orientation: {x: 0.0, y: 1.0, z: 0.0, w: 0.0}}}"</t>
  </si>
  <si>
    <t>CICLO 10: Pick (0.75, 0.30, 0.35) → Place (0.50, -0.30, 0.42)</t>
  </si>
  <si>
    <t>x=0.75, y=0.30, z=0.35, q=(0,1,0,0)</t>
  </si>
  <si>
    <t>ros2 topic pub --once /pick_pose geometry_msgs/msg/PoseStamped "{header: {frame_id: 'base'}, pose: {position: {x: 0.75, y: 0.30, z: 0.35}, orientation: {x: 0.0, y: 1.0, z: 0.0, w: 0.0}}}"</t>
  </si>
  <si>
    <t>ros2 topic pub --once /target_pose geometry_msgs/msg/PoseStamped "{header: {frame_id: 'base'}, pose: {position: {x: 0.75, y: 0.30, z: 0.35}, orientation: {x: 0.0, y: 1.0, z: 0.0, w: 0.0}}}"</t>
  </si>
  <si>
    <t>x=0.50, y=-0.30, z=0.42, q=(0,1,0,0)</t>
  </si>
  <si>
    <t>ros2 topic pub --once /target_pose geometry_msgs/msg/PoseStamped "{header: {frame_id: 'base'}, pose: {position: {x: 0.50, y: -0.30, z: 0.42}, orientation: {x: 0.0, y: 1.0, z: 0.0, w: 0.0}}}"</t>
  </si>
  <si>
    <t>Repetição</t>
  </si>
  <si>
    <t>Pose X</t>
  </si>
  <si>
    <t>Pose Y</t>
  </si>
  <si>
    <t>Pose Z</t>
  </si>
  <si>
    <t>Validação (SIM/NÃO)</t>
  </si>
  <si>
    <t>Peça criada (SIM/NÃO)</t>
  </si>
  <si>
    <t>Tempo resposta (ms)</t>
  </si>
  <si>
    <t>Resultado obtido</t>
  </si>
  <si>
    <t>Status (✓/✗)</t>
  </si>
  <si>
    <t>SIM</t>
  </si>
  <si>
    <t>OK PICK_DONE</t>
  </si>
  <si>
    <t>✓</t>
  </si>
  <si>
    <t>Média</t>
  </si>
  <si>
    <t>Validação destino (SIM/NÃO)</t>
  </si>
  <si>
    <t>Aceitação/Rejeição</t>
  </si>
  <si>
    <t>Aceitação</t>
  </si>
  <si>
    <t>Ciclo 1</t>
  </si>
  <si>
    <t>Tipo (Pick/Place)</t>
  </si>
  <si>
    <t>Pose X alvo (m)</t>
  </si>
  <si>
    <t>Pose Y alvo (m)</t>
  </si>
  <si>
    <t>Pose Z alvo (m)</t>
  </si>
  <si>
    <t>Pose X real (m)</t>
  </si>
  <si>
    <t>Pose Y real (m)</t>
  </si>
  <si>
    <t>Pose Z real (m)</t>
  </si>
  <si>
    <t>Erro X (mm)</t>
  </si>
  <si>
    <t>Erro Y (mm)</t>
  </si>
  <si>
    <t>Erro Z (mm)</t>
  </si>
  <si>
    <t>Erro euclidiano (mm)</t>
  </si>
  <si>
    <t>Desvio  Padrão X (m)</t>
  </si>
  <si>
    <t>Desvio  Padrão Y (m)</t>
  </si>
  <si>
    <t>Desvio  Padrão Z (m)</t>
  </si>
  <si>
    <t>Tempo planeamento (s)</t>
  </si>
  <si>
    <t>Tempo execução (s)</t>
  </si>
  <si>
    <t>Tempo total (s)</t>
  </si>
  <si>
    <t>Sucesso / Falha</t>
  </si>
  <si>
    <t>Trajetória alterada entre simulado e real (SIM / NÃO)</t>
  </si>
  <si>
    <t>N.º tentativas</t>
  </si>
  <si>
    <t>Status (✓ / ✗)</t>
  </si>
  <si>
    <t>Real</t>
  </si>
  <si>
    <t>Simulado</t>
  </si>
  <si>
    <t>Pick</t>
  </si>
  <si>
    <t xml:space="preserve">Sucesso </t>
  </si>
  <si>
    <t>NÃO</t>
  </si>
  <si>
    <t>Place</t>
  </si>
  <si>
    <t>Diferença entre real e simulado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</si>
  <si>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</si>
  <si>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</si>
  <si>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</si>
  <si>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</si>
  <si>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</si>
  <si>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</si>
  <si>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</si>
  <si>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</si>
  <si>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</si>
  <si>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Observações</t>
  </si>
  <si>
    <t>É observado sempre um erro de pose no eixo z de aproximadamente 50mm que correspondem ao offset em z que existe entre o tcp real e o tcp da simulação por causa da garra</t>
  </si>
  <si>
    <t>Teste só na simulação (não há garra física)</t>
  </si>
  <si>
    <t>Comando</t>
  </si>
  <si>
    <t>Tempo de planeamento (s)</t>
  </si>
  <si>
    <t>Tempo de execução(s)</t>
  </si>
  <si>
    <t>Tempo Total(s)</t>
  </si>
  <si>
    <t xml:space="preserve">Objeto agarrado / libertado </t>
  </si>
  <si>
    <t>Erro crítico (SIM/NÃO)</t>
  </si>
  <si>
    <t>FECHAR_GARRA</t>
  </si>
  <si>
    <t>AGARRADO</t>
  </si>
  <si>
    <t>OK ATTACH</t>
  </si>
  <si>
    <t>ABRIR_GARRA</t>
  </si>
  <si>
    <t>LIBERTADO</t>
  </si>
  <si>
    <t>OK DETACH</t>
  </si>
  <si>
    <t>Peça libertada (SIM/NÃO)</t>
  </si>
  <si>
    <t>Gripper aberto (SIM/NÃO)</t>
  </si>
  <si>
    <t>Retorno seguro (SIM/NÃO)</t>
  </si>
  <si>
    <t>HOME atingido (SIM/NÃO)</t>
  </si>
  <si>
    <t>Tempo de Planeamento (s)</t>
  </si>
  <si>
    <t>Tempo de Execução (s)</t>
  </si>
  <si>
    <t>Tempo Total (s)</t>
  </si>
  <si>
    <t>Limpeza estado (SIM/NÃO)</t>
  </si>
  <si>
    <t>OK  FINISH_DONE</t>
  </si>
  <si>
    <t xml:space="preserve">Diferença entre real e simulado </t>
  </si>
  <si>
    <t>Tempo Total  (s)</t>
  </si>
  <si>
    <t>Repetição 1</t>
  </si>
  <si>
    <t>Repetição 2</t>
  </si>
  <si>
    <t>Teste 
de Repetibilidade</t>
  </si>
  <si>
    <t>Planner</t>
  </si>
  <si>
    <t>Tempo 
planeamento (s)</t>
  </si>
  <si>
    <t>Tempo 
execução (s)</t>
  </si>
  <si>
    <t>Tempo 
total (s)</t>
  </si>
  <si>
    <t>Comprimento trajetória
 cartesiana do TCP(m)</t>
  </si>
  <si>
    <t>Nº de pontos  
planeados</t>
  </si>
  <si>
    <t>Sucesso/Falha</t>
  </si>
  <si>
    <t>Observação</t>
  </si>
  <si>
    <t>RRTConnect</t>
  </si>
  <si>
    <t>PRMstar</t>
  </si>
  <si>
    <t>Tempo 
Total (s)</t>
  </si>
  <si>
    <t>Comprimento
cartesiano TCP (m)</t>
  </si>
  <si>
    <t>Nºpontos
planeados</t>
  </si>
  <si>
    <t>RRTstar</t>
  </si>
  <si>
    <t>Replaneou</t>
  </si>
  <si>
    <t>⮾</t>
  </si>
  <si>
    <t>Não realizou o ciclo compleo J1 Torque limit value is 120</t>
  </si>
  <si>
    <t>Repetição 3</t>
  </si>
  <si>
    <t>Repetição 4</t>
  </si>
  <si>
    <t>Repetição 5</t>
  </si>
  <si>
    <t>Robustez — comandos repetidos, sequências erradas, cancelamentos e garra</t>
  </si>
  <si>
    <t>ID</t>
  </si>
  <si>
    <t>Teste</t>
  </si>
  <si>
    <t>Objetivo</t>
  </si>
  <si>
    <t>Coordenadas / Estado</t>
  </si>
  <si>
    <t xml:space="preserve">Resultado obtido comando </t>
  </si>
  <si>
    <t>Resultado</t>
  </si>
  <si>
    <t>R1</t>
  </si>
  <si>
    <t>IR_POSE duas vezes seguidas</t>
  </si>
  <si>
    <t>Segundo comando bloqueado se ocupado</t>
  </si>
  <si>
    <t>target válido definido</t>
  </si>
  <si>
    <t>ros2 topic pub --once /tm12_step std_msgs/msg/String "{data: 'IR_POSE'}" + repetir de imediato</t>
  </si>
  <si>
    <t>ERROR BUSY / bloqueado</t>
  </si>
  <si>
    <t>[WARN] Comando ''IR_POSE'' não permitido.'</t>
  </si>
  <si>
    <t>✓ Bloqueio seguro</t>
  </si>
  <si>
    <t>-----</t>
  </si>
  <si>
    <t>R2</t>
  </si>
  <si>
    <t>FECHAR_GARRA duas vezes</t>
  </si>
  <si>
    <t>Não gerar erro crítico</t>
  </si>
  <si>
    <t>sem/ com peça</t>
  </si>
  <si>
    <t>ros2 topic pub --once /tm12_step std_msgs/msg/String "{data: 'FECHAR_GARRA'}" + repetir</t>
  </si>
  <si>
    <t>OK CLOSE_DONE / NO_OBJECT, sem crash</t>
  </si>
  <si>
    <t>OK CLOSE_DONE NO_OBJECT/ OK_CLOSE_DONE</t>
  </si>
  <si>
    <t>Não deu erro ao fechar duas vezes seguidas</t>
  </si>
  <si>
    <t>R3</t>
  </si>
  <si>
    <t>ABRIR_GARRA duas vezes</t>
  </si>
  <si>
    <t>Manter estado seguro</t>
  </si>
  <si>
    <t>sem peça</t>
  </si>
  <si>
    <t>ros2 topic pub --once /tm12_step std_msgs/msg/String "{data: 'ABRIR_GARRA'}" + repetir</t>
  </si>
  <si>
    <t>OK OPEN_DONE, sem crash</t>
  </si>
  <si>
    <t>Garra aberta sem peça agarrada | sem erro ao abrir 2x seguidas</t>
  </si>
  <si>
    <t>R4</t>
  </si>
  <si>
    <t>Comando inválido</t>
  </si>
  <si>
    <t>Rejeição clara</t>
  </si>
  <si>
    <t>N/A</t>
  </si>
  <si>
    <t>ros2 topic pub --once /tm12_step std_msgs/msg/String "{data: 'BATATAS'}"</t>
  </si>
  <si>
    <t>WARN comando desconhecido</t>
  </si>
  <si>
    <t>Comando desconhecido: ''BATATAS'''</t>
  </si>
  <si>
    <t>R5</t>
  </si>
  <si>
    <t>Comando vazio</t>
  </si>
  <si>
    <t>Rejeição segura</t>
  </si>
  <si>
    <t>ros2 topic pub --once /tm12_step std_msgs/msg/String "{data: ''}"</t>
  </si>
  <si>
    <t>WARN / rejeição segura</t>
  </si>
  <si>
    <t>Comando desconhecido: '''''</t>
  </si>
  <si>
    <t>R6</t>
  </si>
  <si>
    <t>Comando durante movimento</t>
  </si>
  <si>
    <t>Bloquear ou fila controlada</t>
  </si>
  <si>
    <t>durante IR_POSE longo</t>
  </si>
  <si>
    <t>ros2 topic pub --once /tm12_step std_msgs/msg/String "{data: 'ABRIR_GARRA'}" durante movimento</t>
  </si>
  <si>
    <t>Comando ''ABRIR_GARRA'' não permitido.'</t>
  </si>
  <si>
    <t>R7</t>
  </si>
  <si>
    <t>target_pose sem pick definido</t>
  </si>
  <si>
    <t>Validar movimento simples</t>
  </si>
  <si>
    <t>target definido, sem pick</t>
  </si>
  <si>
    <t>OK TARGET DONE |OK |OK MOVE_DONE</t>
  </si>
  <si>
    <t>OK TARGET_DONE| OK| OK MOVE_DONE</t>
  </si>
  <si>
    <t>Funciona normalmente um target sem pick</t>
  </si>
  <si>
    <t>R8</t>
  </si>
  <si>
    <t>FECHAR antes de chegar ao pick</t>
  </si>
  <si>
    <t>Não agarrar indevidamente</t>
  </si>
  <si>
    <t>sem aproximação</t>
  </si>
  <si>
    <t>Comando ''FECHAR_GARRA'' não permitido.'</t>
  </si>
  <si>
    <t>Enviar o comando ao longo do movimento até ao pick não dá por o sistema estar ocupado</t>
  </si>
  <si>
    <t>R9</t>
  </si>
  <si>
    <t>ABRIR antes de place</t>
  </si>
  <si>
    <t>Não deixar estado indefinido</t>
  </si>
  <si>
    <t>peça agarrada</t>
  </si>
  <si>
    <t>OK OPEN_DONE e detach seguro</t>
  </si>
  <si>
    <t>Dá para executar abrir garra em qualquer momento</t>
  </si>
  <si>
    <t>R10</t>
  </si>
  <si>
    <t>TERMINAR_TAREFA a meio do ciclo</t>
  </si>
  <si>
    <t>Paragem segura</t>
  </si>
  <si>
    <t>após PICK/TARGET/FECHAR</t>
  </si>
  <si>
    <t>OK FINISH_DONE / erro seguro</t>
  </si>
  <si>
    <t xml:space="preserve"> OK FINISH_DONE</t>
  </si>
  <si>
    <t>O objeto não fica agarrado ele abre gripper antes</t>
  </si>
  <si>
    <t>R11</t>
  </si>
  <si>
    <t>CANCELAR antes do movimento</t>
  </si>
  <si>
    <t>Voltar a pronto</t>
  </si>
  <si>
    <t>sistema parado</t>
  </si>
  <si>
    <t>ros2 topic pub --once /tm12_step std_msgs/msg/String "{data: 'CANCELAR'}"</t>
  </si>
  <si>
    <t>OK CANCEL_DONE</t>
  </si>
  <si>
    <t>Cancelado. Sistema pronto</t>
  </si>
  <si>
    <t>R12</t>
  </si>
  <si>
    <t>CANCELAR durante movimento sem peça</t>
  </si>
  <si>
    <t>Paragem/retorno seguro</t>
  </si>
  <si>
    <t>durante IR_POSE</t>
  </si>
  <si>
    <t>ERROR BUSY</t>
  </si>
  <si>
    <t>Sistema ocupado.| Só dá para cancelar depois de acabar o ir pose</t>
  </si>
  <si>
    <t>R13</t>
  </si>
  <si>
    <t>CANCELAR após fechar garra</t>
  </si>
  <si>
    <t>Gerir peça agarrada</t>
  </si>
  <si>
    <t>OK CANCEL_DONE e peça libertada/removida</t>
  </si>
  <si>
    <t>R14</t>
  </si>
  <si>
    <t>CANCELAR durante place</t>
  </si>
  <si>
    <t>Evitar estado indefinido</t>
  </si>
  <si>
    <t>durante segundo IR_POSE</t>
  </si>
  <si>
    <t>Sistema ocupado.| Só dá para cancelar depois de acabar o ir pose | cancelar dá em qualaquer altura quando sistema livre</t>
  </si>
  <si>
    <t>R15</t>
  </si>
  <si>
    <t>Peça não agarrada</t>
  </si>
  <si>
    <t>Não avançar como se tivesse peça</t>
  </si>
  <si>
    <t>FECHAR longe da peça</t>
  </si>
  <si>
    <t>OK CLOSE_DONE NO_OBJECT</t>
  </si>
  <si>
    <t>Não agrra peça</t>
  </si>
  <si>
    <t>R16</t>
  </si>
  <si>
    <t>Comando durante planeamento</t>
  </si>
  <si>
    <t>Verificar ocupação do sistema</t>
  </si>
  <si>
    <t>IR_POSE + TERMINAR_TAREFA imediato</t>
  </si>
  <si>
    <t>ros2 topic pub --once /target_pose geometry_msgs/msg/PoseStamped "{header: {frame_id: 'base'}, pose: {position: {x: 1.10, y: 0.00, z: -0.16}, orientation: {x: 0.0, y: 1.0, z: 0.0, w: 0.0}}}"</t>
  </si>
  <si>
    <t>BUSY / bloqueado</t>
  </si>
  <si>
    <t>Sistema só recebe novos comandos quando estiver livre</t>
  </si>
  <si>
    <t>R17</t>
  </si>
  <si>
    <t>Remover peça</t>
  </si>
  <si>
    <t>limpar planning scense</t>
  </si>
  <si>
    <t xml:space="preserve"> OK REMOVE_DONE peca_1</t>
  </si>
  <si>
    <t>R18</t>
  </si>
  <si>
    <t>E-Stop acionado</t>
  </si>
  <si>
    <t>Verificar segurança</t>
  </si>
  <si>
    <t>Robô bloqueado</t>
  </si>
  <si>
    <t>-------------------------------------------</t>
  </si>
  <si>
    <t>Robô entra em estado seguro e bloqueia movimentos</t>
  </si>
  <si>
    <t>Robô bloqueia</t>
  </si>
  <si>
    <t>R19</t>
  </si>
  <si>
    <t>Recuperação após E-Stop</t>
  </si>
  <si>
    <t>Verificar se robô recupera</t>
  </si>
  <si>
    <t>Robô desbloqueado</t>
  </si>
  <si>
    <t>Após reset e libertação do E-stop o sistema volta a operar normalmente</t>
  </si>
  <si>
    <t>Robô opera normalmente</t>
  </si>
  <si>
    <t>Segurança — envolvente radial, limites de Z e validação de colisões</t>
  </si>
  <si>
    <t>Grupo</t>
  </si>
  <si>
    <t>Classificação</t>
  </si>
  <si>
    <t>S01</t>
  </si>
  <si>
    <t>Fora da envolvente</t>
  </si>
  <si>
    <t>PICK além do raio máximo em X+</t>
  </si>
  <si>
    <t>ros2 topic pub --once /pick_pose geometry_msgs/msg/PoseStamped "{header: {frame_id: 'base'}, pose: {position: {x: 1.3100, y: 0.0000, z: 0.1652}, orientation: {x: 0.0, y: 1.0, z: 0.0, w: 0.0}}}"</t>
  </si>
  <si>
    <t>ERROR PICK_OUT_OF_LIMITS</t>
  </si>
  <si>
    <t xml:space="preserve">Valida R &gt; 1,30 </t>
  </si>
  <si>
    <t>S02</t>
  </si>
  <si>
    <t>PICK além do raio máximo em X-</t>
  </si>
  <si>
    <t>ros2 topic pub --once /pick_pose geometry_msgs/msg/PoseStamped "{header: {frame_id: 'base'}, pose: {position: {x: -1.3100, y: 0.0000, z: 0.1652}, orientation: {x: 0.0, y: 1.0, z: 0.0, w: 0.0}}}"</t>
  </si>
  <si>
    <t>Valida a simetria radial</t>
  </si>
  <si>
    <t>S03</t>
  </si>
  <si>
    <t>PICK além do raio máximo em Y+</t>
  </si>
  <si>
    <t>ros2 topic pub --once /pick_pose geometry_msgs/msg/PoseStamped "{header: {frame_id: 'base'}, pose: {position: {x: 0.0000, y: 1.3100, z: 0.1652}, orientation: {x: 0.0, y: 1.0, z: 0.0, w: 0.0}}}"</t>
  </si>
  <si>
    <t>Valida R &gt; 1,30 m</t>
  </si>
  <si>
    <t>S04</t>
  </si>
  <si>
    <t>Limite vertical</t>
  </si>
  <si>
    <t>PICK acima de Z máximo</t>
  </si>
  <si>
    <t>ros2 topic pub --once /pick_pose geometry_msgs/msg/PoseStamped "{header: {frame_id: 'base'}, pose: {position: {x: 0.3000, y: 0.0000, z: 1.2500}, orientation: {x: 0.0, y: 1.0, z: 0.0, w: 0.0}}}"</t>
  </si>
  <si>
    <t>Acima de Z máximo (1,20 m) e dentro do raio (1,126 m ao ombro): dispara o critério vertical.</t>
  </si>
  <si>
    <t>S05</t>
  </si>
  <si>
    <t>TARGET além do raio máximo em X+</t>
  </si>
  <si>
    <t>ros2 topic pub --once /target_pose geometry_msgs/msg/PoseStamped "{header: {frame_id: 'base'}, pose: {position: {x: 1.3100, y: 0.0000, z: 0.1652}, orientation: {x: 0.0, y: 1.0, z: 0.0, w: 0.0}}}"</t>
  </si>
  <si>
    <t>ERROR TARGET_OUT_OF_LIMITS</t>
  </si>
  <si>
    <t>S06</t>
  </si>
  <si>
    <t>TARGET além do raio máximo em Y+</t>
  </si>
  <si>
    <t>ros2 topic pub --once /target_pose geometry_msgs/msg/PoseStamped "{header: {frame_id: 'base'}, pose: {position: {x: 0.0000, y: 1.3100, z: 0.1652}, orientation: {x: 0.0, y: 1.0, z: 0.0, w: 0.0}}}"</t>
  </si>
  <si>
    <t>S07</t>
  </si>
  <si>
    <t>TARGET acima de Z máximo</t>
  </si>
  <si>
    <t>ros2 topic pub --once /target_pose geometry_msgs/msg/PoseStamped "{header: {frame_id: 'base'}, pose: {position: {x: 0.3000, y: 0.0000, z: 1.2500}, orientation: {x: 0.0, y: 1.0, z: 0.0, w: 0.0}}}"</t>
  </si>
  <si>
    <t>S08</t>
  </si>
  <si>
    <t>Quaternion</t>
  </si>
  <si>
    <t>Quaternion inválido no PICK</t>
  </si>
  <si>
    <t>ros2 topic pub --once /pick_pose geometry_msgs/msg/PoseStamped "{header: {frame_id: 'base'}, pose: {position: {x: 0.6000, y: 0.0000, z: 0.3000}, orientation: {x: 0.0, y: 0.0, z: 0.0, w: 0.0}}}"</t>
  </si>
  <si>
    <t>ERROR PICK_INVALID_QUATERNION</t>
  </si>
  <si>
    <t>Quaternion do objeto inválido.</t>
  </si>
  <si>
    <t>S09</t>
  </si>
  <si>
    <t>Quaternion inválido no TARGET</t>
  </si>
  <si>
    <t>ros2 topic pub --once /target_pose geometry_msgs/msg/PoseStamped "{header: {frame_id: 'base'}, pose: {position: {x: 0.6000, y: 0.0000, z: 0.3000}, orientation: {x: 0.0, y: 0.0, z: 0.0, w: 0.0}}}"</t>
  </si>
  <si>
    <t>ERROR TARGET_INVALID_QUATERNION</t>
  </si>
  <si>
    <t>Quaternion do destino inválido.</t>
  </si>
  <si>
    <t>S10</t>
  </si>
  <si>
    <t>Fronteira radial máxima</t>
  </si>
  <si>
    <t>PICK 10 mm dentro em X+</t>
  </si>
  <si>
    <t>ros2 topic pub --once /pick_pose geometry_msgs/msg/PoseStamped "{header: {frame_id: 'base'}, pose: {position: {x: 1.2900, y: 0.0000, z: 0.1652}, orientation: {x: 0.0, y: 1.0, z: 0.0, w: 0.0}}}"</t>
  </si>
  <si>
    <t>S11</t>
  </si>
  <si>
    <t>PICK exatamente em R máximo, X+</t>
  </si>
  <si>
    <t>ros2 topic pub --once /pick_pose geometry_msgs/msg/PoseStamped "{header: {frame_id: 'base'}, pose: {position: {x: 1.3000, y: 0.0000, z: 0.1652}, orientation: {x: 0.0, y: 1.0, z: 0.0, w: 0.0}}}"</t>
  </si>
  <si>
    <t>Teste de inclusão da fronteira</t>
  </si>
  <si>
    <t>S13</t>
  </si>
  <si>
    <t>PICK 10 mm dentro em X-</t>
  </si>
  <si>
    <t>ros2 topic pub --once /pick_pose geometry_msgs/msg/PoseStamped "{header: {frame_id: 'base'}, pose: {position: {x: -1.2900, y: 0.0000, z: 0.1652}, orientation: {x: 0.0, y: 1.0, z: 0.0, w: 0.0}}}"</t>
  </si>
  <si>
    <t>S14</t>
  </si>
  <si>
    <t>PICK exatamente em R máximo, X-</t>
  </si>
  <si>
    <t>ros2 topic pub --once /pick_pose geometry_msgs/msg/PoseStamped "{header: {frame_id: 'base'}, pose: {position: {x: -1.3000, y: 0.0000, z: 0.1652}, orientation: {x: 0.0, y: 1.0, z: 0.0, w: 0.0}}}"</t>
  </si>
  <si>
    <t>S16</t>
  </si>
  <si>
    <t>TARGET 10 mm dentro em Y+</t>
  </si>
  <si>
    <t>ros2 topic pub --once /target_pose geometry_msgs/msg/PoseStamped "{header: {frame_id: 'base'}, pose: {position: {x: 0.0000, y: 1.2900, z: 0.1652}, orientation: {x: 0.0, y: 1.0, z: 0.0, w: 0.0}}}"</t>
  </si>
  <si>
    <t>S17</t>
  </si>
  <si>
    <t>TARGET exatamente em R máximo, Y+</t>
  </si>
  <si>
    <t>ros2 topic pub --once /target_pose geometry_msgs/msg/PoseStamped "{header: {frame_id: 'base'}, pose: {position: {x: 0.0000, y: 1.3000, z: 0.1652}, orientation: {x: 0.0, y: 1.0, z: 0.0, w: 0.0}}}"</t>
  </si>
  <si>
    <t>Teste de inclusão da fronteira.</t>
  </si>
  <si>
    <t>S19</t>
  </si>
  <si>
    <t>TARGET 10 mm dentro em Y-</t>
  </si>
  <si>
    <t>ros2 topic pub --once /target_pose geometry_msgs/msg/PoseStamped "{header: {frame_id: 'base'}, pose: {position: {x: 0.0000, y: -1.2900, z: 0.1652}, orientation: {x: 0.0, y: 1.0, z: 0.0, w: 0.0}}}"</t>
  </si>
  <si>
    <t>S20</t>
  </si>
  <si>
    <t>TARGET exatamente em R máximo, Y-</t>
  </si>
  <si>
    <t>ros2 topic pub --once /target_pose geometry_msgs/msg/PoseStamped "{header: {frame_id: 'base'}, pose: {position: {x: 0.0000, y: -1.3000, z: 0.1652}, orientation: {x: 0.0, y: 1.0, z: 0.0, w: 0.0}}}"</t>
  </si>
  <si>
    <t>S21</t>
  </si>
  <si>
    <t>TARGET 10 mm fora em Y-</t>
  </si>
  <si>
    <t>ros2 topic pub --once /target_pose geometry_msgs/msg/PoseStamped "{header: {frame_id: 'base'}, pose: {position: {x: 0.0000, y: -1.3100, z: 0.1652}, orientation: {x: 0.0, y: 1.0, z: 0.0, w: 0.0}}}"</t>
  </si>
  <si>
    <t>Deve ser rejeitado imediatamente.</t>
  </si>
  <si>
    <t>S22</t>
  </si>
  <si>
    <t>Limite Z</t>
  </si>
  <si>
    <t>PICK 10 mm acima do Z mínimo</t>
  </si>
  <si>
    <t>ros2 topic pub --once /pick_pose geometry_msgs/msg/PoseStamped "{header: {frame_id: 'base'}, pose: {position: {x: 0.6000, y: 0.0000, z: -0.6900}, orientation: {x: 0.0, y: 1.0, z: 0.0, w: 0.0}}}"</t>
  </si>
  <si>
    <t>S23</t>
  </si>
  <si>
    <t>PICK exatamente no Z mínimo</t>
  </si>
  <si>
    <t>ros2 topic pub --once /pick_pose geometry_msgs/msg/PoseStamped "{header: {frame_id: 'base'}, pose: {position: {x: 0.6000, y: 0.0000, z: -0.7000}, orientation: {x: 0.0, y: 1.0, z: 0.0, w: 0.0}}}"</t>
  </si>
  <si>
    <t>Fronteira incluída.</t>
  </si>
  <si>
    <t>S24</t>
  </si>
  <si>
    <t>PICK 10 mm abaixo do Z mínimo</t>
  </si>
  <si>
    <t>ros2 topic pub --once /pick_pose geometry_msgs/msg/PoseStamped "{header: {frame_id: 'base'}, pose: {position: {x: 0.6000, y: 0.0000, z: -0.7100}, orientation: {x: 0.0, y: 1.0, z: 0.0, w: 0.0}}}"</t>
  </si>
  <si>
    <t>S25</t>
  </si>
  <si>
    <t>TARGET 10 mm acima do Z mínimo</t>
  </si>
  <si>
    <t>ros2 topic pub --once /target_pose geometry_msgs/msg/PoseStamped "{header: {frame_id: 'base'}, pose: {position: {x: 0.6000, y: 0.0000, z: -0.6900}, orientation: {x: 0.0, y: 1.0, z: 0.0, w: 0.0}}}"</t>
  </si>
  <si>
    <t>S26</t>
  </si>
  <si>
    <t>TARGET exatamente no Z mínimo</t>
  </si>
  <si>
    <t>ros2 topic pub --once /target_pose geometry_msgs/msg/PoseStamped "{header: {frame_id: 'base'}, pose: {position: {x: 0.6000, y: 0.0000, z: -0.7000}, orientation: {x: 0.0, y: 1.0, z: 0.0, w: 0.0}}}"</t>
  </si>
  <si>
    <t>S27</t>
  </si>
  <si>
    <t>TARGET 10 mm abaixo do Z mínimo</t>
  </si>
  <si>
    <t>ros2 topic pub --once /target_pose geometry_msgs/msg/PoseStamped "{header: {frame_id: 'base'}, pose: {position: {x: 0.6000, y: 0.0000, z: -0.7100}, orientation: {x: 0.0, y: 1.0, z: 0.0, w: 0.0}}}"</t>
  </si>
  <si>
    <t>S28</t>
  </si>
  <si>
    <t>Fronteira radial mínima</t>
  </si>
  <si>
    <t>TARGET 10 mm acima de R mínimo, X+</t>
  </si>
  <si>
    <t>ros2 topic pub --once /target_pose geometry_msgs/msg/PoseStamped "{header: {frame_id: 'base'}, pose: {position: {x: 0.2100, y: 0.0000, z: 0.1652}, orientation: {x: 0.0, y: 1.0, z: 0.0, w: 0.0}}}"</t>
  </si>
  <si>
    <t>Zona central permitida apenas acima de R mínimo.</t>
  </si>
  <si>
    <t>S29</t>
  </si>
  <si>
    <t>TARGET exatamente em R mínimo, X+</t>
  </si>
  <si>
    <t>ros2 topic pub --once /target_pose geometry_msgs/msg/PoseStamped "{header: {frame_id: 'base'}, pose: {position: {x: 0.2000, y: 0.0000, z: 0.1652}, orientation: {x: 0.0, y: 1.0, z: 0.0, w: 0.0}}}"</t>
  </si>
  <si>
    <t>Teste de inclusão da fronteira interna.</t>
  </si>
  <si>
    <t>S30</t>
  </si>
  <si>
    <t>TARGET 10 mm abaixo de R mínimo, X+</t>
  </si>
  <si>
    <t>ros2 topic pub --once /target_pose geometry_msgs/msg/PoseStamped "{header: {frame_id: 'base'}, pose: {position: {x: 0.1900, y: 0.0000, z: 0.1652}, orientation: {x: 0.0, y: 1.0, z: 0.0, w: 0.0}}}"</t>
  </si>
  <si>
    <t>Deve ser rejeitado antes do MoveIt.</t>
  </si>
  <si>
    <t>S31</t>
  </si>
  <si>
    <t>TARGET 10 mm acima de R mínimo, X-</t>
  </si>
  <si>
    <t>ros2 topic pub --once /target_pose geometry_msgs/msg/PoseStamped "{header: {frame_id: 'base'}, pose: {position: {x: -0.2100, y: 0.0000, z: 0.1652}, orientation: {x: 0.0, y: 1.0, z: 0.0, w: 0.0}}}"</t>
  </si>
  <si>
    <t>Valida a simetria da exclusão central.</t>
  </si>
  <si>
    <t>S32</t>
  </si>
  <si>
    <t>TARGET exatamente em R mínimo, X-</t>
  </si>
  <si>
    <t>ros2 topic pub --once /target_pose geometry_msgs/msg/PoseStamped "{header: {frame_id: 'base'}, pose: {position: {x: -0.2000, y: 0.0000, z: 0.1652}, orientation: {x: 0.0, y: 1.0, z: 0.0, w: 0.0}}}"</t>
  </si>
  <si>
    <t>S33</t>
  </si>
  <si>
    <t>TARGET 10 mm abaixo de R mínimo, X-</t>
  </si>
  <si>
    <t>ros2 topic pub --once /target_pose geometry_msgs/msg/PoseStamped "{header: {frame_id: 'base'}, pose: {position: {x: -0.1900, y: 0.0000, z: 0.1652}, orientation: {x: 0.0, y: 1.0, z: 0.0, w: 0.0}}}"</t>
  </si>
  <si>
    <t>S34</t>
  </si>
  <si>
    <t>Mesa</t>
  </si>
  <si>
    <t>TARGET muito baixo junto da mesa</t>
  </si>
  <si>
    <t>ros2 topic pub --once /target_pose geometry_msgs/msg/PoseStamped "{header: {frame_id: 'base'}, pose: {position: {x: 0.7500, y: 0.0000, z: -0.2150}, orientation: {x: 0.0, y: 1.0, z: 0.0, w: 0.0}}}"</t>
  </si>
  <si>
    <t>S35</t>
  </si>
  <si>
    <t>TARGET próximo da mesa</t>
  </si>
  <si>
    <t>ros2 topic pub --once /target_pose geometry_msgs/msg/PoseStamped "{header: {frame_id: 'base'}, pose: {position: {x: 1.1000, y: 0.0000, z: -0.1600}, orientation: {x: 0.0, y: 1.0, z: 0.0, w: 0.0}}}"</t>
  </si>
  <si>
    <t>S36</t>
  </si>
  <si>
    <t>TARGET próximo da mesa com desvio Y</t>
  </si>
  <si>
    <t>ros2 topic pub --once /target_pose geometry_msgs/msg/PoseStamped "{header: {frame_id: 'base'}, pose: {position: {x: 1.1000, y: 0.2000, z: -0.2200}, orientation: {x: 0.0, y: 1.0, z: 0.0, w: 0.0}}}"</t>
  </si>
  <si>
    <t>S37</t>
  </si>
  <si>
    <t>Coluna/plataforma</t>
  </si>
  <si>
    <t>Aproximação perigosa ao suporte</t>
  </si>
  <si>
    <t>ros2 topic pub --once /target_pose geometry_msgs/msg/PoseStamped "{header: {frame_id: 'base'}, pose: {position: {x: 0.1000, y: 0.0000, z: -0.3000}, orientation: {x: 0.0, y: 1.0, z: 0.0, w: 0.0}}}"</t>
  </si>
  <si>
    <t>OK TARGET_DONE; IR_POSE = ERROR MOVE_FAILED</t>
  </si>
  <si>
    <t>S38</t>
  </si>
  <si>
    <t>Parede esquerda</t>
  </si>
  <si>
    <t>Validar bloqueio por colisão</t>
  </si>
  <si>
    <t>ros2 topic pub --once /target_pose geometry_msgs/msg/PoseStamped "{header: {frame_id: 'base'}, pose: {position: {x: 0.2000, y: 1.1800, z: 0.4000}, orientation: {x: 0.0, y: 1.0, z: 0.0, w: 0.0}}}"</t>
  </si>
  <si>
    <t>S39</t>
  </si>
  <si>
    <t>ros2 topic pub --once /target_pose geometry_msgs/msg/PoseStamped "{header: {frame_id: 'base'}, pose: {position: {x: 0.3000, y: -1.1800, z: 0.3000}, orientation: {x: 0.0, y: 1.0, z: 0.0, w: 0.0}}}"</t>
  </si>
  <si>
    <t>S40</t>
  </si>
  <si>
    <t>Movimento seguro</t>
  </si>
  <si>
    <t>Confirmar que a zona útil continua operacional</t>
  </si>
  <si>
    <t>ros2 topic pub --once /target_pose geometry_msgs/msg/PoseStamped "{header: {frame_id: 'base'}, pose: {position: {x: 0.6000, y: 0.0000, z: 0.4000}, orientation: {x: 0.0, y: 1.0, z: 0.0, w: 0.0}}}"</t>
  </si>
  <si>
    <t>OK TARGET_DONE; IR_POSE = OK MOVE_DONE</t>
  </si>
  <si>
    <t>Caso de controlo positivo.</t>
  </si>
  <si>
    <t>ros2 topic pub --once /target_pose geometry_msgs/msg/PoseStamped "{header: {frame_id: 'base'}, pose: {position: {x: 1.2200, y: 0.0000, z: 0.0000}, orientation: {x: 0.0, y: 1.0, z: 0.0, w: 0.0}}}"</t>
  </si>
  <si>
    <t>ros2 topic pub --once /target_pose geometry_msgs/msg/PoseStamped "{header: {frame_id: 'base'}, pose: {position: {x: 1.1000, y: 0.0000, z: 0.0000}, orientation: {x: 0.0, y: 1.0, z: 0.0, w: 0.0}}}"</t>
  </si>
  <si>
    <t>Valores inválidos</t>
  </si>
  <si>
    <t>PICK com coordenada NaN</t>
  </si>
  <si>
    <t>ros2 topic pub --once /pick_pose geometry_msgs/msg/PoseStamped "{header: {frame_id: 'base'}, pose: {position: {x: 0.6000, y: 0.0000, z: .nan}, orientation: {x: 0.0, y: 1.0, z: 0.0, w: 0.0}}}"</t>
  </si>
  <si>
    <t>TARGET com coordenada infinita</t>
  </si>
  <si>
    <t>ros2 topic pub --once /target_pose geometry_msgs/msg/PoseStamped "{header: {frame_id: 'base'}, pose: {position: {x: .inf, y: 0.0000, z: 0.2000}, orientation: {x: 0.0, y: 1.0, z: 0.0, w: 0.0}}}"</t>
  </si>
  <si>
    <t>PARÂMETROS DA PRÉ-VALIDAÇÃO</t>
  </si>
  <si>
    <t>Centro Z da primeira junta (m)</t>
  </si>
  <si>
    <t>deslocamento base → junta 1, do modelo URDF</t>
  </si>
  <si>
    <t>Raio nominal máximo, 6DOF (m)</t>
  </si>
  <si>
    <t>Ø2600 mm no manual</t>
  </si>
  <si>
    <t>Raio mínimo de exclusão (m)</t>
  </si>
  <si>
    <t>Ø312,6 mm no manual (r = 0,156 m), alargado por margem</t>
  </si>
  <si>
    <t>Z mínimo de segurança (m)</t>
  </si>
  <si>
    <t>plano útil inferior da célula</t>
  </si>
  <si>
    <t>Z máximo de segurança (m)</t>
  </si>
  <si>
    <t>altura útil da célula; coincide com o tecto do afastamento seguro</t>
  </si>
  <si>
    <t>Critério radial</t>
  </si>
  <si>
    <t>Rmin ≤ √(x²+y²+(z−0,1652)²) ≤ Rmax</t>
  </si>
  <si>
    <t>aplicado à pose do gripper_tcp</t>
  </si>
  <si>
    <t>RESUMO GERAL - SUCESSOS POR COMANDO (9 COMANDOS/CICLO)</t>
  </si>
  <si>
    <t>TAXA DE SUCESSO POR TIPO DE PASSO (Cálculo de Métricas)</t>
  </si>
  <si>
    <t>Tipo de Validação</t>
  </si>
  <si>
    <t>Tipo de Comando</t>
  </si>
  <si>
    <t>Total</t>
  </si>
  <si>
    <t>Sucessos (✓)</t>
  </si>
  <si>
    <t>Falhas (✗)</t>
  </si>
  <si>
    <t>Taxa (%)</t>
  </si>
  <si>
    <t>Sucesso de Comando /Comunicação</t>
  </si>
  <si>
    <t>Sucesso de Movimento</t>
  </si>
  <si>
    <t>Sucesso de Ciclo</t>
  </si>
  <si>
    <t>Sucesso de teste de Segurança</t>
  </si>
  <si>
    <t>Falha de Planeamento</t>
  </si>
  <si>
    <t>Falha de Execução</t>
  </si>
  <si>
    <t>Falha de Comunicação</t>
  </si>
  <si>
    <t>PICK_POSE</t>
  </si>
  <si>
    <t>X</t>
  </si>
  <si>
    <t>TARGET_POSE (2x do pick e do place)</t>
  </si>
  <si>
    <t>IR_POSE (2x do pick e do place)</t>
  </si>
  <si>
    <t>TERMINAR_TAREFA</t>
  </si>
  <si>
    <t>REMOVER_PECA</t>
  </si>
  <si>
    <t>TOTAL</t>
  </si>
  <si>
    <t>REPETIBILIDADE (Avaliado /ciclo)</t>
  </si>
  <si>
    <t>ROBUSTEZ</t>
  </si>
  <si>
    <t xml:space="preserve">TOTAL </t>
  </si>
  <si>
    <t>SUCESSOS/FALHAS DOS PLANEADORES</t>
  </si>
  <si>
    <t>Folha</t>
  </si>
  <si>
    <t>Tempo médio
planeado (s)</t>
  </si>
  <si>
    <t>Tempo médio
execução (s)</t>
  </si>
  <si>
    <t>Tempo médio
Total (s)</t>
  </si>
  <si>
    <t>Comprimento médio
cartesiano TCP (m)</t>
  </si>
  <si>
    <t>Média nº pontos 
planeados</t>
  </si>
  <si>
    <t>Execução</t>
  </si>
  <si>
    <t>t_plan (s)</t>
  </si>
  <si>
    <t>t_exec (s)</t>
  </si>
  <si>
    <t>t_total (s)</t>
  </si>
  <si>
    <t>Comprimento TCP (m)</t>
  </si>
  <si>
    <t>Pontos</t>
  </si>
  <si>
    <t>Resposta PICK_POSE</t>
  </si>
  <si>
    <t>Resposta TARGET_POSE</t>
  </si>
  <si>
    <t>IR_POSE — planeamento</t>
  </si>
  <si>
    <t>IR_POSE — execução</t>
  </si>
  <si>
    <t>IR_POSE — total</t>
  </si>
  <si>
    <t>IR_POSE — erro euclidiano</t>
  </si>
  <si>
    <t>TERMINAR_TAREFA — planeamento real</t>
  </si>
  <si>
    <t>TERMINAR_TAREFA — execução real</t>
  </si>
  <si>
    <t>TERMINAR_TAREFA — total real</t>
  </si>
  <si>
    <t>ANÁLISE ESTATÍSTICA — PICK-AND-PLACE TM12</t>
  </si>
  <si>
    <t>Tempo total médio (s)</t>
  </si>
  <si>
    <t>Ensaios</t>
  </si>
  <si>
    <t>Replaneamentos</t>
  </si>
  <si>
    <t>Tempo médio de planeamento (s)</t>
  </si>
  <si>
    <t>Métrica</t>
  </si>
  <si>
    <t>n</t>
  </si>
  <si>
    <t>Desvio padrão</t>
  </si>
  <si>
    <t>Mínimo</t>
  </si>
  <si>
    <t>Máximo</t>
  </si>
  <si>
    <t>Unidade</t>
  </si>
  <si>
    <t>Tempo de planeamento</t>
  </si>
  <si>
    <t>s</t>
  </si>
  <si>
    <t>Tempo de execução</t>
  </si>
  <si>
    <t>Tempo total</t>
  </si>
  <si>
    <t>Comprimento cartesiano TCP</t>
  </si>
  <si>
    <t>m</t>
  </si>
  <si>
    <t>Pontos planeados</t>
  </si>
  <si>
    <t>n.º</t>
  </si>
  <si>
    <t>Estatísticas das principais métricas do sistema</t>
  </si>
  <si>
    <t>ms</t>
  </si>
  <si>
    <t>mm</t>
  </si>
  <si>
    <t>Discussão dos planeadores e justificação da seleção</t>
  </si>
  <si>
    <t>RRTConnect obteve o menor tempo total médio no pick-and-place (33.323 s), abaixo de PRMstar (34.565 s) e RRTstar (35.246 s). Também produziu trajetórias médias mais curtas do que os dois planeadores assintoticamente ótimos no tempo de cálculo disponibilizado.</t>
  </si>
  <si>
    <t>RRTstar apresentou o menor tempo médio de planeamento (3.780 s), mas o maior tempo total médio e maior dispersão do comprimento da trajetória. Isto mostra que o menor tempo de planeamento isolado não se traduziu no ciclo global mais eficiente.</t>
  </si>
  <si>
    <t>PRMstar concluiu todos os ensaios de pick-and-place, mas apresentou maior comprimento médio de trajetória e maior número médio de pontos. A vantagem teórica de otimização depende do tempo de procura disponível e não compensou, neste conjunto de tarefas, o custo adicional de execução.</t>
  </si>
  <si>
    <t>A única falha registada com RRTConnect ocorreu por limite de binário da junta J1 durante a execução, não por incapacidade de encontrar uma trajetória. A escolha de RRTConnect é, por isso, sustentada pelo melhor compromisso observado entre tempo total, comprimento da trajetória, estabilidade e rapidez de obtenção de solução para consultas individuais.</t>
  </si>
  <si>
    <t>Critérios e fontes</t>
  </si>
  <si>
    <t>Cálculos: valores numéricos em falta são excluídos das estatísticas de tempo/comprimento; todas as tentativas, incluindo falhas, entram na taxa de sucesso. O desvio padrão apresentado é amostral (STDEV.S). Fonte dos dados: folhas originais do ficheiro experimental.</t>
  </si>
  <si>
    <t>Referência técnica: https://ompl.kavrakilab.org/classompl_1_1geometric_1_1RRTConnect.html | https://ompl.kavrakilab.org/planners.html</t>
  </si>
  <si>
    <t>✓ Sucesso de validação</t>
  </si>
  <si>
    <t>OK TARGET_DONE / OK MOVE_DONE</t>
  </si>
  <si>
    <t>✓ Sucesso de execução</t>
  </si>
  <si>
    <t>A pose ficou próxima da mesa, mas com folga suficiente; o MoveIt validou e executou o movimento.</t>
  </si>
  <si>
    <t>Controlo positivo próximo da mesa: a geometria manteve separação suficiente durante toda a trajetória.</t>
  </si>
  <si>
    <t>OK TARGET_DONE / ERROR MOVE_FAILED (descida)</t>
  </si>
  <si>
    <t>A pré-validação aceitou a pose; a descida foi corretamente bloqueada pelo MoveIt devido à colisão com a mesa.</t>
  </si>
  <si>
    <t>OK TARGET_DONE / ERROR MOVE_FAILED</t>
  </si>
  <si>
    <t>A pose passou a pré-validação radial; a aproximação ao suporte foi corretamente bloqueada pelo MoveIt.</t>
  </si>
  <si>
    <t>O MoveIt detetou a colisão com a parede esquerda e impediu a execução da trajetória.</t>
  </si>
  <si>
    <t>Parede direita — controlo</t>
  </si>
  <si>
    <t>Confirmar movimento seguro próximo da parede direita</t>
  </si>
  <si>
    <t>Controlo positivo: a pose permaneceu dentro da envolvente e com folga suficiente relativamente à parede direita.</t>
  </si>
  <si>
    <t>Alcance experimental</t>
  </si>
  <si>
    <t>Avaliar pose além do limite conservador de 1,194 m</t>
  </si>
  <si>
    <t>⚠ Hipótese não confirmada</t>
  </si>
  <si>
    <t>A pose a R=1,231 m foi atingida com orientação descendente. O valor de 1,194 m não constitui uma fronteira rígida para esta direção, orientação e TCP; a acessibilidade foi confirmada pelo MoveIt e pelo robô real.</t>
  </si>
  <si>
    <t>Controlo positivo na mesma direção, R=1,112 m</t>
  </si>
  <si>
    <t>Controlo positivo do S42. Ambas as posições foram acessíveis; o par S42/S43 não permite validar 1,194 m como fronteira rígida de destreza.</t>
  </si>
  <si>
    <t>Raio de referência conservador (m)</t>
  </si>
  <si>
    <t>Ø2388 mm indicado no manual; S42/S43 mostram que não é uma fronteira rígida para todas as poses e orientações</t>
  </si>
  <si>
    <t>SUCESSOS, DIVERGÊNCIAS E FALHAS DOS TESTES</t>
  </si>
  <si>
    <t>Resultados esperados confirmados</t>
  </si>
  <si>
    <t>Divergências / falhas</t>
  </si>
  <si>
    <t>Taxa de confirmação (%)</t>
  </si>
  <si>
    <t>SEGURANÇA — 41 ensaios</t>
  </si>
  <si>
    <t>Resultados detalhados dos ensaios de segurança: consultar a folha «Resultados Segurança». Análise estatística global: consultar «Análise Estatística».</t>
  </si>
  <si>
    <t>S12</t>
  </si>
  <si>
    <t>S15</t>
  </si>
  <si>
    <t>S18</t>
  </si>
  <si>
    <t>S41</t>
  </si>
  <si>
    <t xml:space="preserve">RESUMO GERAL — SUCESSO POR COMANDO (9 COMANDOS/CICLO, 100 CICLOS)</t>
  </si>
  <si>
    <t xml:space="preserve">4 falhas — CICLO 8, passo 3 (IR_POSE), repetições 3, 5, 7 e 9; folha «Repetibilidade», linha 106</t>
  </si>
  <si>
    <t xml:space="preserve">2 falhas — CICLO 5 rep. 2 e CICLO 7 rep. 10, passo 8 (TERMINAR_TAREFA); folha «Repetibilidade», linhas 69 e 97</t>
  </si>
  <si>
    <t xml:space="preserve">REPETIBILIDADE — sucesso ao nível do ciclo</t>
  </si>
  <si>
    <t xml:space="preserve">Soma de populações distintas (41 ensaios de pose, 100 ciclos, 19 cenários). Não utilizar como taxa global.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</si>
</sst>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&quot;%&quot;"/>
    <numFmt numFmtId="166" formatCode="0.0000"/>
    <numFmt numFmtId="167" formatCode="0.000"/>
    <numFmt numFmtId="168" formatCode="0.0"/>
    <numFmt numFmtId="169" formatCode="0.00000"/>
    <numFmt numFmtId="170" formatCode="0.0E+00"/>
    <numFmt numFmtId="171" formatCode="0.0000E+00"/>
  </numFmts>
  <fonts count="22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00"/>
      <name val="Aptos Narrow"/>
      <family val="2"/>
    </font>
    <font>
      <sz val="11"/>
      <color theme="1"/>
      <name val="Carlito"/>
    </font>
    <font>
      <sz val="11"/>
      <color theme="0"/>
      <name val="Carlito"/>
    </font>
    <font>
      <b/>
      <sz val="9"/>
      <color rgb="FFFFFFFF"/>
      <name val="Carlito"/>
    </font>
    <font>
      <b/>
      <sz val="12"/>
      <color rgb="FFFFFFFF"/>
      <name val="Carlito"/>
    </font>
    <font>
      <b/>
      <sz val="7"/>
      <color rgb="FFFFFFFF"/>
      <name val="Carlito"/>
    </font>
    <font>
      <b/>
      <sz val="16"/>
      <color theme="0"/>
      <name val="Carlito"/>
    </font>
    <font>
      <b/>
      <sz val="11"/>
      <color theme="0"/>
      <name val="Carlito"/>
    </font>
    <font>
      <sz val="11"/>
      <name val="Aptos Narrow"/>
      <family val="2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sz val="10"/>
      <color rgb="FF222222"/>
      <name val="Carlito"/>
    </font>
    <font>
      <sz val="9"/>
      <color rgb="FF5B9BD5"/>
      <name val="Carlito"/>
    </font>
    <font>
      <b/>
      <i/>
      <sz val="11"/>
      <color rgb="FF1F4E78"/>
      <name val="Carlito"/>
    </font>
    <font>
      <b/>
      <sz val="11"/>
      <color rgb="FFFFFFFF"/>
      <name val="Aptos Narrow"/>
      <family val="2"/>
    </font>
    <font>
      <b/>
      <sz val="11"/>
      <color rgb="FF9C6500"/>
      <name val="Carlito"/>
    </font>
    <font>
      <sz val="8"/>
      <name val="Carlito"/>
    </font>
  </fonts>
  <fills count="31">
    <fill>
      <patternFill patternType="none"/>
    </fill>
    <fill>
      <patternFill patternType="gray125"/>
    </fill>
    <fill>
      <patternFill patternType="solid">
        <fgColor theme="4" tint="0.59990234076967686"/>
        <bgColor indexed="65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FF0000"/>
      </patternFill>
    </fill>
    <fill>
      <patternFill patternType="solid">
        <fgColor rgb="FF366092"/>
      </patternFill>
    </fill>
    <fill>
      <patternFill patternType="solid">
        <fgColor rgb="FFD4EDDA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C55A11"/>
      </patternFill>
    </fill>
    <fill>
      <patternFill patternType="solid">
        <fgColor rgb="FF5B9BD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3"/>
      </patternFill>
    </fill>
    <fill>
      <patternFill patternType="solid">
        <fgColor theme="5" tint="-0.49989318521683401"/>
        <bgColor indexed="65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4" tint="-0.4998931852168340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rgb="FFFFC000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3CD"/>
      </patternFill>
    </fill>
    <fill>
      <patternFill patternType="solid">
        <fgColor rgb="FF70AD47"/>
      </patternFill>
    </fill>
    <fill>
      <patternFill patternType="solid">
        <fgColor rgb="FF66666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rgb="FFFFF2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8C8D"/>
      </left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B4C6E7"/>
      </top>
      <bottom/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11" fillId="16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/>
    <xf numFmtId="0" fontId="12" fillId="22" borderId="1" xfId="0" applyFont="1" applyFill="1" applyBorder="1" applyAlignment="1">
      <alignment horizontal="center" vertical="center" wrapText="1"/>
    </xf>
    <xf numFmtId="1" fontId="0" fillId="22" borderId="1" xfId="0" applyNumberFormat="1" applyFill="1" applyBorder="1"/>
    <xf numFmtId="1" fontId="0" fillId="2" borderId="1" xfId="0" applyNumberFormat="1" applyFill="1" applyBorder="1"/>
    <xf numFmtId="166" fontId="0" fillId="22" borderId="1" xfId="0" applyNumberFormat="1" applyFill="1" applyBorder="1"/>
    <xf numFmtId="166" fontId="0" fillId="2" borderId="1" xfId="0" applyNumberFormat="1" applyFill="1" applyBorder="1"/>
    <xf numFmtId="166" fontId="0" fillId="22" borderId="13" xfId="0" applyNumberFormat="1" applyFill="1" applyBorder="1" applyAlignment="1">
      <alignment horizontal="center" vertical="center"/>
    </xf>
    <xf numFmtId="166" fontId="0" fillId="22" borderId="1" xfId="0" applyNumberFormat="1" applyFill="1" applyBorder="1" applyAlignment="1">
      <alignment horizontal="center" vertical="center"/>
    </xf>
    <xf numFmtId="166" fontId="0" fillId="22" borderId="1" xfId="0" applyNumberFormat="1" applyFill="1" applyBorder="1" applyAlignment="1">
      <alignment horizontal="center"/>
    </xf>
    <xf numFmtId="166" fontId="0" fillId="0" borderId="1" xfId="0" applyNumberFormat="1" applyBorder="1"/>
    <xf numFmtId="1" fontId="0" fillId="0" borderId="1" xfId="0" applyNumberFormat="1" applyBorder="1"/>
    <xf numFmtId="0" fontId="3" fillId="0" borderId="0" xfId="0" applyFont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6" fontId="0" fillId="0" borderId="15" xfId="0" applyNumberFormat="1" applyBorder="1" applyAlignment="1">
      <alignment vertical="center"/>
    </xf>
    <xf numFmtId="166" fontId="0" fillId="0" borderId="16" xfId="0" applyNumberFormat="1" applyBorder="1" applyAlignment="1">
      <alignment vertical="center"/>
    </xf>
    <xf numFmtId="1" fontId="0" fillId="0" borderId="15" xfId="0" applyNumberFormat="1" applyBorder="1" applyAlignment="1">
      <alignment vertical="center"/>
    </xf>
    <xf numFmtId="1" fontId="0" fillId="0" borderId="16" xfId="0" applyNumberFormat="1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3" fillId="24" borderId="14" xfId="0" applyFont="1" applyFill="1" applyBorder="1" applyAlignment="1">
      <alignment horizontal="center" vertical="center" wrapText="1"/>
    </xf>
    <xf numFmtId="167" fontId="0" fillId="0" borderId="0" xfId="0" applyNumberFormat="1"/>
    <xf numFmtId="166" fontId="0" fillId="0" borderId="0" xfId="0" applyNumberFormat="1"/>
    <xf numFmtId="164" fontId="0" fillId="0" borderId="15" xfId="0" applyNumberFormat="1" applyBorder="1" applyAlignment="1">
      <alignment vertical="center"/>
    </xf>
    <xf numFmtId="164" fontId="0" fillId="0" borderId="16" xfId="0" applyNumberFormat="1" applyBorder="1" applyAlignment="1">
      <alignment vertical="center"/>
    </xf>
    <xf numFmtId="167" fontId="0" fillId="0" borderId="16" xfId="0" applyNumberFormat="1" applyBorder="1" applyAlignment="1">
      <alignment vertical="center"/>
    </xf>
    <xf numFmtId="0" fontId="13" fillId="25" borderId="14" xfId="0" applyFont="1" applyFill="1" applyBorder="1" applyAlignment="1">
      <alignment horizontal="center" vertical="center" wrapText="1"/>
    </xf>
    <xf numFmtId="167" fontId="0" fillId="0" borderId="15" xfId="0" applyNumberFormat="1" applyBorder="1" applyAlignment="1">
      <alignment vertical="center"/>
    </xf>
    <xf numFmtId="0" fontId="0" fillId="6" borderId="1" xfId="0" applyFill="1" applyBorder="1" applyAlignment="1">
      <alignment horizontal="center" wrapText="1"/>
    </xf>
    <xf numFmtId="0" fontId="3" fillId="12" borderId="0" xfId="0" applyFont="1" applyFill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 wrapText="1"/>
    </xf>
    <xf numFmtId="0" fontId="7" fillId="24" borderId="6" xfId="0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7" fillId="24" borderId="1" xfId="0" applyFont="1" applyFill="1" applyBorder="1" applyAlignment="1">
      <alignment horizontal="center" vertical="center" wrapText="1"/>
    </xf>
    <xf numFmtId="0" fontId="7" fillId="24" borderId="3" xfId="0" applyFont="1" applyFill="1" applyBorder="1" applyAlignment="1">
      <alignment horizontal="center" vertical="center"/>
    </xf>
    <xf numFmtId="0" fontId="13" fillId="27" borderId="14" xfId="0" applyFont="1" applyFill="1" applyBorder="1" applyAlignment="1">
      <alignment horizontal="center" vertical="center" wrapText="1"/>
    </xf>
    <xf numFmtId="0" fontId="15" fillId="28" borderId="14" xfId="0" applyFont="1" applyFill="1" applyBorder="1" applyAlignment="1">
      <alignment vertical="center"/>
    </xf>
    <xf numFmtId="1" fontId="15" fillId="28" borderId="14" xfId="0" applyNumberFormat="1" applyFont="1" applyFill="1" applyBorder="1" applyAlignment="1">
      <alignment vertical="center"/>
    </xf>
    <xf numFmtId="164" fontId="15" fillId="28" borderId="14" xfId="0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4" fillId="29" borderId="3" xfId="0" applyFont="1" applyFill="1" applyBorder="1"/>
    <xf numFmtId="0" fontId="0" fillId="29" borderId="0" xfId="0" applyFill="1"/>
    <xf numFmtId="0" fontId="0" fillId="28" borderId="24" xfId="0" applyFill="1" applyBorder="1" applyAlignment="1">
      <alignment horizontal="center" vertical="center" wrapText="1"/>
    </xf>
    <xf numFmtId="166" fontId="0" fillId="28" borderId="24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2" borderId="1" xfId="0" applyFill="1" applyBorder="1" applyAlignment="1">
      <alignment horizontal="center" wrapText="1"/>
    </xf>
    <xf numFmtId="0" fontId="20" fillId="30" borderId="27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1" fillId="27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12" borderId="0" xfId="0" applyFont="1" applyFill="1" applyAlignment="1">
      <alignment horizontal="center" vertical="center"/>
    </xf>
    <xf numFmtId="0" fontId="2" fillId="28" borderId="0" xfId="0" applyFont="1" applyFill="1"/>
    <xf numFmtId="0" fontId="3" fillId="1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9" fillId="13" borderId="1" xfId="0" applyFont="1" applyFill="1" applyBorder="1" applyAlignment="1">
      <alignment horizontal="center" vertical="center" wrapText="1"/>
    </xf>
    <xf numFmtId="166" fontId="0" fillId="19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3" fillId="2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9" fillId="13" borderId="1" xfId="0" applyNumberFormat="1" applyFont="1" applyFill="1" applyBorder="1" applyAlignment="1">
      <alignment horizontal="center" vertical="center" wrapText="1"/>
    </xf>
    <xf numFmtId="169" fontId="0" fillId="19" borderId="1" xfId="0" applyNumberFormat="1" applyFill="1" applyBorder="1" applyAlignment="1">
      <alignment horizontal="center" vertical="center"/>
    </xf>
    <xf numFmtId="171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/>
    </xf>
    <xf numFmtId="170" fontId="0" fillId="19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10" fillId="15" borderId="0" xfId="0" applyFont="1" applyFill="1" applyAlignment="1">
      <alignment horizontal="center" vertical="center"/>
    </xf>
    <xf numFmtId="0" fontId="0" fillId="0" borderId="0" xfId="0"/>
    <xf numFmtId="0" fontId="7" fillId="12" borderId="1" xfId="0" applyFont="1" applyFill="1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17" borderId="7" xfId="0" applyFont="1" applyFill="1" applyBorder="1" applyAlignment="1">
      <alignment horizontal="center"/>
    </xf>
    <xf numFmtId="0" fontId="0" fillId="0" borderId="7" xfId="0" applyBorder="1"/>
    <xf numFmtId="0" fontId="1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wrapText="1"/>
    </xf>
    <xf numFmtId="0" fontId="19" fillId="27" borderId="26" xfId="0" applyFont="1" applyFill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8" fillId="28" borderId="0" xfId="0" applyFont="1" applyFill="1" applyAlignment="1">
      <alignment horizontal="center" vertical="center" wrapText="1"/>
    </xf>
    <xf numFmtId="0" fontId="14" fillId="27" borderId="0" xfId="0" applyFont="1" applyFill="1" applyAlignment="1">
      <alignment horizontal="left" vertical="center"/>
    </xf>
    <xf numFmtId="0" fontId="16" fillId="26" borderId="25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7" fillId="0" borderId="0" xfId="0" applyFont="1" applyAlignment="1">
      <alignment wrapText="1"/>
    </xf>
    <xf numFmtId="0" fontId="15" fillId="28" borderId="0" xfId="0" applyFont="1" applyFill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67" fontId="0" fillId="0" borderId="16" xfId="0" applyNumberFormat="1" applyBorder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GraficosCap5" Type="http://schemas.openxmlformats.org/officeDocument/2006/relationships/worksheet" Target="/xl/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r>
              <a:rPr lang="pt-PT"/>
              <a:t>Tempo total médio por planner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 total médio (s)</c:v>
          </c:tx>
          <c:spPr>
            <a:solidFill>
              <a:srgbClr val="5B9BD5"/>
            </a:solidFill>
            <a:ln>
              <a:prstDash val="solid"/>
            </a:ln>
          </c:spPr>
          <c:invertIfNegative val="1"/>
          <c:cat>
            <c:strRef>
              <c:f>'Análise Estatística'!$S$3:$S$5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'Análise Estatística'!$T$3:$T$5</c:f>
              <c:numCache>
                <c:formatCode>0.000</c:formatCode>
                <c:ptCount val="3"/>
                <c:pt idx="0">
                  <c:v>33.32292244897959</c:v>
                </c:pt>
                <c:pt idx="1">
                  <c:v>35.246473999999999</c:v>
                </c:pt>
                <c:pt idx="2">
                  <c:v>34.565200000000004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35-4325-92CA-2ED08625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r>
              <a:rPr lang="pt-PT"/>
              <a:t>Tempo médio de planeamento por planner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 médio de planeamento (s)</c:v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'Análise Estatística'!$S$9:$S$11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'Análise Estatística'!$T$9:$T$11</c:f>
              <c:numCache>
                <c:formatCode>0.0000</c:formatCode>
                <c:ptCount val="3"/>
                <c:pt idx="0">
                  <c:v>4.0238387755102041</c:v>
                </c:pt>
                <c:pt idx="1">
                  <c:v>3.7800600000000002</c:v>
                </c:pt>
                <c:pt idx="2">
                  <c:v>4.0564460000000002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C0-400D-8D2F-C472E5B79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Img1" Type="http://schemas.openxmlformats.org/officeDocument/2006/relationships/image" Target="/xl/media/image1.png"/><Relationship Id="rIdImg2" Type="http://schemas.openxmlformats.org/officeDocument/2006/relationships/image" Target="/xl/media/image2.png"/><Relationship Id="rIdImg3" Type="http://schemas.openxmlformats.org/officeDocument/2006/relationships/image" Target="/xl/media/image3.png"/><Relationship Id="rIdImg4" Type="http://schemas.openxmlformats.org/officeDocument/2006/relationships/image" Target="/xl/media/image4.png"/><Relationship Id="rIdImg5" Type="http://schemas.openxmlformats.org/officeDocument/2006/relationships/image" Target="/xl/media/image5.png"/><Relationship Id="rIdImg6" Type="http://schemas.openxmlformats.org/officeDocument/2006/relationships/image" Target="/xl/media/image6.png"/><Relationship Id="rIdImg7" Type="http://schemas.openxmlformats.org/officeDocument/2006/relationships/image" Target="/xl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334500" cy="5410200"/>
    <xdr:pic>
      <xdr:nvPicPr>
        <xdr:cNvPr id="1001" name="fig5_pick_sucesso"/>
        <xdr:cNvPicPr/>
      </xdr:nvPicPr>
      <xdr:blipFill>
        <a:blip xmlns:r="http://schemas.openxmlformats.org/officeDocument/2006/relationships" r:embed="rIdImg1"/>
        <a:stretch>
          <a:fillRect/>
        </a:stretch>
      </xdr:blipFill>
      <xdr:spPr>
        <a:xfrm>
          <a:off x="0" y="0"/>
          <a:ext cx="9334500" cy="5410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9334500" cy="5229225"/>
    <xdr:pic>
      <xdr:nvPicPr>
        <xdr:cNvPr id="1002" name="fig5_erro_distribuicao"/>
        <xdr:cNvPicPr/>
      </xdr:nvPicPr>
      <xdr:blipFill>
        <a:blip xmlns:r="http://schemas.openxmlformats.org/officeDocument/2006/relationships" r:embed="rIdImg2"/>
        <a:stretch>
          <a:fillRect/>
        </a:stretch>
      </xdr:blipFill>
      <xdr:spPr>
        <a:xfrm>
          <a:off x="0" y="0"/>
          <a:ext cx="9334500" cy="52292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9334500" cy="5524500"/>
    <xdr:pic>
      <xdr:nvPicPr>
        <xdr:cNvPr id="1003" name="fig5_planeadores_tempos"/>
        <xdr:cNvPicPr/>
      </xdr:nvPicPr>
      <xdr:blipFill>
        <a:blip xmlns:r="http://schemas.openxmlformats.org/officeDocument/2006/relationships" r:embed="rIdImg3"/>
        <a:stretch>
          <a:fillRect/>
        </a:stretch>
      </xdr:blipFill>
      <xdr:spPr>
        <a:xfrm>
          <a:off x="0" y="0"/>
          <a:ext cx="9334500" cy="5524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9334500" cy="5400675"/>
    <xdr:pic>
      <xdr:nvPicPr>
        <xdr:cNvPr id="1004" name="fig5_planeadores_comprimento"/>
        <xdr:cNvPicPr/>
      </xdr:nvPicPr>
      <xdr:blipFill>
        <a:blip xmlns:r="http://schemas.openxmlformats.org/officeDocument/2006/relationships" r:embed="rIdImg4"/>
        <a:stretch>
          <a:fillRect/>
        </a:stretch>
      </xdr:blipFill>
      <xdr:spPr>
        <a:xfrm>
          <a:off x="0" y="0"/>
          <a:ext cx="9334500" cy="54006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9334500" cy="5429250"/>
    <xdr:pic>
      <xdr:nvPicPr>
        <xdr:cNvPr id="1005" name="fig5_planeadores_planeamento"/>
        <xdr:cNvPicPr/>
      </xdr:nvPicPr>
      <xdr:blipFill>
        <a:blip xmlns:r="http://schemas.openxmlformats.org/officeDocument/2006/relationships" r:embed="rIdImg5"/>
        <a:stretch>
          <a:fillRect/>
        </a:stretch>
      </xdr:blipFill>
      <xdr:spPr>
        <a:xfrm>
          <a:off x="0" y="0"/>
          <a:ext cx="9334500" cy="5429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9334500" cy="7058025"/>
    <xdr:pic>
      <xdr:nvPicPr>
        <xdr:cNvPr id="1006" name="fig5_planeadores_sucesso"/>
        <xdr:cNvPicPr/>
      </xdr:nvPicPr>
      <xdr:blipFill>
        <a:blip xmlns:r="http://schemas.openxmlformats.org/officeDocument/2006/relationships" r:embed="rIdImg6"/>
        <a:stretch>
          <a:fillRect/>
        </a:stretch>
      </xdr:blipFill>
      <xdr:spPr>
        <a:xfrm>
          <a:off x="0" y="0"/>
          <a:ext cx="9334500" cy="70580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9334500" cy="5800725"/>
    <xdr:pic>
      <xdr:nvPicPr>
        <xdr:cNvPr id="1007" name="fig5_seguranca_robustez"/>
        <xdr:cNvPicPr/>
      </xdr:nvPicPr>
      <xdr:blipFill>
        <a:blip xmlns:r="http://schemas.openxmlformats.org/officeDocument/2006/relationships" r:embed="rIdImg7"/>
        <a:stretch>
          <a:fillRect/>
        </a:stretch>
      </xdr:blipFill>
      <xdr:spPr>
        <a:xfrm>
          <a:off x="0" y="0"/>
          <a:ext cx="9334500" cy="580072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ckPlannerData" displayName="PickPlannerData" ref="A1:J151" totalsRowShown="0">
  <tableColumns count="10">
    <tableColumn id="1" xr3:uid="{00000000-0010-0000-0000-000001000000}" name="Execução"/>
    <tableColumn id="2" xr3:uid="{00000000-0010-0000-0000-000002000000}" name="Teste"/>
    <tableColumn id="3" xr3:uid="{00000000-0010-0000-0000-000003000000}" name="Planner"/>
    <tableColumn id="4" xr3:uid="{00000000-0010-0000-0000-000004000000}" name="t_plan (s)"/>
    <tableColumn id="5" xr3:uid="{00000000-0010-0000-0000-000005000000}" name="t_exec (s)"/>
    <tableColumn id="6" xr3:uid="{00000000-0010-0000-0000-000006000000}" name="t_total (s)"/>
    <tableColumn id="7" xr3:uid="{00000000-0010-0000-0000-000007000000}" name="Comprimento TCP (m)"/>
    <tableColumn id="8" xr3:uid="{00000000-0010-0000-0000-000008000000}" name="Pontos"/>
    <tableColumn id="9" xr3:uid="{00000000-0010-0000-0000-000009000000}" name="Resultado"/>
    <tableColumn id="10" xr3:uid="{00000000-0010-0000-0000-00000A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<Relationships xmlns="http://schemas.openxmlformats.org/package/2006/relationships"><Relationship Id="rIdDrawing" Type="http://schemas.openxmlformats.org/officeDocument/2006/relationships/drawing" Target="/xl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0"/>
  <sheetViews>
    <sheetView tabSelected="1" workbookViewId="0">
      <selection sqref="A1:Z1"/>
    </sheetView>
  </sheetViews>
  <sheetFormatPr defaultRowHeight="13.8"/>
  <cols>
    <col min="1" max="1" width="10.69921875" style="2" customWidth="1"/>
    <col min="2" max="2" width="19.69921875" style="2" customWidth="1"/>
    <col min="3" max="3" width="20.8984375" style="2" customWidth="1"/>
    <col min="4" max="4" width="31.5" style="2" customWidth="1"/>
    <col min="5" max="5" width="55.3984375" style="2" customWidth="1"/>
    <col min="6" max="6" width="60.69921875" style="2" customWidth="1"/>
    <col min="7" max="7" width="18" style="2" customWidth="1"/>
    <col min="8" max="8" width="13.69921875" style="2" customWidth="1"/>
    <col min="9" max="9" width="18" style="2" customWidth="1"/>
    <col min="10" max="10" width="23.3984375" style="2" customWidth="1"/>
    <col min="11" max="11" width="19.19921875" style="2" customWidth="1"/>
    <col min="12" max="12" width="16" style="2" customWidth="1"/>
    <col min="13" max="13" width="19.19921875" style="2" customWidth="1"/>
    <col min="14" max="14" width="16" style="1" customWidth="1"/>
    <col min="15" max="15" width="19.19921875" style="1" customWidth="1"/>
    <col min="16" max="16" width="22" style="1" customWidth="1"/>
    <col min="17" max="17" width="19.19921875" style="1" customWidth="1"/>
    <col min="18" max="18" width="16" style="1" customWidth="1"/>
    <col min="19" max="19" width="19.19921875" style="2" customWidth="1"/>
    <col min="20" max="20" width="21.59765625" style="1" customWidth="1"/>
    <col min="21" max="21" width="19.19921875" style="1" customWidth="1"/>
    <col min="22" max="22" width="16" style="1" customWidth="1"/>
    <col min="23" max="23" width="19.19921875" style="1" customWidth="1"/>
    <col min="24" max="24" width="16" style="1" customWidth="1"/>
    <col min="25" max="25" width="19.19921875" style="1" customWidth="1"/>
    <col min="26" max="26" width="25.59765625" style="1" customWidth="1"/>
  </cols>
  <sheetData>
    <row r="1" spans="1:31" ht="10.65" customHeight="1">
      <c r="A1" s="99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1"/>
      <c r="O1" s="101"/>
      <c r="P1" s="101"/>
      <c r="Q1" s="101"/>
      <c r="R1" s="101"/>
      <c r="S1" s="100"/>
      <c r="T1" s="101"/>
      <c r="U1" s="101"/>
      <c r="V1" s="101"/>
      <c r="W1" s="101"/>
      <c r="X1" s="101"/>
      <c r="Y1" s="101"/>
      <c r="Z1" s="101"/>
      <c r="AA1" s="13"/>
      <c r="AB1" s="13"/>
      <c r="AC1" s="13"/>
      <c r="AD1" s="13"/>
    </row>
    <row r="2" spans="1:31">
      <c r="A2" s="103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  <c r="O2" s="101"/>
      <c r="P2" s="101"/>
      <c r="Q2" s="101"/>
      <c r="R2" s="101"/>
      <c r="S2" s="100"/>
      <c r="T2" s="101"/>
      <c r="U2" s="101"/>
      <c r="V2" s="101"/>
      <c r="W2" s="101"/>
      <c r="X2" s="101"/>
      <c r="Y2" s="101"/>
      <c r="Z2" s="101"/>
    </row>
    <row r="3" spans="1:31">
      <c r="A3" s="70" t="s">
        <v>2</v>
      </c>
      <c r="B3" s="70" t="s">
        <v>3</v>
      </c>
      <c r="C3" s="70" t="s">
        <v>4</v>
      </c>
      <c r="D3" s="70" t="s">
        <v>5</v>
      </c>
      <c r="E3" s="70" t="s">
        <v>6</v>
      </c>
      <c r="F3" s="70" t="s">
        <v>7</v>
      </c>
    </row>
    <row r="4" spans="1:31">
      <c r="A4" s="2">
        <v>10</v>
      </c>
      <c r="B4" s="2">
        <v>90</v>
      </c>
      <c r="C4" s="2">
        <f>COUNTIF(G6:Z14,"✓ Sucesso execução")</f>
        <v>90</v>
      </c>
      <c r="D4" s="2">
        <f>COUNTIF(G6:Z14,"⮾Falha real")</f>
        <v>0</v>
      </c>
      <c r="E4" s="3">
        <f>IF(A4=0,"",(C4/9)/A4)</f>
        <v>1</v>
      </c>
      <c r="F4" s="2" t="s">
        <v>8</v>
      </c>
    </row>
    <row r="5" spans="1:31">
      <c r="A5" s="102" t="s">
        <v>9</v>
      </c>
      <c r="B5" s="100"/>
      <c r="C5" s="70" t="s">
        <v>10</v>
      </c>
      <c r="D5" s="70" t="s">
        <v>11</v>
      </c>
      <c r="E5" s="70" t="s">
        <v>12</v>
      </c>
      <c r="F5" s="70" t="s">
        <v>13</v>
      </c>
      <c r="G5" s="70" t="s">
        <v>14</v>
      </c>
      <c r="H5" s="70" t="s">
        <v>15</v>
      </c>
      <c r="I5" s="70" t="s">
        <v>16</v>
      </c>
      <c r="J5" s="70" t="s">
        <v>17</v>
      </c>
      <c r="K5" s="70" t="s">
        <v>18</v>
      </c>
      <c r="L5" s="70" t="s">
        <v>19</v>
      </c>
      <c r="M5" s="70" t="s">
        <v>20</v>
      </c>
      <c r="N5" s="70" t="s">
        <v>21</v>
      </c>
      <c r="O5" s="70" t="s">
        <v>22</v>
      </c>
      <c r="P5" s="70" t="s">
        <v>23</v>
      </c>
      <c r="Q5" s="70" t="s">
        <v>24</v>
      </c>
      <c r="R5" s="70" t="s">
        <v>25</v>
      </c>
      <c r="S5" s="70" t="s">
        <v>26</v>
      </c>
      <c r="T5" s="70" t="s">
        <v>27</v>
      </c>
      <c r="U5" s="70" t="s">
        <v>28</v>
      </c>
      <c r="V5" s="70" t="s">
        <v>29</v>
      </c>
      <c r="W5" s="70" t="s">
        <v>30</v>
      </c>
      <c r="X5" s="70" t="s">
        <v>31</v>
      </c>
      <c r="Y5" s="70" t="s">
        <v>32</v>
      </c>
      <c r="Z5" s="70" t="s">
        <v>33</v>
      </c>
      <c r="AB5" s="12"/>
      <c r="AC5" s="12"/>
      <c r="AD5" s="12"/>
      <c r="AE5" s="12"/>
    </row>
    <row r="6" spans="1:31" ht="9.6" customHeight="1">
      <c r="A6" s="100">
        <v>1</v>
      </c>
      <c r="B6" s="100"/>
      <c r="C6" s="2" t="s">
        <v>34</v>
      </c>
      <c r="D6" s="2" t="s">
        <v>35</v>
      </c>
      <c r="E6" s="2" t="s">
        <v>36</v>
      </c>
      <c r="F6" s="2" t="s">
        <v>37</v>
      </c>
      <c r="G6" s="7" t="s">
        <v>38</v>
      </c>
      <c r="H6" s="2" t="s">
        <v>39</v>
      </c>
      <c r="I6" s="7" t="s">
        <v>38</v>
      </c>
      <c r="J6" s="2" t="s">
        <v>39</v>
      </c>
      <c r="K6" s="7" t="s">
        <v>38</v>
      </c>
      <c r="L6" s="2" t="s">
        <v>39</v>
      </c>
      <c r="M6" s="7" t="s">
        <v>38</v>
      </c>
      <c r="N6" s="2" t="s">
        <v>39</v>
      </c>
      <c r="O6" s="7" t="s">
        <v>38</v>
      </c>
      <c r="P6" s="2" t="s">
        <v>39</v>
      </c>
      <c r="Q6" s="7" t="s">
        <v>38</v>
      </c>
      <c r="R6" s="2" t="s">
        <v>39</v>
      </c>
      <c r="S6" s="7" t="s">
        <v>38</v>
      </c>
      <c r="T6" s="2" t="s">
        <v>39</v>
      </c>
      <c r="U6" s="7" t="s">
        <v>38</v>
      </c>
      <c r="V6" s="2" t="s">
        <v>39</v>
      </c>
      <c r="W6" s="7" t="s">
        <v>38</v>
      </c>
      <c r="X6" s="2" t="s">
        <v>39</v>
      </c>
      <c r="Y6" s="7" t="s">
        <v>38</v>
      </c>
      <c r="Z6" s="2" t="s">
        <v>39</v>
      </c>
    </row>
    <row r="7" spans="1:31">
      <c r="A7" s="100"/>
      <c r="B7" s="100"/>
      <c r="C7" s="2" t="s">
        <v>40</v>
      </c>
      <c r="D7" s="2" t="s">
        <v>35</v>
      </c>
      <c r="E7" s="2" t="s">
        <v>41</v>
      </c>
      <c r="F7" s="2" t="s">
        <v>42</v>
      </c>
      <c r="G7" s="7" t="s">
        <v>38</v>
      </c>
      <c r="H7" s="2" t="s">
        <v>39</v>
      </c>
      <c r="I7" s="7" t="s">
        <v>38</v>
      </c>
      <c r="J7" s="2" t="s">
        <v>39</v>
      </c>
      <c r="K7" s="7" t="s">
        <v>38</v>
      </c>
      <c r="L7" s="2" t="s">
        <v>39</v>
      </c>
      <c r="M7" s="7" t="s">
        <v>38</v>
      </c>
      <c r="N7" s="2" t="s">
        <v>39</v>
      </c>
      <c r="O7" s="7" t="s">
        <v>38</v>
      </c>
      <c r="P7" s="2" t="s">
        <v>39</v>
      </c>
      <c r="Q7" s="7" t="s">
        <v>38</v>
      </c>
      <c r="R7" s="2" t="s">
        <v>39</v>
      </c>
      <c r="S7" s="7" t="s">
        <v>38</v>
      </c>
      <c r="T7" s="2" t="s">
        <v>39</v>
      </c>
      <c r="U7" s="7" t="s">
        <v>38</v>
      </c>
      <c r="V7" s="2" t="s">
        <v>39</v>
      </c>
      <c r="W7" s="7" t="s">
        <v>38</v>
      </c>
      <c r="X7" s="2" t="s">
        <v>39</v>
      </c>
      <c r="Y7" s="7" t="s">
        <v>38</v>
      </c>
      <c r="Z7" s="2" t="s">
        <v>39</v>
      </c>
    </row>
    <row r="8" spans="1:31">
      <c r="A8" s="100"/>
      <c r="B8" s="100"/>
      <c r="C8" s="2" t="s">
        <v>43</v>
      </c>
      <c r="D8" s="2" t="s">
        <v>44</v>
      </c>
      <c r="E8" s="2" t="s">
        <v>45</v>
      </c>
      <c r="F8" s="2" t="s">
        <v>46</v>
      </c>
      <c r="G8" s="7" t="s">
        <v>38</v>
      </c>
      <c r="H8" s="2" t="s">
        <v>39</v>
      </c>
      <c r="I8" s="7" t="s">
        <v>38</v>
      </c>
      <c r="J8" s="2" t="s">
        <v>39</v>
      </c>
      <c r="K8" s="7" t="s">
        <v>38</v>
      </c>
      <c r="L8" s="2" t="s">
        <v>39</v>
      </c>
      <c r="M8" s="7" t="s">
        <v>38</v>
      </c>
      <c r="N8" s="2" t="s">
        <v>39</v>
      </c>
      <c r="O8" s="7" t="s">
        <v>38</v>
      </c>
      <c r="P8" s="2" t="s">
        <v>39</v>
      </c>
      <c r="Q8" s="7" t="s">
        <v>38</v>
      </c>
      <c r="R8" s="2" t="s">
        <v>39</v>
      </c>
      <c r="S8" s="7" t="s">
        <v>38</v>
      </c>
      <c r="T8" s="2" t="s">
        <v>39</v>
      </c>
      <c r="U8" s="7" t="s">
        <v>38</v>
      </c>
      <c r="V8" s="2" t="s">
        <v>39</v>
      </c>
      <c r="W8" s="7" t="s">
        <v>38</v>
      </c>
      <c r="X8" s="2" t="s">
        <v>39</v>
      </c>
      <c r="Y8" s="7" t="s">
        <v>38</v>
      </c>
      <c r="Z8" s="2" t="s">
        <v>39</v>
      </c>
    </row>
    <row r="9" spans="1:31">
      <c r="A9" s="100"/>
      <c r="B9" s="100"/>
      <c r="C9" s="2" t="s">
        <v>47</v>
      </c>
      <c r="D9" s="2" t="s">
        <v>48</v>
      </c>
      <c r="E9" s="2" t="s">
        <v>49</v>
      </c>
      <c r="F9" s="2" t="s">
        <v>50</v>
      </c>
      <c r="G9" s="7" t="s">
        <v>38</v>
      </c>
      <c r="H9" s="2" t="s">
        <v>39</v>
      </c>
      <c r="I9" s="7" t="s">
        <v>38</v>
      </c>
      <c r="J9" s="2" t="s">
        <v>39</v>
      </c>
      <c r="K9" s="7" t="s">
        <v>38</v>
      </c>
      <c r="L9" s="2" t="s">
        <v>39</v>
      </c>
      <c r="M9" s="7" t="s">
        <v>38</v>
      </c>
      <c r="N9" s="2" t="s">
        <v>39</v>
      </c>
      <c r="O9" s="7" t="s">
        <v>38</v>
      </c>
      <c r="P9" s="2" t="s">
        <v>39</v>
      </c>
      <c r="Q9" s="7" t="s">
        <v>38</v>
      </c>
      <c r="R9" s="2" t="s">
        <v>39</v>
      </c>
      <c r="S9" s="7" t="s">
        <v>38</v>
      </c>
      <c r="T9" s="2" t="s">
        <v>39</v>
      </c>
      <c r="U9" s="7" t="s">
        <v>38</v>
      </c>
      <c r="V9" s="2" t="s">
        <v>39</v>
      </c>
      <c r="W9" s="7" t="s">
        <v>38</v>
      </c>
      <c r="X9" s="2" t="s">
        <v>39</v>
      </c>
      <c r="Y9" s="7" t="s">
        <v>38</v>
      </c>
      <c r="Z9" s="2" t="s">
        <v>39</v>
      </c>
    </row>
    <row r="10" spans="1:31">
      <c r="A10" s="100"/>
      <c r="B10" s="100"/>
      <c r="C10" s="2" t="s">
        <v>51</v>
      </c>
      <c r="D10" s="2" t="s">
        <v>52</v>
      </c>
      <c r="E10" s="2" t="s">
        <v>53</v>
      </c>
      <c r="F10" s="2" t="s">
        <v>42</v>
      </c>
      <c r="G10" s="7" t="s">
        <v>38</v>
      </c>
      <c r="H10" s="2" t="s">
        <v>39</v>
      </c>
      <c r="I10" s="7" t="s">
        <v>38</v>
      </c>
      <c r="J10" s="2" t="s">
        <v>39</v>
      </c>
      <c r="K10" s="7" t="s">
        <v>38</v>
      </c>
      <c r="L10" s="2" t="s">
        <v>39</v>
      </c>
      <c r="M10" s="7" t="s">
        <v>38</v>
      </c>
      <c r="N10" s="2" t="s">
        <v>39</v>
      </c>
      <c r="O10" s="7" t="s">
        <v>38</v>
      </c>
      <c r="P10" s="2" t="s">
        <v>39</v>
      </c>
      <c r="Q10" s="7" t="s">
        <v>38</v>
      </c>
      <c r="R10" s="2" t="s">
        <v>39</v>
      </c>
      <c r="S10" s="7" t="s">
        <v>38</v>
      </c>
      <c r="T10" s="2" t="s">
        <v>39</v>
      </c>
      <c r="U10" s="7" t="s">
        <v>38</v>
      </c>
      <c r="V10" s="2" t="s">
        <v>39</v>
      </c>
      <c r="W10" s="7" t="s">
        <v>38</v>
      </c>
      <c r="X10" s="2" t="s">
        <v>39</v>
      </c>
      <c r="Y10" s="7" t="s">
        <v>38</v>
      </c>
      <c r="Z10" s="2" t="s">
        <v>39</v>
      </c>
    </row>
    <row r="11" spans="1:31">
      <c r="A11" s="100"/>
      <c r="B11" s="100"/>
      <c r="C11" s="2" t="s">
        <v>54</v>
      </c>
      <c r="D11" s="2" t="s">
        <v>55</v>
      </c>
      <c r="E11" s="2" t="s">
        <v>45</v>
      </c>
      <c r="F11" s="2" t="s">
        <v>46</v>
      </c>
      <c r="G11" s="7" t="s">
        <v>38</v>
      </c>
      <c r="H11" s="2" t="s">
        <v>39</v>
      </c>
      <c r="I11" s="7" t="s">
        <v>38</v>
      </c>
      <c r="J11" s="2" t="s">
        <v>39</v>
      </c>
      <c r="K11" s="7" t="s">
        <v>38</v>
      </c>
      <c r="L11" s="2" t="s">
        <v>39</v>
      </c>
      <c r="M11" s="7" t="s">
        <v>38</v>
      </c>
      <c r="N11" s="2" t="s">
        <v>39</v>
      </c>
      <c r="O11" s="7" t="s">
        <v>38</v>
      </c>
      <c r="P11" s="2" t="s">
        <v>39</v>
      </c>
      <c r="Q11" s="7" t="s">
        <v>38</v>
      </c>
      <c r="R11" s="2" t="s">
        <v>39</v>
      </c>
      <c r="S11" s="7" t="s">
        <v>38</v>
      </c>
      <c r="T11" s="2" t="s">
        <v>39</v>
      </c>
      <c r="U11" s="7" t="s">
        <v>38</v>
      </c>
      <c r="V11" s="2" t="s">
        <v>39</v>
      </c>
      <c r="W11" s="7" t="s">
        <v>38</v>
      </c>
      <c r="X11" s="2" t="s">
        <v>39</v>
      </c>
      <c r="Y11" s="7" t="s">
        <v>38</v>
      </c>
      <c r="Z11" s="2" t="s">
        <v>39</v>
      </c>
    </row>
    <row r="12" spans="1:31">
      <c r="A12" s="100"/>
      <c r="B12" s="100"/>
      <c r="C12" s="2" t="s">
        <v>56</v>
      </c>
      <c r="D12" s="2" t="s">
        <v>57</v>
      </c>
      <c r="E12" s="2" t="s">
        <v>58</v>
      </c>
      <c r="F12" s="2" t="s">
        <v>59</v>
      </c>
      <c r="G12" s="7" t="s">
        <v>38</v>
      </c>
      <c r="H12" s="2" t="s">
        <v>39</v>
      </c>
      <c r="I12" s="7" t="s">
        <v>38</v>
      </c>
      <c r="J12" s="2" t="s">
        <v>39</v>
      </c>
      <c r="K12" s="7" t="s">
        <v>38</v>
      </c>
      <c r="L12" s="2" t="s">
        <v>39</v>
      </c>
      <c r="M12" s="7" t="s">
        <v>38</v>
      </c>
      <c r="N12" s="2" t="s">
        <v>39</v>
      </c>
      <c r="O12" s="7" t="s">
        <v>38</v>
      </c>
      <c r="P12" s="2" t="s">
        <v>39</v>
      </c>
      <c r="Q12" s="7" t="s">
        <v>38</v>
      </c>
      <c r="R12" s="2" t="s">
        <v>39</v>
      </c>
      <c r="S12" s="7" t="s">
        <v>38</v>
      </c>
      <c r="T12" s="2" t="s">
        <v>39</v>
      </c>
      <c r="U12" s="7" t="s">
        <v>38</v>
      </c>
      <c r="V12" s="2" t="s">
        <v>39</v>
      </c>
      <c r="W12" s="7" t="s">
        <v>38</v>
      </c>
      <c r="X12" s="2" t="s">
        <v>39</v>
      </c>
      <c r="Y12" s="7" t="s">
        <v>38</v>
      </c>
      <c r="Z12" s="2" t="s">
        <v>39</v>
      </c>
    </row>
    <row r="13" spans="1:31">
      <c r="A13" s="100"/>
      <c r="B13" s="100"/>
      <c r="C13" s="2" t="s">
        <v>60</v>
      </c>
      <c r="D13" s="2" t="s">
        <v>61</v>
      </c>
      <c r="E13" s="2" t="s">
        <v>62</v>
      </c>
      <c r="F13" s="2" t="s">
        <v>63</v>
      </c>
      <c r="G13" s="7" t="s">
        <v>38</v>
      </c>
      <c r="H13" s="2" t="s">
        <v>39</v>
      </c>
      <c r="I13" s="7" t="s">
        <v>38</v>
      </c>
      <c r="J13" s="2" t="s">
        <v>39</v>
      </c>
      <c r="K13" s="7" t="s">
        <v>38</v>
      </c>
      <c r="L13" s="2" t="s">
        <v>39</v>
      </c>
      <c r="M13" s="7" t="s">
        <v>38</v>
      </c>
      <c r="N13" s="2" t="s">
        <v>39</v>
      </c>
      <c r="O13" s="7" t="s">
        <v>38</v>
      </c>
      <c r="P13" s="2" t="s">
        <v>39</v>
      </c>
      <c r="Q13" s="7" t="s">
        <v>38</v>
      </c>
      <c r="R13" s="2" t="s">
        <v>39</v>
      </c>
      <c r="S13" s="7" t="s">
        <v>38</v>
      </c>
      <c r="T13" s="2" t="s">
        <v>39</v>
      </c>
      <c r="U13" s="7" t="s">
        <v>38</v>
      </c>
      <c r="V13" s="2" t="s">
        <v>39</v>
      </c>
      <c r="W13" s="7" t="s">
        <v>38</v>
      </c>
      <c r="X13" s="2" t="s">
        <v>39</v>
      </c>
      <c r="Y13" s="7" t="s">
        <v>38</v>
      </c>
      <c r="Z13" s="2" t="s">
        <v>39</v>
      </c>
    </row>
    <row r="14" spans="1:31">
      <c r="A14" s="100"/>
      <c r="B14" s="100"/>
      <c r="C14" s="2" t="s">
        <v>64</v>
      </c>
      <c r="D14" s="2" t="s">
        <v>65</v>
      </c>
      <c r="E14" s="2" t="s">
        <v>66</v>
      </c>
      <c r="F14" s="2" t="s">
        <v>67</v>
      </c>
      <c r="G14" s="7" t="s">
        <v>38</v>
      </c>
      <c r="H14" s="2" t="s">
        <v>39</v>
      </c>
      <c r="I14" s="7" t="s">
        <v>38</v>
      </c>
      <c r="J14" s="2" t="s">
        <v>39</v>
      </c>
      <c r="K14" s="7" t="s">
        <v>38</v>
      </c>
      <c r="L14" s="2" t="s">
        <v>39</v>
      </c>
      <c r="M14" s="7" t="s">
        <v>38</v>
      </c>
      <c r="N14" s="2" t="s">
        <v>39</v>
      </c>
      <c r="O14" s="7" t="s">
        <v>38</v>
      </c>
      <c r="P14" s="2" t="s">
        <v>39</v>
      </c>
      <c r="Q14" s="7" t="s">
        <v>38</v>
      </c>
      <c r="R14" s="2" t="s">
        <v>39</v>
      </c>
      <c r="S14" s="7" t="s">
        <v>38</v>
      </c>
      <c r="T14" s="2" t="s">
        <v>39</v>
      </c>
      <c r="U14" s="7" t="s">
        <v>38</v>
      </c>
      <c r="V14" s="2" t="s">
        <v>39</v>
      </c>
      <c r="W14" s="7" t="s">
        <v>38</v>
      </c>
      <c r="X14" s="2" t="s">
        <v>39</v>
      </c>
      <c r="Y14" s="7" t="s">
        <v>38</v>
      </c>
      <c r="Z14" s="2" t="s">
        <v>39</v>
      </c>
    </row>
    <row r="16" spans="1:31">
      <c r="A16" s="103" t="s">
        <v>68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  <c r="O16" s="101"/>
      <c r="P16" s="101"/>
      <c r="Q16" s="101"/>
      <c r="R16" s="101"/>
      <c r="S16" s="100"/>
      <c r="T16" s="101"/>
      <c r="U16" s="101"/>
      <c r="V16" s="101"/>
      <c r="W16" s="101"/>
      <c r="X16" s="101"/>
      <c r="Y16" s="101"/>
      <c r="Z16" s="101"/>
    </row>
    <row r="17" spans="1:26">
      <c r="A17" s="70" t="s">
        <v>2</v>
      </c>
      <c r="B17" s="70" t="s">
        <v>3</v>
      </c>
      <c r="C17" s="70" t="s">
        <v>4</v>
      </c>
      <c r="D17" s="70" t="s">
        <v>5</v>
      </c>
      <c r="E17" s="70" t="s">
        <v>6</v>
      </c>
      <c r="F17" s="70" t="s">
        <v>7</v>
      </c>
    </row>
    <row r="18" spans="1:26">
      <c r="A18" s="2">
        <v>10</v>
      </c>
      <c r="B18" s="2">
        <v>90</v>
      </c>
      <c r="C18" s="2">
        <f>COUNTIF(G20:Z28,"✓ Sucesso execução")</f>
        <v>90</v>
      </c>
      <c r="D18" s="2">
        <f>COUNTIF(G20:Z28,"⮾Falha real")</f>
        <v>0</v>
      </c>
      <c r="E18" s="3">
        <f>IF(A18=0,"",(C18/9)/A18)</f>
        <v>1</v>
      </c>
      <c r="F18" s="2" t="s">
        <v>8</v>
      </c>
    </row>
    <row r="19" spans="1:26">
      <c r="A19" s="102" t="s">
        <v>9</v>
      </c>
      <c r="B19" s="100"/>
      <c r="C19" s="70" t="s">
        <v>10</v>
      </c>
      <c r="D19" s="70" t="s">
        <v>11</v>
      </c>
      <c r="E19" s="70" t="s">
        <v>12</v>
      </c>
      <c r="F19" s="70" t="s">
        <v>13</v>
      </c>
      <c r="G19" s="70" t="s">
        <v>14</v>
      </c>
      <c r="H19" s="70" t="s">
        <v>15</v>
      </c>
      <c r="I19" s="70" t="s">
        <v>16</v>
      </c>
      <c r="J19" s="70" t="s">
        <v>17</v>
      </c>
      <c r="K19" s="70" t="s">
        <v>18</v>
      </c>
      <c r="L19" s="70" t="s">
        <v>19</v>
      </c>
      <c r="M19" s="70" t="s">
        <v>20</v>
      </c>
      <c r="N19" s="70" t="s">
        <v>21</v>
      </c>
      <c r="O19" s="70" t="s">
        <v>22</v>
      </c>
      <c r="P19" s="70" t="s">
        <v>23</v>
      </c>
      <c r="Q19" s="70" t="s">
        <v>24</v>
      </c>
      <c r="R19" s="70" t="s">
        <v>25</v>
      </c>
      <c r="S19" s="70" t="s">
        <v>26</v>
      </c>
      <c r="T19" s="70" t="s">
        <v>27</v>
      </c>
      <c r="U19" s="70" t="s">
        <v>28</v>
      </c>
      <c r="V19" s="70" t="s">
        <v>29</v>
      </c>
      <c r="W19" s="70" t="s">
        <v>30</v>
      </c>
      <c r="X19" s="70" t="s">
        <v>31</v>
      </c>
      <c r="Y19" s="70" t="s">
        <v>32</v>
      </c>
      <c r="Z19" s="70" t="s">
        <v>33</v>
      </c>
    </row>
    <row r="20" spans="1:26">
      <c r="A20" s="100">
        <v>2</v>
      </c>
      <c r="B20" s="100"/>
      <c r="C20" s="2" t="s">
        <v>34</v>
      </c>
      <c r="D20" s="2" t="s">
        <v>69</v>
      </c>
      <c r="E20" s="2" t="s">
        <v>70</v>
      </c>
      <c r="F20" s="2" t="s">
        <v>37</v>
      </c>
      <c r="G20" s="7" t="s">
        <v>38</v>
      </c>
      <c r="H20" s="2" t="s">
        <v>39</v>
      </c>
      <c r="I20" s="7" t="s">
        <v>38</v>
      </c>
      <c r="J20" s="2" t="s">
        <v>39</v>
      </c>
      <c r="K20" s="7" t="s">
        <v>38</v>
      </c>
      <c r="L20" s="2" t="s">
        <v>39</v>
      </c>
      <c r="M20" s="7" t="s">
        <v>38</v>
      </c>
      <c r="N20" s="2" t="s">
        <v>39</v>
      </c>
      <c r="O20" s="7" t="s">
        <v>38</v>
      </c>
      <c r="P20" s="2" t="s">
        <v>39</v>
      </c>
      <c r="Q20" s="7" t="s">
        <v>38</v>
      </c>
      <c r="R20" s="2" t="s">
        <v>39</v>
      </c>
      <c r="S20" s="7" t="s">
        <v>38</v>
      </c>
      <c r="T20" s="2" t="s">
        <v>39</v>
      </c>
      <c r="U20" s="7" t="s">
        <v>38</v>
      </c>
      <c r="V20" s="2" t="s">
        <v>39</v>
      </c>
      <c r="W20" s="7" t="s">
        <v>38</v>
      </c>
      <c r="X20" s="2" t="s">
        <v>39</v>
      </c>
      <c r="Y20" s="7" t="s">
        <v>38</v>
      </c>
      <c r="Z20" s="2" t="s">
        <v>39</v>
      </c>
    </row>
    <row r="21" spans="1:26">
      <c r="A21" s="100"/>
      <c r="B21" s="100"/>
      <c r="C21" s="2" t="s">
        <v>40</v>
      </c>
      <c r="D21" s="2" t="s">
        <v>69</v>
      </c>
      <c r="E21" s="2" t="s">
        <v>71</v>
      </c>
      <c r="F21" s="2" t="s">
        <v>42</v>
      </c>
      <c r="G21" s="7" t="s">
        <v>38</v>
      </c>
      <c r="H21" s="2" t="s">
        <v>39</v>
      </c>
      <c r="I21" s="7" t="s">
        <v>38</v>
      </c>
      <c r="J21" s="2" t="s">
        <v>39</v>
      </c>
      <c r="K21" s="7" t="s">
        <v>38</v>
      </c>
      <c r="L21" s="2" t="s">
        <v>39</v>
      </c>
      <c r="M21" s="7" t="s">
        <v>38</v>
      </c>
      <c r="N21" s="2" t="s">
        <v>39</v>
      </c>
      <c r="O21" s="7" t="s">
        <v>38</v>
      </c>
      <c r="P21" s="2" t="s">
        <v>39</v>
      </c>
      <c r="Q21" s="7" t="s">
        <v>38</v>
      </c>
      <c r="R21" s="2" t="s">
        <v>39</v>
      </c>
      <c r="S21" s="7" t="s">
        <v>38</v>
      </c>
      <c r="T21" s="2" t="s">
        <v>39</v>
      </c>
      <c r="U21" s="7" t="s">
        <v>38</v>
      </c>
      <c r="V21" s="2" t="s">
        <v>39</v>
      </c>
      <c r="W21" s="7" t="s">
        <v>38</v>
      </c>
      <c r="X21" s="2" t="s">
        <v>39</v>
      </c>
      <c r="Y21" s="7" t="s">
        <v>38</v>
      </c>
      <c r="Z21" s="2" t="s">
        <v>39</v>
      </c>
    </row>
    <row r="22" spans="1:26">
      <c r="A22" s="100"/>
      <c r="B22" s="100"/>
      <c r="C22" s="2" t="s">
        <v>43</v>
      </c>
      <c r="D22" s="2" t="s">
        <v>44</v>
      </c>
      <c r="E22" s="2" t="s">
        <v>45</v>
      </c>
      <c r="F22" s="2" t="s">
        <v>46</v>
      </c>
      <c r="G22" s="7" t="s">
        <v>38</v>
      </c>
      <c r="H22" s="2" t="s">
        <v>39</v>
      </c>
      <c r="I22" s="7" t="s">
        <v>38</v>
      </c>
      <c r="J22" s="2" t="s">
        <v>39</v>
      </c>
      <c r="K22" s="7" t="s">
        <v>38</v>
      </c>
      <c r="L22" s="2" t="s">
        <v>39</v>
      </c>
      <c r="M22" s="7" t="s">
        <v>38</v>
      </c>
      <c r="N22" s="2" t="s">
        <v>39</v>
      </c>
      <c r="O22" s="7" t="s">
        <v>38</v>
      </c>
      <c r="P22" s="2" t="s">
        <v>39</v>
      </c>
      <c r="Q22" s="7" t="s">
        <v>38</v>
      </c>
      <c r="R22" s="2" t="s">
        <v>39</v>
      </c>
      <c r="S22" s="7" t="s">
        <v>38</v>
      </c>
      <c r="T22" s="2" t="s">
        <v>39</v>
      </c>
      <c r="U22" s="7" t="s">
        <v>38</v>
      </c>
      <c r="V22" s="2" t="s">
        <v>39</v>
      </c>
      <c r="W22" s="7" t="s">
        <v>38</v>
      </c>
      <c r="X22" s="2" t="s">
        <v>39</v>
      </c>
      <c r="Y22" s="7" t="s">
        <v>38</v>
      </c>
      <c r="Z22" s="2" t="s">
        <v>39</v>
      </c>
    </row>
    <row r="23" spans="1:26">
      <c r="A23" s="100"/>
      <c r="B23" s="100"/>
      <c r="C23" s="2" t="s">
        <v>47</v>
      </c>
      <c r="D23" s="2" t="s">
        <v>48</v>
      </c>
      <c r="E23" s="2" t="s">
        <v>49</v>
      </c>
      <c r="F23" s="2" t="s">
        <v>50</v>
      </c>
      <c r="G23" s="7" t="s">
        <v>38</v>
      </c>
      <c r="H23" s="2" t="s">
        <v>39</v>
      </c>
      <c r="I23" s="7" t="s">
        <v>38</v>
      </c>
      <c r="J23" s="2" t="s">
        <v>39</v>
      </c>
      <c r="K23" s="7" t="s">
        <v>38</v>
      </c>
      <c r="L23" s="2" t="s">
        <v>39</v>
      </c>
      <c r="M23" s="7" t="s">
        <v>38</v>
      </c>
      <c r="N23" s="2" t="s">
        <v>39</v>
      </c>
      <c r="O23" s="7" t="s">
        <v>38</v>
      </c>
      <c r="P23" s="2" t="s">
        <v>39</v>
      </c>
      <c r="Q23" s="7" t="s">
        <v>38</v>
      </c>
      <c r="R23" s="2" t="s">
        <v>39</v>
      </c>
      <c r="S23" s="7" t="s">
        <v>38</v>
      </c>
      <c r="T23" s="2" t="s">
        <v>39</v>
      </c>
      <c r="U23" s="7" t="s">
        <v>38</v>
      </c>
      <c r="V23" s="2" t="s">
        <v>39</v>
      </c>
      <c r="W23" s="7" t="s">
        <v>38</v>
      </c>
      <c r="X23" s="2" t="s">
        <v>39</v>
      </c>
      <c r="Y23" s="7" t="s">
        <v>38</v>
      </c>
      <c r="Z23" s="2" t="s">
        <v>39</v>
      </c>
    </row>
    <row r="24" spans="1:26">
      <c r="A24" s="100"/>
      <c r="B24" s="100"/>
      <c r="C24" s="2" t="s">
        <v>51</v>
      </c>
      <c r="D24" s="2" t="s">
        <v>72</v>
      </c>
      <c r="E24" s="2" t="s">
        <v>73</v>
      </c>
      <c r="F24" s="2" t="s">
        <v>42</v>
      </c>
      <c r="G24" s="7" t="s">
        <v>38</v>
      </c>
      <c r="H24" s="2" t="s">
        <v>39</v>
      </c>
      <c r="I24" s="7" t="s">
        <v>38</v>
      </c>
      <c r="J24" s="2" t="s">
        <v>39</v>
      </c>
      <c r="K24" s="7" t="s">
        <v>38</v>
      </c>
      <c r="L24" s="2" t="s">
        <v>39</v>
      </c>
      <c r="M24" s="7" t="s">
        <v>38</v>
      </c>
      <c r="N24" s="2" t="s">
        <v>39</v>
      </c>
      <c r="O24" s="7" t="s">
        <v>38</v>
      </c>
      <c r="P24" s="2" t="s">
        <v>39</v>
      </c>
      <c r="Q24" s="7" t="s">
        <v>38</v>
      </c>
      <c r="R24" s="2" t="s">
        <v>39</v>
      </c>
      <c r="S24" s="7" t="s">
        <v>38</v>
      </c>
      <c r="T24" s="2" t="s">
        <v>39</v>
      </c>
      <c r="U24" s="7" t="s">
        <v>38</v>
      </c>
      <c r="V24" s="2" t="s">
        <v>39</v>
      </c>
      <c r="W24" s="7" t="s">
        <v>38</v>
      </c>
      <c r="X24" s="2" t="s">
        <v>39</v>
      </c>
      <c r="Y24" s="7" t="s">
        <v>38</v>
      </c>
      <c r="Z24" s="2" t="s">
        <v>39</v>
      </c>
    </row>
    <row r="25" spans="1:26">
      <c r="A25" s="100"/>
      <c r="B25" s="100"/>
      <c r="C25" s="2" t="s">
        <v>54</v>
      </c>
      <c r="D25" s="2" t="s">
        <v>55</v>
      </c>
      <c r="E25" s="2" t="s">
        <v>45</v>
      </c>
      <c r="F25" s="2" t="s">
        <v>46</v>
      </c>
      <c r="G25" s="7" t="s">
        <v>38</v>
      </c>
      <c r="H25" s="2" t="s">
        <v>39</v>
      </c>
      <c r="I25" s="7" t="s">
        <v>38</v>
      </c>
      <c r="J25" s="2" t="s">
        <v>39</v>
      </c>
      <c r="K25" s="7" t="s">
        <v>38</v>
      </c>
      <c r="L25" s="2" t="s">
        <v>39</v>
      </c>
      <c r="M25" s="7" t="s">
        <v>38</v>
      </c>
      <c r="N25" s="2" t="s">
        <v>39</v>
      </c>
      <c r="O25" s="7" t="s">
        <v>38</v>
      </c>
      <c r="P25" s="2" t="s">
        <v>39</v>
      </c>
      <c r="Q25" s="7" t="s">
        <v>38</v>
      </c>
      <c r="R25" s="2" t="s">
        <v>39</v>
      </c>
      <c r="S25" s="7" t="s">
        <v>38</v>
      </c>
      <c r="T25" s="2" t="s">
        <v>39</v>
      </c>
      <c r="U25" s="7" t="s">
        <v>38</v>
      </c>
      <c r="V25" s="2" t="s">
        <v>39</v>
      </c>
      <c r="W25" s="7" t="s">
        <v>38</v>
      </c>
      <c r="X25" s="2" t="s">
        <v>39</v>
      </c>
      <c r="Y25" s="7" t="s">
        <v>38</v>
      </c>
      <c r="Z25" s="2" t="s">
        <v>39</v>
      </c>
    </row>
    <row r="26" spans="1:26">
      <c r="A26" s="100"/>
      <c r="B26" s="100"/>
      <c r="C26" s="2" t="s">
        <v>56</v>
      </c>
      <c r="D26" s="2" t="s">
        <v>57</v>
      </c>
      <c r="E26" s="2" t="s">
        <v>58</v>
      </c>
      <c r="F26" s="2" t="s">
        <v>59</v>
      </c>
      <c r="G26" s="7" t="s">
        <v>38</v>
      </c>
      <c r="H26" s="2" t="s">
        <v>39</v>
      </c>
      <c r="I26" s="7" t="s">
        <v>38</v>
      </c>
      <c r="J26" s="2" t="s">
        <v>39</v>
      </c>
      <c r="K26" s="7" t="s">
        <v>38</v>
      </c>
      <c r="L26" s="2" t="s">
        <v>39</v>
      </c>
      <c r="M26" s="7" t="s">
        <v>38</v>
      </c>
      <c r="N26" s="2" t="s">
        <v>39</v>
      </c>
      <c r="O26" s="7" t="s">
        <v>38</v>
      </c>
      <c r="P26" s="2" t="s">
        <v>39</v>
      </c>
      <c r="Q26" s="7" t="s">
        <v>38</v>
      </c>
      <c r="R26" s="2" t="s">
        <v>39</v>
      </c>
      <c r="S26" s="7" t="s">
        <v>38</v>
      </c>
      <c r="T26" s="2" t="s">
        <v>39</v>
      </c>
      <c r="U26" s="7" t="s">
        <v>38</v>
      </c>
      <c r="V26" s="2" t="s">
        <v>39</v>
      </c>
      <c r="W26" s="7" t="s">
        <v>38</v>
      </c>
      <c r="X26" s="2" t="s">
        <v>39</v>
      </c>
      <c r="Y26" s="7" t="s">
        <v>38</v>
      </c>
      <c r="Z26" s="2" t="s">
        <v>39</v>
      </c>
    </row>
    <row r="27" spans="1:26">
      <c r="A27" s="100"/>
      <c r="B27" s="100"/>
      <c r="C27" s="2" t="s">
        <v>60</v>
      </c>
      <c r="D27" s="2" t="s">
        <v>61</v>
      </c>
      <c r="E27" s="2" t="s">
        <v>62</v>
      </c>
      <c r="F27" s="2" t="s">
        <v>63</v>
      </c>
      <c r="G27" s="7" t="s">
        <v>38</v>
      </c>
      <c r="H27" s="2" t="s">
        <v>39</v>
      </c>
      <c r="I27" s="7" t="s">
        <v>38</v>
      </c>
      <c r="J27" s="2" t="s">
        <v>39</v>
      </c>
      <c r="K27" s="7" t="s">
        <v>38</v>
      </c>
      <c r="L27" s="2" t="s">
        <v>39</v>
      </c>
      <c r="M27" s="7" t="s">
        <v>38</v>
      </c>
      <c r="N27" s="2" t="s">
        <v>39</v>
      </c>
      <c r="O27" s="7" t="s">
        <v>38</v>
      </c>
      <c r="P27" s="2" t="s">
        <v>39</v>
      </c>
      <c r="Q27" s="7" t="s">
        <v>38</v>
      </c>
      <c r="R27" s="2" t="s">
        <v>39</v>
      </c>
      <c r="S27" s="7" t="s">
        <v>38</v>
      </c>
      <c r="T27" s="2" t="s">
        <v>39</v>
      </c>
      <c r="U27" s="7" t="s">
        <v>38</v>
      </c>
      <c r="V27" s="2" t="s">
        <v>39</v>
      </c>
      <c r="W27" s="7" t="s">
        <v>38</v>
      </c>
      <c r="X27" s="2" t="s">
        <v>39</v>
      </c>
      <c r="Y27" s="7" t="s">
        <v>38</v>
      </c>
      <c r="Z27" s="2" t="s">
        <v>39</v>
      </c>
    </row>
    <row r="28" spans="1:26">
      <c r="A28" s="100"/>
      <c r="B28" s="100"/>
      <c r="C28" s="2" t="s">
        <v>64</v>
      </c>
      <c r="D28" s="2" t="s">
        <v>65</v>
      </c>
      <c r="E28" s="2" t="s">
        <v>66</v>
      </c>
      <c r="F28" s="2" t="s">
        <v>67</v>
      </c>
      <c r="G28" s="7" t="s">
        <v>38</v>
      </c>
      <c r="H28" s="2" t="s">
        <v>39</v>
      </c>
      <c r="I28" s="7" t="s">
        <v>38</v>
      </c>
      <c r="J28" s="2" t="s">
        <v>39</v>
      </c>
      <c r="K28" s="7" t="s">
        <v>38</v>
      </c>
      <c r="L28" s="2" t="s">
        <v>39</v>
      </c>
      <c r="M28" s="7" t="s">
        <v>38</v>
      </c>
      <c r="N28" s="2" t="s">
        <v>39</v>
      </c>
      <c r="O28" s="7" t="s">
        <v>38</v>
      </c>
      <c r="P28" s="2" t="s">
        <v>39</v>
      </c>
      <c r="Q28" s="7" t="s">
        <v>38</v>
      </c>
      <c r="R28" s="2" t="s">
        <v>39</v>
      </c>
      <c r="S28" s="7" t="s">
        <v>38</v>
      </c>
      <c r="T28" s="2" t="s">
        <v>39</v>
      </c>
      <c r="U28" s="7" t="s">
        <v>38</v>
      </c>
      <c r="V28" s="2" t="s">
        <v>39</v>
      </c>
      <c r="W28" s="7" t="s">
        <v>38</v>
      </c>
      <c r="X28" s="2" t="s">
        <v>39</v>
      </c>
      <c r="Y28" s="7" t="s">
        <v>38</v>
      </c>
      <c r="Z28" s="2" t="s">
        <v>39</v>
      </c>
    </row>
    <row r="29" spans="1:26">
      <c r="T29" s="2"/>
      <c r="U29" s="2"/>
    </row>
    <row r="30" spans="1:26">
      <c r="A30" s="103" t="s">
        <v>74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1"/>
      <c r="O30" s="101"/>
      <c r="P30" s="101"/>
      <c r="Q30" s="101"/>
      <c r="R30" s="101"/>
      <c r="S30" s="100"/>
      <c r="T30" s="101"/>
      <c r="U30" s="101"/>
      <c r="V30" s="101"/>
      <c r="W30" s="101"/>
      <c r="X30" s="101"/>
      <c r="Y30" s="101"/>
      <c r="Z30" s="101"/>
    </row>
    <row r="31" spans="1:26">
      <c r="A31" s="70" t="s">
        <v>2</v>
      </c>
      <c r="B31" s="70" t="s">
        <v>3</v>
      </c>
      <c r="C31" s="70" t="s">
        <v>4</v>
      </c>
      <c r="D31" s="70" t="s">
        <v>5</v>
      </c>
      <c r="E31" s="70" t="s">
        <v>6</v>
      </c>
      <c r="F31" s="70" t="s">
        <v>7</v>
      </c>
    </row>
    <row r="32" spans="1:26">
      <c r="A32" s="2">
        <v>10</v>
      </c>
      <c r="B32" s="2">
        <v>90</v>
      </c>
      <c r="C32" s="2">
        <f>COUNTIF(G34:Z42,"✓ Sucesso execução")</f>
        <v>90</v>
      </c>
      <c r="D32" s="2">
        <f>COUNTIF(G34:Z42,"⮾Falha real")</f>
        <v>0</v>
      </c>
      <c r="E32" s="3">
        <f>IF(A32=0,"",(C32/9)/A32)</f>
        <v>1</v>
      </c>
      <c r="F32" s="2" t="s">
        <v>75</v>
      </c>
    </row>
    <row r="33" spans="1:26">
      <c r="A33" s="102" t="s">
        <v>9</v>
      </c>
      <c r="B33" s="100"/>
      <c r="C33" s="70" t="s">
        <v>10</v>
      </c>
      <c r="D33" s="70" t="s">
        <v>11</v>
      </c>
      <c r="E33" s="70" t="s">
        <v>12</v>
      </c>
      <c r="F33" s="70" t="s">
        <v>13</v>
      </c>
      <c r="G33" s="70" t="s">
        <v>14</v>
      </c>
      <c r="H33" s="70" t="s">
        <v>15</v>
      </c>
      <c r="I33" s="70" t="s">
        <v>16</v>
      </c>
      <c r="J33" s="70" t="s">
        <v>17</v>
      </c>
      <c r="K33" s="70" t="s">
        <v>18</v>
      </c>
      <c r="L33" s="70" t="s">
        <v>19</v>
      </c>
      <c r="M33" s="70" t="s">
        <v>20</v>
      </c>
      <c r="N33" s="70" t="s">
        <v>21</v>
      </c>
      <c r="O33" s="70" t="s">
        <v>22</v>
      </c>
      <c r="P33" s="70" t="s">
        <v>23</v>
      </c>
      <c r="Q33" s="70" t="s">
        <v>24</v>
      </c>
      <c r="R33" s="70" t="s">
        <v>25</v>
      </c>
      <c r="S33" s="70" t="s">
        <v>26</v>
      </c>
      <c r="T33" s="70" t="s">
        <v>27</v>
      </c>
      <c r="U33" s="70" t="s">
        <v>28</v>
      </c>
      <c r="V33" s="70" t="s">
        <v>29</v>
      </c>
      <c r="W33" s="70" t="s">
        <v>30</v>
      </c>
      <c r="X33" s="70" t="s">
        <v>31</v>
      </c>
      <c r="Y33" s="70" t="s">
        <v>32</v>
      </c>
      <c r="Z33" s="70" t="s">
        <v>33</v>
      </c>
    </row>
    <row r="34" spans="1:26">
      <c r="A34" s="100">
        <v>3</v>
      </c>
      <c r="B34" s="100"/>
      <c r="C34" s="2" t="s">
        <v>34</v>
      </c>
      <c r="D34" s="2" t="s">
        <v>76</v>
      </c>
      <c r="E34" s="2" t="s">
        <v>77</v>
      </c>
      <c r="F34" s="2" t="s">
        <v>37</v>
      </c>
      <c r="G34" s="7" t="s">
        <v>38</v>
      </c>
      <c r="H34" s="2" t="s">
        <v>39</v>
      </c>
      <c r="I34" s="7" t="s">
        <v>38</v>
      </c>
      <c r="J34" s="2" t="s">
        <v>39</v>
      </c>
      <c r="K34" s="7" t="s">
        <v>38</v>
      </c>
      <c r="L34" s="2" t="s">
        <v>39</v>
      </c>
      <c r="M34" s="7" t="s">
        <v>38</v>
      </c>
      <c r="N34" s="2" t="s">
        <v>39</v>
      </c>
      <c r="O34" s="7" t="s">
        <v>38</v>
      </c>
      <c r="P34" s="2" t="s">
        <v>39</v>
      </c>
      <c r="Q34" s="7" t="s">
        <v>38</v>
      </c>
      <c r="R34" s="2" t="s">
        <v>39</v>
      </c>
      <c r="S34" s="7" t="s">
        <v>38</v>
      </c>
      <c r="T34" s="2" t="s">
        <v>39</v>
      </c>
      <c r="U34" s="7" t="s">
        <v>38</v>
      </c>
      <c r="V34" s="2" t="s">
        <v>39</v>
      </c>
      <c r="W34" s="7" t="s">
        <v>38</v>
      </c>
      <c r="X34" s="2" t="s">
        <v>39</v>
      </c>
      <c r="Y34" s="7" t="s">
        <v>38</v>
      </c>
      <c r="Z34" s="2" t="s">
        <v>39</v>
      </c>
    </row>
    <row r="35" spans="1:26">
      <c r="A35" s="100"/>
      <c r="B35" s="100"/>
      <c r="C35" s="2" t="s">
        <v>40</v>
      </c>
      <c r="D35" s="2" t="s">
        <v>76</v>
      </c>
      <c r="E35" s="2" t="s">
        <v>78</v>
      </c>
      <c r="F35" s="2" t="s">
        <v>42</v>
      </c>
      <c r="G35" s="7" t="s">
        <v>38</v>
      </c>
      <c r="H35" s="2" t="s">
        <v>39</v>
      </c>
      <c r="I35" s="7" t="s">
        <v>38</v>
      </c>
      <c r="J35" s="2" t="s">
        <v>39</v>
      </c>
      <c r="K35" s="7" t="s">
        <v>38</v>
      </c>
      <c r="L35" s="2" t="s">
        <v>39</v>
      </c>
      <c r="M35" s="7" t="s">
        <v>38</v>
      </c>
      <c r="N35" s="2" t="s">
        <v>39</v>
      </c>
      <c r="O35" s="7" t="s">
        <v>38</v>
      </c>
      <c r="P35" s="2" t="s">
        <v>39</v>
      </c>
      <c r="Q35" s="7" t="s">
        <v>38</v>
      </c>
      <c r="R35" s="2" t="s">
        <v>39</v>
      </c>
      <c r="S35" s="7" t="s">
        <v>38</v>
      </c>
      <c r="T35" s="2" t="s">
        <v>39</v>
      </c>
      <c r="U35" s="7" t="s">
        <v>38</v>
      </c>
      <c r="V35" s="2" t="s">
        <v>39</v>
      </c>
      <c r="W35" s="7" t="s">
        <v>38</v>
      </c>
      <c r="X35" s="2" t="s">
        <v>39</v>
      </c>
      <c r="Y35" s="7" t="s">
        <v>38</v>
      </c>
      <c r="Z35" s="2" t="s">
        <v>39</v>
      </c>
    </row>
    <row r="36" spans="1:26">
      <c r="A36" s="100"/>
      <c r="B36" s="100"/>
      <c r="C36" s="2" t="s">
        <v>43</v>
      </c>
      <c r="D36" s="2" t="s">
        <v>44</v>
      </c>
      <c r="E36" s="2" t="s">
        <v>45</v>
      </c>
      <c r="F36" s="2" t="s">
        <v>46</v>
      </c>
      <c r="G36" s="7" t="s">
        <v>38</v>
      </c>
      <c r="H36" s="2" t="s">
        <v>39</v>
      </c>
      <c r="I36" s="7" t="s">
        <v>38</v>
      </c>
      <c r="J36" s="2" t="s">
        <v>39</v>
      </c>
      <c r="K36" s="7" t="s">
        <v>38</v>
      </c>
      <c r="L36" s="2" t="s">
        <v>39</v>
      </c>
      <c r="M36" s="7" t="s">
        <v>38</v>
      </c>
      <c r="N36" s="2" t="s">
        <v>39</v>
      </c>
      <c r="O36" s="7" t="s">
        <v>38</v>
      </c>
      <c r="P36" s="2" t="s">
        <v>39</v>
      </c>
      <c r="Q36" s="7" t="s">
        <v>38</v>
      </c>
      <c r="R36" s="2" t="s">
        <v>39</v>
      </c>
      <c r="S36" s="7" t="s">
        <v>38</v>
      </c>
      <c r="T36" s="2" t="s">
        <v>39</v>
      </c>
      <c r="U36" s="7" t="s">
        <v>38</v>
      </c>
      <c r="V36" s="2" t="s">
        <v>39</v>
      </c>
      <c r="W36" s="7" t="s">
        <v>38</v>
      </c>
      <c r="X36" s="2" t="s">
        <v>39</v>
      </c>
      <c r="Y36" s="7" t="s">
        <v>38</v>
      </c>
      <c r="Z36" s="2" t="s">
        <v>39</v>
      </c>
    </row>
    <row r="37" spans="1:26">
      <c r="A37" s="100"/>
      <c r="B37" s="100"/>
      <c r="C37" s="2" t="s">
        <v>47</v>
      </c>
      <c r="D37" s="2" t="s">
        <v>48</v>
      </c>
      <c r="E37" s="2" t="s">
        <v>49</v>
      </c>
      <c r="F37" s="2" t="s">
        <v>50</v>
      </c>
      <c r="G37" s="7" t="s">
        <v>38</v>
      </c>
      <c r="H37" s="2" t="s">
        <v>39</v>
      </c>
      <c r="I37" s="7" t="s">
        <v>38</v>
      </c>
      <c r="J37" s="2" t="s">
        <v>39</v>
      </c>
      <c r="K37" s="7" t="s">
        <v>38</v>
      </c>
      <c r="L37" s="2" t="s">
        <v>39</v>
      </c>
      <c r="M37" s="7" t="s">
        <v>38</v>
      </c>
      <c r="N37" s="2" t="s">
        <v>39</v>
      </c>
      <c r="O37" s="7" t="s">
        <v>38</v>
      </c>
      <c r="P37" s="2" t="s">
        <v>39</v>
      </c>
      <c r="Q37" s="7" t="s">
        <v>38</v>
      </c>
      <c r="R37" s="2" t="s">
        <v>39</v>
      </c>
      <c r="S37" s="7" t="s">
        <v>38</v>
      </c>
      <c r="T37" s="2" t="s">
        <v>39</v>
      </c>
      <c r="U37" s="7" t="s">
        <v>38</v>
      </c>
      <c r="V37" s="2" t="s">
        <v>39</v>
      </c>
      <c r="W37" s="7" t="s">
        <v>38</v>
      </c>
      <c r="X37" s="2" t="s">
        <v>39</v>
      </c>
      <c r="Y37" s="7" t="s">
        <v>38</v>
      </c>
      <c r="Z37" s="2" t="s">
        <v>39</v>
      </c>
    </row>
    <row r="38" spans="1:26">
      <c r="A38" s="100"/>
      <c r="B38" s="100"/>
      <c r="C38" s="2" t="s">
        <v>51</v>
      </c>
      <c r="D38" s="2" t="s">
        <v>79</v>
      </c>
      <c r="E38" s="2" t="s">
        <v>80</v>
      </c>
      <c r="F38" s="2" t="s">
        <v>42</v>
      </c>
      <c r="G38" s="7" t="s">
        <v>38</v>
      </c>
      <c r="H38" s="2" t="s">
        <v>39</v>
      </c>
      <c r="I38" s="7" t="s">
        <v>38</v>
      </c>
      <c r="J38" s="2" t="s">
        <v>39</v>
      </c>
      <c r="K38" s="7" t="s">
        <v>38</v>
      </c>
      <c r="L38" s="2" t="s">
        <v>39</v>
      </c>
      <c r="M38" s="7" t="s">
        <v>38</v>
      </c>
      <c r="N38" s="2" t="s">
        <v>39</v>
      </c>
      <c r="O38" s="7" t="s">
        <v>38</v>
      </c>
      <c r="P38" s="2" t="s">
        <v>39</v>
      </c>
      <c r="Q38" s="7" t="s">
        <v>38</v>
      </c>
      <c r="R38" s="2" t="s">
        <v>39</v>
      </c>
      <c r="S38" s="7" t="s">
        <v>38</v>
      </c>
      <c r="T38" s="2" t="s">
        <v>39</v>
      </c>
      <c r="U38" s="7" t="s">
        <v>38</v>
      </c>
      <c r="V38" s="2" t="s">
        <v>39</v>
      </c>
      <c r="W38" s="7" t="s">
        <v>38</v>
      </c>
      <c r="X38" s="2" t="s">
        <v>39</v>
      </c>
      <c r="Y38" s="7" t="s">
        <v>38</v>
      </c>
      <c r="Z38" s="2" t="s">
        <v>39</v>
      </c>
    </row>
    <row r="39" spans="1:26">
      <c r="A39" s="100"/>
      <c r="B39" s="100"/>
      <c r="C39" s="2" t="s">
        <v>54</v>
      </c>
      <c r="D39" s="2" t="s">
        <v>55</v>
      </c>
      <c r="E39" s="2" t="s">
        <v>45</v>
      </c>
      <c r="F39" s="2" t="s">
        <v>46</v>
      </c>
      <c r="G39" s="7" t="s">
        <v>38</v>
      </c>
      <c r="H39" s="2" t="s">
        <v>39</v>
      </c>
      <c r="I39" s="7" t="s">
        <v>38</v>
      </c>
      <c r="J39" s="2" t="s">
        <v>39</v>
      </c>
      <c r="K39" s="7" t="s">
        <v>38</v>
      </c>
      <c r="L39" s="2" t="s">
        <v>39</v>
      </c>
      <c r="M39" s="7" t="s">
        <v>38</v>
      </c>
      <c r="N39" s="2" t="s">
        <v>39</v>
      </c>
      <c r="O39" s="7" t="s">
        <v>38</v>
      </c>
      <c r="P39" s="2" t="s">
        <v>39</v>
      </c>
      <c r="Q39" s="7" t="s">
        <v>38</v>
      </c>
      <c r="R39" s="2" t="s">
        <v>39</v>
      </c>
      <c r="S39" s="7" t="s">
        <v>38</v>
      </c>
      <c r="T39" s="2" t="s">
        <v>39</v>
      </c>
      <c r="U39" s="7" t="s">
        <v>38</v>
      </c>
      <c r="V39" s="2" t="s">
        <v>39</v>
      </c>
      <c r="W39" s="7" t="s">
        <v>38</v>
      </c>
      <c r="X39" s="2" t="s">
        <v>39</v>
      </c>
      <c r="Y39" s="7" t="s">
        <v>38</v>
      </c>
      <c r="Z39" s="2" t="s">
        <v>39</v>
      </c>
    </row>
    <row r="40" spans="1:26">
      <c r="A40" s="100"/>
      <c r="B40" s="100"/>
      <c r="C40" s="2" t="s">
        <v>56</v>
      </c>
      <c r="D40" s="2" t="s">
        <v>57</v>
      </c>
      <c r="E40" s="2" t="s">
        <v>58</v>
      </c>
      <c r="F40" s="2" t="s">
        <v>59</v>
      </c>
      <c r="G40" s="7" t="s">
        <v>38</v>
      </c>
      <c r="H40" s="2" t="s">
        <v>39</v>
      </c>
      <c r="I40" s="7" t="s">
        <v>38</v>
      </c>
      <c r="J40" s="2" t="s">
        <v>39</v>
      </c>
      <c r="K40" s="7" t="s">
        <v>38</v>
      </c>
      <c r="L40" s="2" t="s">
        <v>39</v>
      </c>
      <c r="M40" s="7" t="s">
        <v>38</v>
      </c>
      <c r="N40" s="2" t="s">
        <v>39</v>
      </c>
      <c r="O40" s="7" t="s">
        <v>38</v>
      </c>
      <c r="P40" s="2" t="s">
        <v>39</v>
      </c>
      <c r="Q40" s="7" t="s">
        <v>38</v>
      </c>
      <c r="R40" s="2" t="s">
        <v>39</v>
      </c>
      <c r="S40" s="7" t="s">
        <v>38</v>
      </c>
      <c r="T40" s="2" t="s">
        <v>39</v>
      </c>
      <c r="U40" s="7" t="s">
        <v>38</v>
      </c>
      <c r="V40" s="2" t="s">
        <v>39</v>
      </c>
      <c r="W40" s="7" t="s">
        <v>38</v>
      </c>
      <c r="X40" s="2" t="s">
        <v>39</v>
      </c>
      <c r="Y40" s="7" t="s">
        <v>38</v>
      </c>
      <c r="Z40" s="2" t="s">
        <v>39</v>
      </c>
    </row>
    <row r="41" spans="1:26">
      <c r="A41" s="100"/>
      <c r="B41" s="100"/>
      <c r="C41" s="2" t="s">
        <v>60</v>
      </c>
      <c r="D41" s="2" t="s">
        <v>61</v>
      </c>
      <c r="E41" s="2" t="s">
        <v>62</v>
      </c>
      <c r="F41" s="2" t="s">
        <v>63</v>
      </c>
      <c r="G41" s="7" t="s">
        <v>38</v>
      </c>
      <c r="H41" s="2" t="s">
        <v>39</v>
      </c>
      <c r="I41" s="7" t="s">
        <v>38</v>
      </c>
      <c r="J41" s="2" t="s">
        <v>39</v>
      </c>
      <c r="K41" s="7" t="s">
        <v>38</v>
      </c>
      <c r="L41" s="2" t="s">
        <v>39</v>
      </c>
      <c r="M41" s="7" t="s">
        <v>38</v>
      </c>
      <c r="N41" s="2" t="s">
        <v>39</v>
      </c>
      <c r="O41" s="7" t="s">
        <v>38</v>
      </c>
      <c r="P41" s="2" t="s">
        <v>39</v>
      </c>
      <c r="Q41" s="7" t="s">
        <v>38</v>
      </c>
      <c r="R41" s="2" t="s">
        <v>39</v>
      </c>
      <c r="S41" s="7" t="s">
        <v>38</v>
      </c>
      <c r="T41" s="2" t="s">
        <v>39</v>
      </c>
      <c r="U41" s="7" t="s">
        <v>38</v>
      </c>
      <c r="V41" s="2" t="s">
        <v>39</v>
      </c>
      <c r="W41" s="7" t="s">
        <v>38</v>
      </c>
      <c r="X41" s="2" t="s">
        <v>39</v>
      </c>
      <c r="Y41" s="7" t="s">
        <v>38</v>
      </c>
      <c r="Z41" s="2" t="s">
        <v>39</v>
      </c>
    </row>
    <row r="42" spans="1:26">
      <c r="A42" s="100"/>
      <c r="B42" s="100"/>
      <c r="C42" s="2" t="s">
        <v>64</v>
      </c>
      <c r="D42" s="2" t="s">
        <v>65</v>
      </c>
      <c r="E42" s="2" t="s">
        <v>66</v>
      </c>
      <c r="F42" s="2" t="s">
        <v>67</v>
      </c>
      <c r="G42" s="7" t="s">
        <v>38</v>
      </c>
      <c r="H42" s="2" t="s">
        <v>39</v>
      </c>
      <c r="I42" s="7" t="s">
        <v>38</v>
      </c>
      <c r="J42" s="2" t="s">
        <v>39</v>
      </c>
      <c r="K42" s="7" t="s">
        <v>38</v>
      </c>
      <c r="L42" s="2" t="s">
        <v>39</v>
      </c>
      <c r="M42" s="7" t="s">
        <v>38</v>
      </c>
      <c r="N42" s="2" t="s">
        <v>39</v>
      </c>
      <c r="O42" s="7" t="s">
        <v>38</v>
      </c>
      <c r="P42" s="2" t="s">
        <v>39</v>
      </c>
      <c r="Q42" s="7" t="s">
        <v>38</v>
      </c>
      <c r="R42" s="2" t="s">
        <v>39</v>
      </c>
      <c r="S42" s="7" t="s">
        <v>38</v>
      </c>
      <c r="T42" s="2" t="s">
        <v>39</v>
      </c>
      <c r="U42" s="7" t="s">
        <v>38</v>
      </c>
      <c r="V42" s="2" t="s">
        <v>39</v>
      </c>
      <c r="W42" s="7" t="s">
        <v>38</v>
      </c>
      <c r="X42" s="2" t="s">
        <v>39</v>
      </c>
      <c r="Y42" s="7" t="s">
        <v>38</v>
      </c>
      <c r="Z42" s="2" t="s">
        <v>39</v>
      </c>
    </row>
    <row r="44" spans="1:26">
      <c r="A44" s="103" t="s">
        <v>81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1"/>
      <c r="O44" s="101"/>
      <c r="P44" s="101"/>
      <c r="Q44" s="101"/>
      <c r="R44" s="101"/>
      <c r="S44" s="100"/>
      <c r="T44" s="101"/>
      <c r="U44" s="101"/>
      <c r="V44" s="101"/>
      <c r="W44" s="101"/>
      <c r="X44" s="101"/>
      <c r="Y44" s="101"/>
      <c r="Z44" s="101"/>
    </row>
    <row r="45" spans="1:26">
      <c r="A45" s="70" t="s">
        <v>2</v>
      </c>
      <c r="B45" s="70" t="s">
        <v>3</v>
      </c>
      <c r="C45" s="70" t="s">
        <v>4</v>
      </c>
      <c r="D45" s="70" t="s">
        <v>5</v>
      </c>
      <c r="E45" s="70" t="s">
        <v>6</v>
      </c>
      <c r="F45" s="70" t="s">
        <v>7</v>
      </c>
    </row>
    <row r="46" spans="1:26">
      <c r="A46" s="2">
        <v>10</v>
      </c>
      <c r="B46" s="2">
        <v>90</v>
      </c>
      <c r="C46" s="2">
        <f>COUNTIF(G48:Z56,"✓ Sucesso execução")</f>
        <v>90</v>
      </c>
      <c r="D46" s="2">
        <f>COUNTIF(G48:Z56,"⮾Falha real")</f>
        <v>0</v>
      </c>
      <c r="E46" s="3">
        <f>IF(A46=0,"",(C46/9)/A46)</f>
        <v>1</v>
      </c>
      <c r="F46" s="2" t="s">
        <v>82</v>
      </c>
    </row>
    <row r="47" spans="1:26">
      <c r="A47" s="102" t="s">
        <v>9</v>
      </c>
      <c r="B47" s="100"/>
      <c r="C47" s="70" t="s">
        <v>10</v>
      </c>
      <c r="D47" s="70" t="s">
        <v>11</v>
      </c>
      <c r="E47" s="70" t="s">
        <v>12</v>
      </c>
      <c r="F47" s="70" t="s">
        <v>13</v>
      </c>
      <c r="G47" s="70" t="s">
        <v>14</v>
      </c>
      <c r="H47" s="70" t="s">
        <v>15</v>
      </c>
      <c r="I47" s="70" t="s">
        <v>16</v>
      </c>
      <c r="J47" s="70" t="s">
        <v>17</v>
      </c>
      <c r="K47" s="70" t="s">
        <v>18</v>
      </c>
      <c r="L47" s="70" t="s">
        <v>19</v>
      </c>
      <c r="M47" s="70" t="s">
        <v>20</v>
      </c>
      <c r="N47" s="70" t="s">
        <v>21</v>
      </c>
      <c r="O47" s="70" t="s">
        <v>22</v>
      </c>
      <c r="P47" s="70" t="s">
        <v>23</v>
      </c>
      <c r="Q47" s="70" t="s">
        <v>24</v>
      </c>
      <c r="R47" s="70" t="s">
        <v>25</v>
      </c>
      <c r="S47" s="70" t="s">
        <v>26</v>
      </c>
      <c r="T47" s="70" t="s">
        <v>27</v>
      </c>
      <c r="U47" s="70" t="s">
        <v>28</v>
      </c>
      <c r="V47" s="70" t="s">
        <v>29</v>
      </c>
      <c r="W47" s="70" t="s">
        <v>30</v>
      </c>
      <c r="X47" s="70" t="s">
        <v>31</v>
      </c>
      <c r="Y47" s="70" t="s">
        <v>32</v>
      </c>
      <c r="Z47" s="70" t="s">
        <v>33</v>
      </c>
    </row>
    <row r="48" spans="1:26">
      <c r="A48" s="100">
        <v>4</v>
      </c>
      <c r="B48" s="100"/>
      <c r="C48" s="2" t="s">
        <v>34</v>
      </c>
      <c r="D48" s="2" t="s">
        <v>83</v>
      </c>
      <c r="E48" s="2" t="s">
        <v>84</v>
      </c>
      <c r="F48" s="2" t="s">
        <v>37</v>
      </c>
      <c r="G48" s="7" t="s">
        <v>38</v>
      </c>
      <c r="H48" s="2" t="s">
        <v>39</v>
      </c>
      <c r="I48" s="7" t="s">
        <v>38</v>
      </c>
      <c r="J48" s="2" t="s">
        <v>39</v>
      </c>
      <c r="K48" s="7" t="s">
        <v>38</v>
      </c>
      <c r="L48" s="2" t="s">
        <v>39</v>
      </c>
      <c r="M48" s="7" t="s">
        <v>38</v>
      </c>
      <c r="N48" s="2" t="s">
        <v>39</v>
      </c>
      <c r="O48" s="7" t="s">
        <v>38</v>
      </c>
      <c r="P48" s="2" t="s">
        <v>39</v>
      </c>
      <c r="Q48" s="7" t="s">
        <v>38</v>
      </c>
      <c r="R48" s="2" t="s">
        <v>39</v>
      </c>
      <c r="S48" s="7" t="s">
        <v>38</v>
      </c>
      <c r="T48" s="2" t="s">
        <v>39</v>
      </c>
      <c r="U48" s="7" t="s">
        <v>38</v>
      </c>
      <c r="V48" s="2" t="s">
        <v>39</v>
      </c>
      <c r="W48" s="7" t="s">
        <v>38</v>
      </c>
      <c r="X48" s="2" t="s">
        <v>39</v>
      </c>
      <c r="Y48" s="7" t="s">
        <v>38</v>
      </c>
      <c r="Z48" s="2" t="s">
        <v>39</v>
      </c>
    </row>
    <row r="49" spans="1:26">
      <c r="A49" s="100"/>
      <c r="B49" s="100"/>
      <c r="C49" s="2" t="s">
        <v>40</v>
      </c>
      <c r="D49" s="2" t="s">
        <v>83</v>
      </c>
      <c r="E49" s="2" t="s">
        <v>85</v>
      </c>
      <c r="F49" s="2" t="s">
        <v>42</v>
      </c>
      <c r="G49" s="7" t="s">
        <v>38</v>
      </c>
      <c r="H49" s="2" t="s">
        <v>39</v>
      </c>
      <c r="I49" s="7" t="s">
        <v>38</v>
      </c>
      <c r="J49" s="2" t="s">
        <v>39</v>
      </c>
      <c r="K49" s="7" t="s">
        <v>38</v>
      </c>
      <c r="L49" s="2" t="s">
        <v>39</v>
      </c>
      <c r="M49" s="7" t="s">
        <v>38</v>
      </c>
      <c r="N49" s="2" t="s">
        <v>39</v>
      </c>
      <c r="O49" s="7" t="s">
        <v>38</v>
      </c>
      <c r="P49" s="2" t="s">
        <v>39</v>
      </c>
      <c r="Q49" s="7" t="s">
        <v>38</v>
      </c>
      <c r="R49" s="2" t="s">
        <v>39</v>
      </c>
      <c r="S49" s="7" t="s">
        <v>38</v>
      </c>
      <c r="T49" s="2" t="s">
        <v>39</v>
      </c>
      <c r="U49" s="7" t="s">
        <v>38</v>
      </c>
      <c r="V49" s="2" t="s">
        <v>39</v>
      </c>
      <c r="W49" s="7" t="s">
        <v>38</v>
      </c>
      <c r="X49" s="2" t="s">
        <v>39</v>
      </c>
      <c r="Y49" s="7" t="s">
        <v>38</v>
      </c>
      <c r="Z49" s="2" t="s">
        <v>39</v>
      </c>
    </row>
    <row r="50" spans="1:26">
      <c r="A50" s="100"/>
      <c r="B50" s="100"/>
      <c r="C50" s="2" t="s">
        <v>43</v>
      </c>
      <c r="D50" s="2" t="s">
        <v>44</v>
      </c>
      <c r="E50" s="2" t="s">
        <v>45</v>
      </c>
      <c r="F50" s="2" t="s">
        <v>46</v>
      </c>
      <c r="G50" s="7" t="s">
        <v>38</v>
      </c>
      <c r="H50" s="2" t="s">
        <v>39</v>
      </c>
      <c r="I50" s="7" t="s">
        <v>38</v>
      </c>
      <c r="J50" s="2" t="s">
        <v>39</v>
      </c>
      <c r="K50" s="7" t="s">
        <v>38</v>
      </c>
      <c r="L50" s="2" t="s">
        <v>39</v>
      </c>
      <c r="M50" s="7" t="s">
        <v>38</v>
      </c>
      <c r="N50" s="2" t="s">
        <v>39</v>
      </c>
      <c r="O50" s="7" t="s">
        <v>38</v>
      </c>
      <c r="P50" s="2" t="s">
        <v>39</v>
      </c>
      <c r="Q50" s="7" t="s">
        <v>38</v>
      </c>
      <c r="R50" s="2" t="s">
        <v>39</v>
      </c>
      <c r="S50" s="7" t="s">
        <v>38</v>
      </c>
      <c r="T50" s="2" t="s">
        <v>39</v>
      </c>
      <c r="U50" s="7" t="s">
        <v>38</v>
      </c>
      <c r="V50" s="2" t="s">
        <v>39</v>
      </c>
      <c r="W50" s="7" t="s">
        <v>38</v>
      </c>
      <c r="X50" s="2" t="s">
        <v>39</v>
      </c>
      <c r="Y50" s="7" t="s">
        <v>38</v>
      </c>
      <c r="Z50" s="2" t="s">
        <v>39</v>
      </c>
    </row>
    <row r="51" spans="1:26">
      <c r="A51" s="100"/>
      <c r="B51" s="100"/>
      <c r="C51" s="2" t="s">
        <v>47</v>
      </c>
      <c r="D51" s="2" t="s">
        <v>48</v>
      </c>
      <c r="E51" s="2" t="s">
        <v>49</v>
      </c>
      <c r="F51" s="2" t="s">
        <v>50</v>
      </c>
      <c r="G51" s="7" t="s">
        <v>38</v>
      </c>
      <c r="H51" s="2" t="s">
        <v>39</v>
      </c>
      <c r="I51" s="7" t="s">
        <v>38</v>
      </c>
      <c r="J51" s="2" t="s">
        <v>39</v>
      </c>
      <c r="K51" s="7" t="s">
        <v>38</v>
      </c>
      <c r="L51" s="2" t="s">
        <v>39</v>
      </c>
      <c r="M51" s="7" t="s">
        <v>38</v>
      </c>
      <c r="N51" s="2" t="s">
        <v>39</v>
      </c>
      <c r="O51" s="7" t="s">
        <v>38</v>
      </c>
      <c r="P51" s="2" t="s">
        <v>39</v>
      </c>
      <c r="Q51" s="7" t="s">
        <v>38</v>
      </c>
      <c r="R51" s="2" t="s">
        <v>39</v>
      </c>
      <c r="S51" s="7" t="s">
        <v>38</v>
      </c>
      <c r="T51" s="2" t="s">
        <v>39</v>
      </c>
      <c r="U51" s="7" t="s">
        <v>38</v>
      </c>
      <c r="V51" s="2" t="s">
        <v>39</v>
      </c>
      <c r="W51" s="7" t="s">
        <v>38</v>
      </c>
      <c r="X51" s="2" t="s">
        <v>39</v>
      </c>
      <c r="Y51" s="7" t="s">
        <v>38</v>
      </c>
      <c r="Z51" s="2" t="s">
        <v>39</v>
      </c>
    </row>
    <row r="52" spans="1:26">
      <c r="A52" s="100"/>
      <c r="B52" s="100"/>
      <c r="C52" s="2" t="s">
        <v>51</v>
      </c>
      <c r="D52" s="2" t="s">
        <v>86</v>
      </c>
      <c r="E52" s="2" t="s">
        <v>87</v>
      </c>
      <c r="F52" s="2" t="s">
        <v>42</v>
      </c>
      <c r="G52" s="7" t="s">
        <v>38</v>
      </c>
      <c r="H52" s="2" t="s">
        <v>39</v>
      </c>
      <c r="I52" s="7" t="s">
        <v>38</v>
      </c>
      <c r="J52" s="2" t="s">
        <v>39</v>
      </c>
      <c r="K52" s="7" t="s">
        <v>38</v>
      </c>
      <c r="L52" s="2" t="s">
        <v>39</v>
      </c>
      <c r="M52" s="7" t="s">
        <v>38</v>
      </c>
      <c r="N52" s="2" t="s">
        <v>39</v>
      </c>
      <c r="O52" s="7" t="s">
        <v>38</v>
      </c>
      <c r="P52" s="2" t="s">
        <v>39</v>
      </c>
      <c r="Q52" s="7" t="s">
        <v>38</v>
      </c>
      <c r="R52" s="2" t="s">
        <v>39</v>
      </c>
      <c r="S52" s="7" t="s">
        <v>38</v>
      </c>
      <c r="T52" s="2" t="s">
        <v>39</v>
      </c>
      <c r="U52" s="7" t="s">
        <v>38</v>
      </c>
      <c r="V52" s="2" t="s">
        <v>39</v>
      </c>
      <c r="W52" s="7" t="s">
        <v>38</v>
      </c>
      <c r="X52" s="2" t="s">
        <v>39</v>
      </c>
      <c r="Y52" s="7" t="s">
        <v>38</v>
      </c>
      <c r="Z52" s="2" t="s">
        <v>39</v>
      </c>
    </row>
    <row r="53" spans="1:26">
      <c r="A53" s="100"/>
      <c r="B53" s="100"/>
      <c r="C53" s="2" t="s">
        <v>54</v>
      </c>
      <c r="D53" s="2" t="s">
        <v>55</v>
      </c>
      <c r="E53" s="2" t="s">
        <v>45</v>
      </c>
      <c r="F53" s="2" t="s">
        <v>46</v>
      </c>
      <c r="G53" s="7" t="s">
        <v>38</v>
      </c>
      <c r="H53" s="2" t="s">
        <v>39</v>
      </c>
      <c r="I53" s="7" t="s">
        <v>38</v>
      </c>
      <c r="J53" s="2" t="s">
        <v>39</v>
      </c>
      <c r="K53" s="7" t="s">
        <v>38</v>
      </c>
      <c r="L53" s="2" t="s">
        <v>39</v>
      </c>
      <c r="M53" s="7" t="s">
        <v>38</v>
      </c>
      <c r="N53" s="2" t="s">
        <v>39</v>
      </c>
      <c r="O53" s="7" t="s">
        <v>38</v>
      </c>
      <c r="P53" s="2" t="s">
        <v>39</v>
      </c>
      <c r="Q53" s="7" t="s">
        <v>38</v>
      </c>
      <c r="R53" s="2" t="s">
        <v>39</v>
      </c>
      <c r="S53" s="7" t="s">
        <v>38</v>
      </c>
      <c r="T53" s="2" t="s">
        <v>39</v>
      </c>
      <c r="U53" s="7" t="s">
        <v>38</v>
      </c>
      <c r="V53" s="2" t="s">
        <v>39</v>
      </c>
      <c r="W53" s="7" t="s">
        <v>38</v>
      </c>
      <c r="X53" s="2" t="s">
        <v>39</v>
      </c>
      <c r="Y53" s="7" t="s">
        <v>38</v>
      </c>
      <c r="Z53" s="2" t="s">
        <v>39</v>
      </c>
    </row>
    <row r="54" spans="1:26">
      <c r="A54" s="100"/>
      <c r="B54" s="100"/>
      <c r="C54" s="2" t="s">
        <v>56</v>
      </c>
      <c r="D54" s="2" t="s">
        <v>57</v>
      </c>
      <c r="E54" s="2" t="s">
        <v>58</v>
      </c>
      <c r="F54" s="2" t="s">
        <v>59</v>
      </c>
      <c r="G54" s="7" t="s">
        <v>38</v>
      </c>
      <c r="H54" s="2" t="s">
        <v>39</v>
      </c>
      <c r="I54" s="7" t="s">
        <v>38</v>
      </c>
      <c r="J54" s="2" t="s">
        <v>39</v>
      </c>
      <c r="K54" s="7" t="s">
        <v>38</v>
      </c>
      <c r="L54" s="2" t="s">
        <v>39</v>
      </c>
      <c r="M54" s="7" t="s">
        <v>38</v>
      </c>
      <c r="N54" s="2" t="s">
        <v>39</v>
      </c>
      <c r="O54" s="7" t="s">
        <v>38</v>
      </c>
      <c r="P54" s="2" t="s">
        <v>39</v>
      </c>
      <c r="Q54" s="7" t="s">
        <v>38</v>
      </c>
      <c r="R54" s="2" t="s">
        <v>39</v>
      </c>
      <c r="S54" s="7" t="s">
        <v>38</v>
      </c>
      <c r="T54" s="2" t="s">
        <v>39</v>
      </c>
      <c r="U54" s="7" t="s">
        <v>38</v>
      </c>
      <c r="V54" s="2" t="s">
        <v>39</v>
      </c>
      <c r="W54" s="7" t="s">
        <v>38</v>
      </c>
      <c r="X54" s="2" t="s">
        <v>39</v>
      </c>
      <c r="Y54" s="7" t="s">
        <v>38</v>
      </c>
      <c r="Z54" s="2" t="s">
        <v>39</v>
      </c>
    </row>
    <row r="55" spans="1:26">
      <c r="A55" s="100"/>
      <c r="B55" s="100"/>
      <c r="C55" s="2" t="s">
        <v>60</v>
      </c>
      <c r="D55" s="2" t="s">
        <v>61</v>
      </c>
      <c r="E55" s="2" t="s">
        <v>62</v>
      </c>
      <c r="F55" s="2" t="s">
        <v>63</v>
      </c>
      <c r="G55" s="7" t="s">
        <v>38</v>
      </c>
      <c r="H55" s="2" t="s">
        <v>39</v>
      </c>
      <c r="I55" s="7" t="s">
        <v>38</v>
      </c>
      <c r="J55" s="2" t="s">
        <v>39</v>
      </c>
      <c r="K55" s="7" t="s">
        <v>38</v>
      </c>
      <c r="L55" s="2" t="s">
        <v>39</v>
      </c>
      <c r="M55" s="7" t="s">
        <v>38</v>
      </c>
      <c r="N55" s="2" t="s">
        <v>39</v>
      </c>
      <c r="O55" s="7" t="s">
        <v>38</v>
      </c>
      <c r="P55" s="2" t="s">
        <v>39</v>
      </c>
      <c r="Q55" s="7" t="s">
        <v>38</v>
      </c>
      <c r="R55" s="2" t="s">
        <v>39</v>
      </c>
      <c r="S55" s="7" t="s">
        <v>38</v>
      </c>
      <c r="T55" s="2" t="s">
        <v>39</v>
      </c>
      <c r="U55" s="7" t="s">
        <v>38</v>
      </c>
      <c r="V55" s="2" t="s">
        <v>39</v>
      </c>
      <c r="W55" s="7" t="s">
        <v>38</v>
      </c>
      <c r="X55" s="2" t="s">
        <v>39</v>
      </c>
      <c r="Y55" s="7" t="s">
        <v>38</v>
      </c>
      <c r="Z55" s="2" t="s">
        <v>39</v>
      </c>
    </row>
    <row r="56" spans="1:26">
      <c r="A56" s="100"/>
      <c r="B56" s="100"/>
      <c r="C56" s="2" t="s">
        <v>64</v>
      </c>
      <c r="D56" s="2" t="s">
        <v>65</v>
      </c>
      <c r="E56" s="2" t="s">
        <v>66</v>
      </c>
      <c r="F56" s="2" t="s">
        <v>67</v>
      </c>
      <c r="G56" s="7" t="s">
        <v>38</v>
      </c>
      <c r="H56" s="2" t="s">
        <v>39</v>
      </c>
      <c r="I56" s="7" t="s">
        <v>38</v>
      </c>
      <c r="J56" s="2" t="s">
        <v>39</v>
      </c>
      <c r="K56" s="7" t="s">
        <v>38</v>
      </c>
      <c r="L56" s="2" t="s">
        <v>39</v>
      </c>
      <c r="M56" s="7" t="s">
        <v>38</v>
      </c>
      <c r="N56" s="2" t="s">
        <v>39</v>
      </c>
      <c r="O56" s="7" t="s">
        <v>38</v>
      </c>
      <c r="P56" s="2" t="s">
        <v>39</v>
      </c>
      <c r="Q56" s="7" t="s">
        <v>38</v>
      </c>
      <c r="R56" s="2" t="s">
        <v>39</v>
      </c>
      <c r="S56" s="7" t="s">
        <v>38</v>
      </c>
      <c r="T56" s="2" t="s">
        <v>39</v>
      </c>
      <c r="U56" s="7" t="s">
        <v>38</v>
      </c>
      <c r="V56" s="2" t="s">
        <v>39</v>
      </c>
      <c r="W56" s="7" t="s">
        <v>38</v>
      </c>
      <c r="X56" s="2" t="s">
        <v>39</v>
      </c>
      <c r="Y56" s="7" t="s">
        <v>38</v>
      </c>
      <c r="Z56" s="2" t="s">
        <v>39</v>
      </c>
    </row>
    <row r="58" spans="1:26">
      <c r="A58" s="103" t="s">
        <v>88</v>
      </c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1"/>
      <c r="O58" s="101"/>
      <c r="P58" s="101"/>
      <c r="Q58" s="101"/>
      <c r="R58" s="101"/>
      <c r="S58" s="100"/>
      <c r="T58" s="101"/>
      <c r="U58" s="101"/>
      <c r="V58" s="101"/>
      <c r="W58" s="101"/>
      <c r="X58" s="101"/>
      <c r="Y58" s="101"/>
      <c r="Z58" s="101"/>
    </row>
    <row r="59" spans="1:26">
      <c r="A59" s="70" t="s">
        <v>2</v>
      </c>
      <c r="B59" s="70" t="s">
        <v>3</v>
      </c>
      <c r="C59" s="70" t="s">
        <v>4</v>
      </c>
      <c r="D59" s="70" t="s">
        <v>5</v>
      </c>
      <c r="E59" s="70" t="s">
        <v>6</v>
      </c>
      <c r="F59" s="70" t="s">
        <v>7</v>
      </c>
    </row>
    <row r="60" spans="1:26">
      <c r="A60" s="2">
        <v>10</v>
      </c>
      <c r="B60" s="2">
        <v>90</v>
      </c>
      <c r="C60" s="2">
        <f>COUNTIF(G62:Z70,"✓ Sucesso execução")</f>
        <v>89</v>
      </c>
      <c r="D60" s="2">
        <f>COUNTIF(G62:Z70,"⮾Falha real")</f>
        <v>1</v>
      </c>
      <c r="E60" s="3">
        <f>IF(A60=0,"",(C60/9)/A60)</f>
        <v>0.988888888888889</v>
      </c>
      <c r="F60" s="2" t="s">
        <v>89</v>
      </c>
    </row>
    <row r="61" spans="1:26">
      <c r="A61" s="102" t="s">
        <v>9</v>
      </c>
      <c r="B61" s="100"/>
      <c r="C61" s="70" t="s">
        <v>10</v>
      </c>
      <c r="D61" s="70" t="s">
        <v>11</v>
      </c>
      <c r="E61" s="70" t="s">
        <v>12</v>
      </c>
      <c r="F61" s="70" t="s">
        <v>13</v>
      </c>
      <c r="G61" s="70" t="s">
        <v>14</v>
      </c>
      <c r="H61" s="70" t="s">
        <v>15</v>
      </c>
      <c r="I61" s="70" t="s">
        <v>16</v>
      </c>
      <c r="J61" s="70" t="s">
        <v>17</v>
      </c>
      <c r="K61" s="70" t="s">
        <v>18</v>
      </c>
      <c r="L61" s="70" t="s">
        <v>19</v>
      </c>
      <c r="M61" s="70" t="s">
        <v>20</v>
      </c>
      <c r="N61" s="70" t="s">
        <v>21</v>
      </c>
      <c r="O61" s="70" t="s">
        <v>22</v>
      </c>
      <c r="P61" s="70" t="s">
        <v>23</v>
      </c>
      <c r="Q61" s="70" t="s">
        <v>24</v>
      </c>
      <c r="R61" s="70" t="s">
        <v>25</v>
      </c>
      <c r="S61" s="70" t="s">
        <v>26</v>
      </c>
      <c r="T61" s="70" t="s">
        <v>27</v>
      </c>
      <c r="U61" s="70" t="s">
        <v>28</v>
      </c>
      <c r="V61" s="70" t="s">
        <v>29</v>
      </c>
      <c r="W61" s="70" t="s">
        <v>30</v>
      </c>
      <c r="X61" s="70" t="s">
        <v>31</v>
      </c>
      <c r="Y61" s="70" t="s">
        <v>32</v>
      </c>
      <c r="Z61" s="70" t="s">
        <v>33</v>
      </c>
    </row>
    <row r="62" spans="1:26">
      <c r="A62" s="100">
        <v>5</v>
      </c>
      <c r="B62" s="100"/>
      <c r="C62" s="2" t="s">
        <v>34</v>
      </c>
      <c r="D62" s="2" t="s">
        <v>90</v>
      </c>
      <c r="E62" s="2" t="s">
        <v>91</v>
      </c>
      <c r="F62" s="2" t="s">
        <v>37</v>
      </c>
      <c r="G62" s="7" t="s">
        <v>38</v>
      </c>
      <c r="H62" s="2" t="s">
        <v>39</v>
      </c>
      <c r="I62" s="7" t="s">
        <v>38</v>
      </c>
      <c r="J62" s="2" t="s">
        <v>39</v>
      </c>
      <c r="K62" s="7" t="s">
        <v>38</v>
      </c>
      <c r="L62" s="2" t="s">
        <v>39</v>
      </c>
      <c r="M62" s="7" t="s">
        <v>38</v>
      </c>
      <c r="N62" s="2" t="s">
        <v>39</v>
      </c>
      <c r="O62" s="7" t="s">
        <v>38</v>
      </c>
      <c r="P62" s="2" t="s">
        <v>39</v>
      </c>
      <c r="Q62" s="7" t="s">
        <v>38</v>
      </c>
      <c r="R62" s="2" t="s">
        <v>39</v>
      </c>
      <c r="S62" s="7" t="s">
        <v>38</v>
      </c>
      <c r="T62" s="2" t="s">
        <v>39</v>
      </c>
      <c r="U62" s="7" t="s">
        <v>38</v>
      </c>
      <c r="V62" s="2" t="s">
        <v>39</v>
      </c>
      <c r="W62" s="7" t="s">
        <v>38</v>
      </c>
      <c r="X62" s="2" t="s">
        <v>39</v>
      </c>
      <c r="Y62" s="7" t="s">
        <v>38</v>
      </c>
      <c r="Z62" s="2" t="s">
        <v>39</v>
      </c>
    </row>
    <row r="63" spans="1:26">
      <c r="A63" s="100"/>
      <c r="B63" s="100"/>
      <c r="C63" s="2" t="s">
        <v>40</v>
      </c>
      <c r="D63" s="2" t="s">
        <v>90</v>
      </c>
      <c r="E63" s="2" t="s">
        <v>92</v>
      </c>
      <c r="F63" s="2" t="s">
        <v>42</v>
      </c>
      <c r="G63" s="7" t="s">
        <v>38</v>
      </c>
      <c r="H63" s="2" t="s">
        <v>39</v>
      </c>
      <c r="I63" s="7" t="s">
        <v>38</v>
      </c>
      <c r="J63" s="2" t="s">
        <v>39</v>
      </c>
      <c r="K63" s="7" t="s">
        <v>38</v>
      </c>
      <c r="L63" s="2" t="s">
        <v>39</v>
      </c>
      <c r="M63" s="7" t="s">
        <v>38</v>
      </c>
      <c r="N63" s="2" t="s">
        <v>39</v>
      </c>
      <c r="O63" s="7" t="s">
        <v>38</v>
      </c>
      <c r="P63" s="2" t="s">
        <v>39</v>
      </c>
      <c r="Q63" s="7" t="s">
        <v>38</v>
      </c>
      <c r="R63" s="2" t="s">
        <v>39</v>
      </c>
      <c r="S63" s="7" t="s">
        <v>38</v>
      </c>
      <c r="T63" s="2" t="s">
        <v>39</v>
      </c>
      <c r="U63" s="7" t="s">
        <v>38</v>
      </c>
      <c r="V63" s="2" t="s">
        <v>39</v>
      </c>
      <c r="W63" s="7" t="s">
        <v>38</v>
      </c>
      <c r="X63" s="2" t="s">
        <v>39</v>
      </c>
      <c r="Y63" s="7" t="s">
        <v>38</v>
      </c>
      <c r="Z63" s="2" t="s">
        <v>39</v>
      </c>
    </row>
    <row r="64" spans="1:26">
      <c r="A64" s="100"/>
      <c r="B64" s="100"/>
      <c r="C64" s="2" t="s">
        <v>43</v>
      </c>
      <c r="D64" s="2" t="s">
        <v>44</v>
      </c>
      <c r="E64" s="2" t="s">
        <v>45</v>
      </c>
      <c r="F64" s="2" t="s">
        <v>46</v>
      </c>
      <c r="G64" s="7" t="s">
        <v>38</v>
      </c>
      <c r="H64" s="2" t="s">
        <v>39</v>
      </c>
      <c r="I64" s="7" t="s">
        <v>38</v>
      </c>
      <c r="J64" s="2" t="s">
        <v>39</v>
      </c>
      <c r="K64" s="7" t="s">
        <v>38</v>
      </c>
      <c r="L64" s="2" t="s">
        <v>39</v>
      </c>
      <c r="M64" s="7" t="s">
        <v>38</v>
      </c>
      <c r="N64" s="2" t="s">
        <v>39</v>
      </c>
      <c r="O64" s="7" t="s">
        <v>38</v>
      </c>
      <c r="P64" s="2" t="s">
        <v>39</v>
      </c>
      <c r="Q64" s="7" t="s">
        <v>38</v>
      </c>
      <c r="R64" s="2" t="s">
        <v>39</v>
      </c>
      <c r="S64" s="7" t="s">
        <v>38</v>
      </c>
      <c r="T64" s="2" t="s">
        <v>39</v>
      </c>
      <c r="U64" s="7" t="s">
        <v>38</v>
      </c>
      <c r="V64" s="2" t="s">
        <v>39</v>
      </c>
      <c r="W64" s="7" t="s">
        <v>38</v>
      </c>
      <c r="X64" s="2" t="s">
        <v>39</v>
      </c>
      <c r="Y64" s="7" t="s">
        <v>38</v>
      </c>
      <c r="Z64" s="2" t="s">
        <v>39</v>
      </c>
    </row>
    <row r="65" spans="1:26">
      <c r="A65" s="100"/>
      <c r="B65" s="100"/>
      <c r="C65" s="2" t="s">
        <v>47</v>
      </c>
      <c r="D65" s="2" t="s">
        <v>48</v>
      </c>
      <c r="E65" s="2" t="s">
        <v>49</v>
      </c>
      <c r="F65" s="2" t="s">
        <v>50</v>
      </c>
      <c r="G65" s="7" t="s">
        <v>38</v>
      </c>
      <c r="H65" s="2" t="s">
        <v>39</v>
      </c>
      <c r="I65" s="7" t="s">
        <v>38</v>
      </c>
      <c r="J65" s="2" t="s">
        <v>39</v>
      </c>
      <c r="K65" s="7" t="s">
        <v>38</v>
      </c>
      <c r="L65" s="2" t="s">
        <v>39</v>
      </c>
      <c r="M65" s="7" t="s">
        <v>38</v>
      </c>
      <c r="N65" s="2" t="s">
        <v>39</v>
      </c>
      <c r="O65" s="7" t="s">
        <v>38</v>
      </c>
      <c r="P65" s="2" t="s">
        <v>39</v>
      </c>
      <c r="Q65" s="7" t="s">
        <v>38</v>
      </c>
      <c r="R65" s="2" t="s">
        <v>39</v>
      </c>
      <c r="S65" s="7" t="s">
        <v>38</v>
      </c>
      <c r="T65" s="2" t="s">
        <v>39</v>
      </c>
      <c r="U65" s="7" t="s">
        <v>38</v>
      </c>
      <c r="V65" s="2" t="s">
        <v>39</v>
      </c>
      <c r="W65" s="7" t="s">
        <v>38</v>
      </c>
      <c r="X65" s="2" t="s">
        <v>39</v>
      </c>
      <c r="Y65" s="7" t="s">
        <v>38</v>
      </c>
      <c r="Z65" s="2" t="s">
        <v>39</v>
      </c>
    </row>
    <row r="66" spans="1:26">
      <c r="A66" s="100"/>
      <c r="B66" s="100"/>
      <c r="C66" s="2" t="s">
        <v>51</v>
      </c>
      <c r="D66" s="2" t="s">
        <v>93</v>
      </c>
      <c r="E66" s="2" t="s">
        <v>94</v>
      </c>
      <c r="F66" s="2" t="s">
        <v>42</v>
      </c>
      <c r="G66" s="7" t="s">
        <v>38</v>
      </c>
      <c r="H66" s="2" t="s">
        <v>39</v>
      </c>
      <c r="I66" s="7" t="s">
        <v>38</v>
      </c>
      <c r="J66" s="2" t="s">
        <v>39</v>
      </c>
      <c r="K66" s="7" t="s">
        <v>38</v>
      </c>
      <c r="L66" s="2" t="s">
        <v>39</v>
      </c>
      <c r="M66" s="7" t="s">
        <v>38</v>
      </c>
      <c r="N66" s="2" t="s">
        <v>39</v>
      </c>
      <c r="O66" s="7" t="s">
        <v>38</v>
      </c>
      <c r="P66" s="2" t="s">
        <v>39</v>
      </c>
      <c r="Q66" s="7" t="s">
        <v>38</v>
      </c>
      <c r="R66" s="2" t="s">
        <v>39</v>
      </c>
      <c r="S66" s="7" t="s">
        <v>38</v>
      </c>
      <c r="T66" s="2" t="s">
        <v>39</v>
      </c>
      <c r="U66" s="7" t="s">
        <v>38</v>
      </c>
      <c r="V66" s="2" t="s">
        <v>39</v>
      </c>
      <c r="W66" s="7" t="s">
        <v>38</v>
      </c>
      <c r="X66" s="2" t="s">
        <v>39</v>
      </c>
      <c r="Y66" s="7" t="s">
        <v>38</v>
      </c>
      <c r="Z66" s="2" t="s">
        <v>39</v>
      </c>
    </row>
    <row r="67" spans="1:26">
      <c r="A67" s="100"/>
      <c r="B67" s="100"/>
      <c r="C67" s="2" t="s">
        <v>54</v>
      </c>
      <c r="D67" s="2" t="s">
        <v>55</v>
      </c>
      <c r="E67" s="2" t="s">
        <v>45</v>
      </c>
      <c r="F67" s="2" t="s">
        <v>46</v>
      </c>
      <c r="G67" s="7" t="s">
        <v>38</v>
      </c>
      <c r="H67" s="2" t="s">
        <v>39</v>
      </c>
      <c r="I67" s="7" t="s">
        <v>38</v>
      </c>
      <c r="J67" s="2" t="s">
        <v>39</v>
      </c>
      <c r="K67" s="7" t="s">
        <v>38</v>
      </c>
      <c r="L67" s="2" t="s">
        <v>39</v>
      </c>
      <c r="M67" s="7" t="s">
        <v>38</v>
      </c>
      <c r="N67" s="2" t="s">
        <v>39</v>
      </c>
      <c r="O67" s="7" t="s">
        <v>38</v>
      </c>
      <c r="P67" s="2" t="s">
        <v>39</v>
      </c>
      <c r="Q67" s="7" t="s">
        <v>38</v>
      </c>
      <c r="R67" s="2" t="s">
        <v>39</v>
      </c>
      <c r="S67" s="7" t="s">
        <v>38</v>
      </c>
      <c r="T67" s="2" t="s">
        <v>39</v>
      </c>
      <c r="U67" s="7" t="s">
        <v>38</v>
      </c>
      <c r="V67" s="2" t="s">
        <v>39</v>
      </c>
      <c r="W67" s="7" t="s">
        <v>38</v>
      </c>
      <c r="X67" s="2" t="s">
        <v>39</v>
      </c>
      <c r="Y67" s="7" t="s">
        <v>38</v>
      </c>
      <c r="Z67" s="2" t="s">
        <v>39</v>
      </c>
    </row>
    <row r="68" spans="1:26">
      <c r="A68" s="100"/>
      <c r="B68" s="100"/>
      <c r="C68" s="2" t="s">
        <v>56</v>
      </c>
      <c r="D68" s="2" t="s">
        <v>57</v>
      </c>
      <c r="E68" s="2" t="s">
        <v>58</v>
      </c>
      <c r="F68" s="2" t="s">
        <v>59</v>
      </c>
      <c r="G68" s="7" t="s">
        <v>38</v>
      </c>
      <c r="H68" s="2" t="s">
        <v>39</v>
      </c>
      <c r="I68" s="7" t="s">
        <v>38</v>
      </c>
      <c r="J68" s="2" t="s">
        <v>39</v>
      </c>
      <c r="K68" s="7" t="s">
        <v>38</v>
      </c>
      <c r="L68" s="2" t="s">
        <v>39</v>
      </c>
      <c r="M68" s="7" t="s">
        <v>38</v>
      </c>
      <c r="N68" s="2" t="s">
        <v>39</v>
      </c>
      <c r="O68" s="7" t="s">
        <v>38</v>
      </c>
      <c r="P68" s="2" t="s">
        <v>39</v>
      </c>
      <c r="Q68" s="7" t="s">
        <v>38</v>
      </c>
      <c r="R68" s="2" t="s">
        <v>39</v>
      </c>
      <c r="S68" s="7" t="s">
        <v>38</v>
      </c>
      <c r="T68" s="2" t="s">
        <v>39</v>
      </c>
      <c r="U68" s="7" t="s">
        <v>38</v>
      </c>
      <c r="V68" s="2" t="s">
        <v>39</v>
      </c>
      <c r="W68" s="7" t="s">
        <v>38</v>
      </c>
      <c r="X68" s="2" t="s">
        <v>39</v>
      </c>
      <c r="Y68" s="7" t="s">
        <v>38</v>
      </c>
      <c r="Z68" s="2" t="s">
        <v>39</v>
      </c>
    </row>
    <row r="69" spans="1:26">
      <c r="A69" s="100"/>
      <c r="B69" s="100"/>
      <c r="C69" s="2" t="s">
        <v>60</v>
      </c>
      <c r="D69" s="2" t="s">
        <v>61</v>
      </c>
      <c r="E69" s="2" t="s">
        <v>62</v>
      </c>
      <c r="F69" s="2" t="s">
        <v>63</v>
      </c>
      <c r="G69" s="7" t="s">
        <v>38</v>
      </c>
      <c r="H69" s="2" t="s">
        <v>39</v>
      </c>
      <c r="I69" s="9" t="s">
        <v>95</v>
      </c>
      <c r="J69" s="10" t="s">
        <v>96</v>
      </c>
      <c r="K69" s="7" t="s">
        <v>38</v>
      </c>
      <c r="L69" s="2" t="s">
        <v>39</v>
      </c>
      <c r="M69" s="7" t="s">
        <v>38</v>
      </c>
      <c r="N69" s="2" t="s">
        <v>39</v>
      </c>
      <c r="O69" s="7" t="s">
        <v>38</v>
      </c>
      <c r="P69" s="2" t="s">
        <v>39</v>
      </c>
      <c r="Q69" s="7" t="s">
        <v>38</v>
      </c>
      <c r="R69" s="2" t="s">
        <v>39</v>
      </c>
      <c r="S69" s="7" t="s">
        <v>38</v>
      </c>
      <c r="T69" s="2" t="s">
        <v>39</v>
      </c>
      <c r="U69" s="7" t="s">
        <v>38</v>
      </c>
      <c r="V69" s="2" t="s">
        <v>39</v>
      </c>
      <c r="W69" s="7" t="s">
        <v>38</v>
      </c>
      <c r="X69" s="2" t="s">
        <v>39</v>
      </c>
      <c r="Y69" s="7" t="s">
        <v>38</v>
      </c>
      <c r="Z69" s="2" t="s">
        <v>39</v>
      </c>
    </row>
    <row r="70" spans="1:26">
      <c r="A70" s="100"/>
      <c r="B70" s="100"/>
      <c r="C70" s="2" t="s">
        <v>64</v>
      </c>
      <c r="D70" s="2" t="s">
        <v>65</v>
      </c>
      <c r="E70" s="2" t="s">
        <v>66</v>
      </c>
      <c r="F70" s="2" t="s">
        <v>67</v>
      </c>
      <c r="G70" s="7" t="s">
        <v>38</v>
      </c>
      <c r="H70" s="2" t="s">
        <v>39</v>
      </c>
      <c r="I70" s="7" t="s">
        <v>38</v>
      </c>
      <c r="J70" s="2" t="s">
        <v>39</v>
      </c>
      <c r="K70" s="7" t="s">
        <v>38</v>
      </c>
      <c r="L70" s="2" t="s">
        <v>39</v>
      </c>
      <c r="M70" s="7" t="s">
        <v>38</v>
      </c>
      <c r="N70" s="2" t="s">
        <v>39</v>
      </c>
      <c r="O70" s="7" t="s">
        <v>38</v>
      </c>
      <c r="P70" s="2" t="s">
        <v>39</v>
      </c>
      <c r="Q70" s="7" t="s">
        <v>38</v>
      </c>
      <c r="R70" s="2" t="s">
        <v>39</v>
      </c>
      <c r="S70" s="7" t="s">
        <v>38</v>
      </c>
      <c r="T70" s="2" t="s">
        <v>39</v>
      </c>
      <c r="U70" s="7" t="s">
        <v>38</v>
      </c>
      <c r="V70" s="2" t="s">
        <v>39</v>
      </c>
      <c r="W70" s="7" t="s">
        <v>38</v>
      </c>
      <c r="X70" s="2" t="s">
        <v>39</v>
      </c>
      <c r="Y70" s="7" t="s">
        <v>38</v>
      </c>
      <c r="Z70" s="2" t="s">
        <v>39</v>
      </c>
    </row>
    <row r="72" spans="1:26">
      <c r="A72" s="103" t="s">
        <v>97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1"/>
      <c r="O72" s="101"/>
      <c r="P72" s="101"/>
      <c r="Q72" s="101"/>
      <c r="R72" s="101"/>
      <c r="S72" s="100"/>
      <c r="T72" s="101"/>
      <c r="U72" s="101"/>
      <c r="V72" s="101"/>
      <c r="W72" s="101"/>
      <c r="X72" s="101"/>
      <c r="Y72" s="101"/>
      <c r="Z72" s="101"/>
    </row>
    <row r="73" spans="1:26">
      <c r="A73" s="70" t="s">
        <v>2</v>
      </c>
      <c r="B73" s="70" t="s">
        <v>3</v>
      </c>
      <c r="C73" s="70" t="s">
        <v>4</v>
      </c>
      <c r="D73" s="70" t="s">
        <v>5</v>
      </c>
      <c r="E73" s="70" t="s">
        <v>6</v>
      </c>
      <c r="F73" s="70" t="s">
        <v>7</v>
      </c>
    </row>
    <row r="74" spans="1:26">
      <c r="A74" s="2">
        <v>10</v>
      </c>
      <c r="B74" s="2">
        <v>90</v>
      </c>
      <c r="C74" s="2">
        <f>COUNTIF(G76:Z84,"✓ Sucesso execução")</f>
        <v>90</v>
      </c>
      <c r="D74" s="2">
        <f>COUNTIF(G76:Z84,"⮾Falha real")</f>
        <v>0</v>
      </c>
      <c r="E74" s="3">
        <f>IF(A74=0,"",(C74/9)/A74)</f>
        <v>1</v>
      </c>
    </row>
    <row r="75" spans="1:26">
      <c r="A75" s="102" t="s">
        <v>9</v>
      </c>
      <c r="B75" s="100"/>
      <c r="C75" s="70" t="s">
        <v>10</v>
      </c>
      <c r="D75" s="70" t="s">
        <v>11</v>
      </c>
      <c r="E75" s="70" t="s">
        <v>12</v>
      </c>
      <c r="F75" s="70" t="s">
        <v>13</v>
      </c>
      <c r="G75" s="70" t="s">
        <v>14</v>
      </c>
      <c r="H75" s="70" t="s">
        <v>15</v>
      </c>
      <c r="I75" s="70" t="s">
        <v>16</v>
      </c>
      <c r="J75" s="70" t="s">
        <v>17</v>
      </c>
      <c r="K75" s="70" t="s">
        <v>18</v>
      </c>
      <c r="L75" s="70" t="s">
        <v>19</v>
      </c>
      <c r="M75" s="70" t="s">
        <v>20</v>
      </c>
      <c r="N75" s="70" t="s">
        <v>21</v>
      </c>
      <c r="O75" s="70" t="s">
        <v>22</v>
      </c>
      <c r="P75" s="70" t="s">
        <v>23</v>
      </c>
      <c r="Q75" s="70" t="s">
        <v>24</v>
      </c>
      <c r="R75" s="70" t="s">
        <v>25</v>
      </c>
      <c r="S75" s="70" t="s">
        <v>26</v>
      </c>
      <c r="T75" s="70" t="s">
        <v>27</v>
      </c>
      <c r="U75" s="70" t="s">
        <v>28</v>
      </c>
      <c r="V75" s="70" t="s">
        <v>29</v>
      </c>
      <c r="W75" s="70" t="s">
        <v>30</v>
      </c>
      <c r="X75" s="70" t="s">
        <v>31</v>
      </c>
      <c r="Y75" s="70" t="s">
        <v>32</v>
      </c>
      <c r="Z75" s="70" t="s">
        <v>33</v>
      </c>
    </row>
    <row r="76" spans="1:26">
      <c r="A76" s="100">
        <v>6</v>
      </c>
      <c r="B76" s="100"/>
      <c r="C76" s="2" t="s">
        <v>34</v>
      </c>
      <c r="D76" s="2" t="s">
        <v>98</v>
      </c>
      <c r="E76" s="2" t="s">
        <v>99</v>
      </c>
      <c r="F76" s="2" t="s">
        <v>37</v>
      </c>
      <c r="G76" s="7" t="s">
        <v>38</v>
      </c>
      <c r="H76" s="2" t="s">
        <v>39</v>
      </c>
      <c r="I76" s="7" t="s">
        <v>38</v>
      </c>
      <c r="J76" s="2" t="s">
        <v>39</v>
      </c>
      <c r="K76" s="7" t="s">
        <v>38</v>
      </c>
      <c r="L76" s="2" t="s">
        <v>39</v>
      </c>
      <c r="M76" s="7" t="s">
        <v>38</v>
      </c>
      <c r="N76" s="2" t="s">
        <v>39</v>
      </c>
      <c r="O76" s="7" t="s">
        <v>38</v>
      </c>
      <c r="P76" s="2" t="s">
        <v>39</v>
      </c>
      <c r="Q76" s="7" t="s">
        <v>38</v>
      </c>
      <c r="R76" s="2" t="s">
        <v>39</v>
      </c>
      <c r="S76" s="7" t="s">
        <v>38</v>
      </c>
      <c r="T76" s="2" t="s">
        <v>39</v>
      </c>
      <c r="U76" s="7" t="s">
        <v>38</v>
      </c>
      <c r="V76" s="2" t="s">
        <v>39</v>
      </c>
      <c r="W76" s="7" t="s">
        <v>38</v>
      </c>
      <c r="X76" s="2" t="s">
        <v>39</v>
      </c>
      <c r="Y76" s="7" t="s">
        <v>38</v>
      </c>
      <c r="Z76" s="2" t="s">
        <v>39</v>
      </c>
    </row>
    <row r="77" spans="1:26">
      <c r="A77" s="100"/>
      <c r="B77" s="100"/>
      <c r="C77" s="2" t="s">
        <v>40</v>
      </c>
      <c r="D77" s="2" t="s">
        <v>98</v>
      </c>
      <c r="E77" s="2" t="s">
        <v>100</v>
      </c>
      <c r="F77" s="2" t="s">
        <v>42</v>
      </c>
      <c r="G77" s="7" t="s">
        <v>38</v>
      </c>
      <c r="H77" s="2" t="s">
        <v>39</v>
      </c>
      <c r="I77" s="7" t="s">
        <v>38</v>
      </c>
      <c r="J77" s="2" t="s">
        <v>39</v>
      </c>
      <c r="K77" s="7" t="s">
        <v>38</v>
      </c>
      <c r="L77" s="2" t="s">
        <v>39</v>
      </c>
      <c r="M77" s="7" t="s">
        <v>38</v>
      </c>
      <c r="N77" s="2" t="s">
        <v>39</v>
      </c>
      <c r="O77" s="7" t="s">
        <v>38</v>
      </c>
      <c r="P77" s="2" t="s">
        <v>39</v>
      </c>
      <c r="Q77" s="7" t="s">
        <v>38</v>
      </c>
      <c r="R77" s="2" t="s">
        <v>39</v>
      </c>
      <c r="S77" s="7" t="s">
        <v>38</v>
      </c>
      <c r="T77" s="2" t="s">
        <v>39</v>
      </c>
      <c r="U77" s="7" t="s">
        <v>38</v>
      </c>
      <c r="V77" s="2" t="s">
        <v>39</v>
      </c>
      <c r="W77" s="7" t="s">
        <v>38</v>
      </c>
      <c r="X77" s="2" t="s">
        <v>39</v>
      </c>
      <c r="Y77" s="7" t="s">
        <v>38</v>
      </c>
      <c r="Z77" s="2" t="s">
        <v>39</v>
      </c>
    </row>
    <row r="78" spans="1:26">
      <c r="A78" s="100"/>
      <c r="B78" s="100"/>
      <c r="C78" s="2" t="s">
        <v>43</v>
      </c>
      <c r="D78" s="2" t="s">
        <v>44</v>
      </c>
      <c r="E78" s="2" t="s">
        <v>45</v>
      </c>
      <c r="F78" s="2" t="s">
        <v>46</v>
      </c>
      <c r="G78" s="7" t="s">
        <v>38</v>
      </c>
      <c r="H78" s="2" t="s">
        <v>39</v>
      </c>
      <c r="I78" s="7" t="s">
        <v>38</v>
      </c>
      <c r="J78" s="2" t="s">
        <v>39</v>
      </c>
      <c r="K78" s="7" t="s">
        <v>38</v>
      </c>
      <c r="L78" s="2" t="s">
        <v>39</v>
      </c>
      <c r="M78" s="7" t="s">
        <v>38</v>
      </c>
      <c r="N78" s="2" t="s">
        <v>39</v>
      </c>
      <c r="O78" s="7" t="s">
        <v>38</v>
      </c>
      <c r="P78" s="2" t="s">
        <v>39</v>
      </c>
      <c r="Q78" s="7" t="s">
        <v>38</v>
      </c>
      <c r="R78" s="2" t="s">
        <v>39</v>
      </c>
      <c r="S78" s="7" t="s">
        <v>38</v>
      </c>
      <c r="T78" s="2" t="s">
        <v>39</v>
      </c>
      <c r="U78" s="7" t="s">
        <v>38</v>
      </c>
      <c r="V78" s="2" t="s">
        <v>39</v>
      </c>
      <c r="W78" s="7" t="s">
        <v>38</v>
      </c>
      <c r="X78" s="2" t="s">
        <v>39</v>
      </c>
      <c r="Y78" s="7" t="s">
        <v>38</v>
      </c>
      <c r="Z78" s="2" t="s">
        <v>39</v>
      </c>
    </row>
    <row r="79" spans="1:26">
      <c r="A79" s="100"/>
      <c r="B79" s="100"/>
      <c r="C79" s="2" t="s">
        <v>47</v>
      </c>
      <c r="D79" s="2" t="s">
        <v>48</v>
      </c>
      <c r="E79" s="2" t="s">
        <v>49</v>
      </c>
      <c r="F79" s="2" t="s">
        <v>50</v>
      </c>
      <c r="G79" s="7" t="s">
        <v>38</v>
      </c>
      <c r="H79" s="2" t="s">
        <v>39</v>
      </c>
      <c r="I79" s="7" t="s">
        <v>38</v>
      </c>
      <c r="J79" s="2" t="s">
        <v>39</v>
      </c>
      <c r="K79" s="7" t="s">
        <v>38</v>
      </c>
      <c r="L79" s="2" t="s">
        <v>39</v>
      </c>
      <c r="M79" s="7" t="s">
        <v>38</v>
      </c>
      <c r="N79" s="2" t="s">
        <v>39</v>
      </c>
      <c r="O79" s="7" t="s">
        <v>38</v>
      </c>
      <c r="P79" s="2" t="s">
        <v>39</v>
      </c>
      <c r="Q79" s="7" t="s">
        <v>38</v>
      </c>
      <c r="R79" s="2" t="s">
        <v>39</v>
      </c>
      <c r="S79" s="7" t="s">
        <v>38</v>
      </c>
      <c r="T79" s="2" t="s">
        <v>39</v>
      </c>
      <c r="U79" s="7" t="s">
        <v>38</v>
      </c>
      <c r="V79" s="2" t="s">
        <v>39</v>
      </c>
      <c r="W79" s="7" t="s">
        <v>38</v>
      </c>
      <c r="X79" s="2" t="s">
        <v>39</v>
      </c>
      <c r="Y79" s="7" t="s">
        <v>38</v>
      </c>
      <c r="Z79" s="2" t="s">
        <v>39</v>
      </c>
    </row>
    <row r="80" spans="1:26">
      <c r="A80" s="100"/>
      <c r="B80" s="100"/>
      <c r="C80" s="2" t="s">
        <v>51</v>
      </c>
      <c r="D80" s="2" t="s">
        <v>101</v>
      </c>
      <c r="E80" s="2" t="s">
        <v>102</v>
      </c>
      <c r="F80" s="2" t="s">
        <v>42</v>
      </c>
      <c r="G80" s="7" t="s">
        <v>38</v>
      </c>
      <c r="H80" s="2" t="s">
        <v>39</v>
      </c>
      <c r="I80" s="7" t="s">
        <v>38</v>
      </c>
      <c r="J80" s="2" t="s">
        <v>39</v>
      </c>
      <c r="K80" s="7" t="s">
        <v>38</v>
      </c>
      <c r="L80" s="2" t="s">
        <v>39</v>
      </c>
      <c r="M80" s="7" t="s">
        <v>38</v>
      </c>
      <c r="N80" s="2" t="s">
        <v>39</v>
      </c>
      <c r="O80" s="7" t="s">
        <v>38</v>
      </c>
      <c r="P80" s="2" t="s">
        <v>39</v>
      </c>
      <c r="Q80" s="7" t="s">
        <v>38</v>
      </c>
      <c r="R80" s="2" t="s">
        <v>39</v>
      </c>
      <c r="S80" s="7" t="s">
        <v>38</v>
      </c>
      <c r="T80" s="2" t="s">
        <v>39</v>
      </c>
      <c r="U80" s="7" t="s">
        <v>38</v>
      </c>
      <c r="V80" s="2" t="s">
        <v>39</v>
      </c>
      <c r="W80" s="7" t="s">
        <v>38</v>
      </c>
      <c r="X80" s="2" t="s">
        <v>39</v>
      </c>
      <c r="Y80" s="7" t="s">
        <v>38</v>
      </c>
      <c r="Z80" s="2" t="s">
        <v>39</v>
      </c>
    </row>
    <row r="81" spans="1:26">
      <c r="A81" s="100"/>
      <c r="B81" s="100"/>
      <c r="C81" s="2" t="s">
        <v>54</v>
      </c>
      <c r="D81" s="2" t="s">
        <v>55</v>
      </c>
      <c r="E81" s="2" t="s">
        <v>45</v>
      </c>
      <c r="F81" s="2" t="s">
        <v>46</v>
      </c>
      <c r="G81" s="7" t="s">
        <v>38</v>
      </c>
      <c r="H81" s="2" t="s">
        <v>39</v>
      </c>
      <c r="I81" s="7" t="s">
        <v>38</v>
      </c>
      <c r="J81" s="2" t="s">
        <v>39</v>
      </c>
      <c r="K81" s="7" t="s">
        <v>38</v>
      </c>
      <c r="L81" s="2" t="s">
        <v>39</v>
      </c>
      <c r="M81" s="7" t="s">
        <v>38</v>
      </c>
      <c r="N81" s="2" t="s">
        <v>39</v>
      </c>
      <c r="O81" s="7" t="s">
        <v>38</v>
      </c>
      <c r="P81" s="2" t="s">
        <v>39</v>
      </c>
      <c r="Q81" s="7" t="s">
        <v>38</v>
      </c>
      <c r="R81" s="2" t="s">
        <v>39</v>
      </c>
      <c r="S81" s="7" t="s">
        <v>38</v>
      </c>
      <c r="T81" s="2" t="s">
        <v>39</v>
      </c>
      <c r="U81" s="7" t="s">
        <v>38</v>
      </c>
      <c r="V81" s="2" t="s">
        <v>39</v>
      </c>
      <c r="W81" s="7" t="s">
        <v>38</v>
      </c>
      <c r="X81" s="2" t="s">
        <v>39</v>
      </c>
      <c r="Y81" s="7" t="s">
        <v>38</v>
      </c>
      <c r="Z81" s="2" t="s">
        <v>39</v>
      </c>
    </row>
    <row r="82" spans="1:26">
      <c r="A82" s="100"/>
      <c r="B82" s="100"/>
      <c r="C82" s="2" t="s">
        <v>56</v>
      </c>
      <c r="D82" s="2" t="s">
        <v>57</v>
      </c>
      <c r="E82" s="2" t="s">
        <v>58</v>
      </c>
      <c r="F82" s="2" t="s">
        <v>59</v>
      </c>
      <c r="G82" s="7" t="s">
        <v>38</v>
      </c>
      <c r="H82" s="2" t="s">
        <v>39</v>
      </c>
      <c r="I82" s="7" t="s">
        <v>38</v>
      </c>
      <c r="J82" s="2" t="s">
        <v>39</v>
      </c>
      <c r="K82" s="7" t="s">
        <v>38</v>
      </c>
      <c r="L82" s="2" t="s">
        <v>39</v>
      </c>
      <c r="M82" s="7" t="s">
        <v>38</v>
      </c>
      <c r="N82" s="2" t="s">
        <v>39</v>
      </c>
      <c r="O82" s="7" t="s">
        <v>38</v>
      </c>
      <c r="P82" s="2" t="s">
        <v>39</v>
      </c>
      <c r="Q82" s="7" t="s">
        <v>38</v>
      </c>
      <c r="R82" s="2" t="s">
        <v>39</v>
      </c>
      <c r="S82" s="7" t="s">
        <v>38</v>
      </c>
      <c r="T82" s="2" t="s">
        <v>39</v>
      </c>
      <c r="U82" s="7" t="s">
        <v>38</v>
      </c>
      <c r="V82" s="2" t="s">
        <v>39</v>
      </c>
      <c r="W82" s="7" t="s">
        <v>38</v>
      </c>
      <c r="X82" s="2" t="s">
        <v>39</v>
      </c>
      <c r="Y82" s="7" t="s">
        <v>38</v>
      </c>
      <c r="Z82" s="2" t="s">
        <v>39</v>
      </c>
    </row>
    <row r="83" spans="1:26">
      <c r="A83" s="100"/>
      <c r="B83" s="100"/>
      <c r="C83" s="2" t="s">
        <v>60</v>
      </c>
      <c r="D83" s="2" t="s">
        <v>61</v>
      </c>
      <c r="E83" s="2" t="s">
        <v>62</v>
      </c>
      <c r="F83" s="2" t="s">
        <v>63</v>
      </c>
      <c r="G83" s="7" t="s">
        <v>38</v>
      </c>
      <c r="H83" s="2" t="s">
        <v>39</v>
      </c>
      <c r="I83" s="7" t="s">
        <v>38</v>
      </c>
      <c r="J83" s="2" t="s">
        <v>39</v>
      </c>
      <c r="K83" s="7" t="s">
        <v>38</v>
      </c>
      <c r="L83" s="2" t="s">
        <v>39</v>
      </c>
      <c r="M83" s="7" t="s">
        <v>38</v>
      </c>
      <c r="N83" s="2" t="s">
        <v>39</v>
      </c>
      <c r="O83" s="7" t="s">
        <v>38</v>
      </c>
      <c r="P83" s="2" t="s">
        <v>39</v>
      </c>
      <c r="Q83" s="7" t="s">
        <v>38</v>
      </c>
      <c r="R83" s="2" t="s">
        <v>39</v>
      </c>
      <c r="S83" s="7" t="s">
        <v>38</v>
      </c>
      <c r="T83" s="2" t="s">
        <v>39</v>
      </c>
      <c r="U83" s="7" t="s">
        <v>38</v>
      </c>
      <c r="V83" s="2" t="s">
        <v>39</v>
      </c>
      <c r="W83" s="7" t="s">
        <v>38</v>
      </c>
      <c r="X83" s="2" t="s">
        <v>39</v>
      </c>
      <c r="Y83" s="7" t="s">
        <v>38</v>
      </c>
      <c r="Z83" s="2" t="s">
        <v>39</v>
      </c>
    </row>
    <row r="84" spans="1:26">
      <c r="A84" s="100"/>
      <c r="B84" s="100"/>
      <c r="C84" s="2" t="s">
        <v>64</v>
      </c>
      <c r="D84" s="2" t="s">
        <v>65</v>
      </c>
      <c r="E84" s="2" t="s">
        <v>66</v>
      </c>
      <c r="F84" s="2" t="s">
        <v>67</v>
      </c>
      <c r="G84" s="7" t="s">
        <v>38</v>
      </c>
      <c r="H84" s="2" t="s">
        <v>39</v>
      </c>
      <c r="I84" s="7" t="s">
        <v>38</v>
      </c>
      <c r="J84" s="2" t="s">
        <v>39</v>
      </c>
      <c r="K84" s="7" t="s">
        <v>38</v>
      </c>
      <c r="L84" s="2" t="s">
        <v>39</v>
      </c>
      <c r="M84" s="7" t="s">
        <v>38</v>
      </c>
      <c r="N84" s="2" t="s">
        <v>39</v>
      </c>
      <c r="O84" s="7" t="s">
        <v>38</v>
      </c>
      <c r="P84" s="2" t="s">
        <v>39</v>
      </c>
      <c r="Q84" s="7" t="s">
        <v>38</v>
      </c>
      <c r="R84" s="2" t="s">
        <v>39</v>
      </c>
      <c r="S84" s="7" t="s">
        <v>38</v>
      </c>
      <c r="T84" s="2" t="s">
        <v>39</v>
      </c>
      <c r="U84" s="7" t="s">
        <v>38</v>
      </c>
      <c r="V84" s="2" t="s">
        <v>39</v>
      </c>
      <c r="W84" s="7" t="s">
        <v>38</v>
      </c>
      <c r="X84" s="2" t="s">
        <v>39</v>
      </c>
      <c r="Y84" s="7" t="s">
        <v>38</v>
      </c>
      <c r="Z84" s="2" t="s">
        <v>39</v>
      </c>
    </row>
    <row r="86" spans="1:26">
      <c r="A86" s="103" t="s">
        <v>103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1"/>
      <c r="O86" s="101"/>
      <c r="P86" s="101"/>
      <c r="Q86" s="101"/>
      <c r="R86" s="101"/>
      <c r="S86" s="100"/>
      <c r="T86" s="101"/>
      <c r="U86" s="101"/>
      <c r="V86" s="101"/>
      <c r="W86" s="101"/>
      <c r="X86" s="101"/>
      <c r="Y86" s="101"/>
      <c r="Z86" s="101"/>
    </row>
    <row r="87" spans="1:26">
      <c r="A87" s="70" t="s">
        <v>2</v>
      </c>
      <c r="B87" s="70" t="s">
        <v>3</v>
      </c>
      <c r="C87" s="70" t="s">
        <v>4</v>
      </c>
      <c r="D87" s="70" t="s">
        <v>5</v>
      </c>
      <c r="E87" s="70" t="s">
        <v>6</v>
      </c>
      <c r="F87" s="70" t="s">
        <v>7</v>
      </c>
    </row>
    <row r="88" spans="1:26">
      <c r="A88" s="2">
        <v>10</v>
      </c>
      <c r="B88" s="2">
        <v>90</v>
      </c>
      <c r="C88" s="2">
        <f>COUNTIF(G90:Z98,"✓ Sucesso execução")</f>
        <v>89</v>
      </c>
      <c r="D88" s="2">
        <f>COUNTIF(G90:Z98,"⮾Falha real")</f>
        <v>1</v>
      </c>
      <c r="E88" s="3">
        <f>IF(A88=0,"",(C88/9)/A88)</f>
        <v>0.988888888888889</v>
      </c>
    </row>
    <row r="89" spans="1:26">
      <c r="A89" s="102" t="s">
        <v>9</v>
      </c>
      <c r="B89" s="100"/>
      <c r="C89" s="70" t="s">
        <v>10</v>
      </c>
      <c r="D89" s="70" t="s">
        <v>11</v>
      </c>
      <c r="E89" s="70" t="s">
        <v>12</v>
      </c>
      <c r="F89" s="70" t="s">
        <v>13</v>
      </c>
      <c r="G89" s="70" t="s">
        <v>14</v>
      </c>
      <c r="H89" s="70" t="s">
        <v>15</v>
      </c>
      <c r="I89" s="70" t="s">
        <v>16</v>
      </c>
      <c r="J89" s="70" t="s">
        <v>17</v>
      </c>
      <c r="K89" s="70" t="s">
        <v>18</v>
      </c>
      <c r="L89" s="70" t="s">
        <v>19</v>
      </c>
      <c r="M89" s="70" t="s">
        <v>20</v>
      </c>
      <c r="N89" s="70" t="s">
        <v>21</v>
      </c>
      <c r="O89" s="70" t="s">
        <v>22</v>
      </c>
      <c r="P89" s="70" t="s">
        <v>23</v>
      </c>
      <c r="Q89" s="70" t="s">
        <v>24</v>
      </c>
      <c r="R89" s="70" t="s">
        <v>25</v>
      </c>
      <c r="S89" s="70" t="s">
        <v>26</v>
      </c>
      <c r="T89" s="70" t="s">
        <v>27</v>
      </c>
      <c r="U89" s="70" t="s">
        <v>28</v>
      </c>
      <c r="V89" s="70" t="s">
        <v>29</v>
      </c>
      <c r="W89" s="70" t="s">
        <v>30</v>
      </c>
      <c r="X89" s="70" t="s">
        <v>31</v>
      </c>
      <c r="Y89" s="70" t="s">
        <v>32</v>
      </c>
      <c r="Z89" s="70" t="s">
        <v>33</v>
      </c>
    </row>
    <row r="90" spans="1:26">
      <c r="A90" s="100">
        <v>7</v>
      </c>
      <c r="B90" s="100"/>
      <c r="C90" s="2" t="s">
        <v>34</v>
      </c>
      <c r="D90" s="2" t="s">
        <v>104</v>
      </c>
      <c r="E90" s="2" t="s">
        <v>105</v>
      </c>
      <c r="F90" s="2" t="s">
        <v>37</v>
      </c>
      <c r="G90" s="7" t="s">
        <v>38</v>
      </c>
      <c r="H90" s="2" t="s">
        <v>39</v>
      </c>
      <c r="I90" s="7" t="s">
        <v>38</v>
      </c>
      <c r="J90" s="2" t="s">
        <v>39</v>
      </c>
      <c r="K90" s="7" t="s">
        <v>38</v>
      </c>
      <c r="L90" s="2" t="s">
        <v>39</v>
      </c>
      <c r="M90" s="7" t="s">
        <v>38</v>
      </c>
      <c r="N90" s="2" t="s">
        <v>39</v>
      </c>
      <c r="O90" s="7" t="s">
        <v>38</v>
      </c>
      <c r="P90" s="2" t="s">
        <v>39</v>
      </c>
      <c r="Q90" s="7" t="s">
        <v>38</v>
      </c>
      <c r="R90" s="2" t="s">
        <v>39</v>
      </c>
      <c r="S90" s="7" t="s">
        <v>38</v>
      </c>
      <c r="T90" s="2" t="s">
        <v>39</v>
      </c>
      <c r="U90" s="7" t="s">
        <v>38</v>
      </c>
      <c r="V90" s="2" t="s">
        <v>39</v>
      </c>
      <c r="W90" s="7" t="s">
        <v>38</v>
      </c>
      <c r="X90" s="2" t="s">
        <v>39</v>
      </c>
      <c r="Y90" s="7" t="s">
        <v>38</v>
      </c>
      <c r="Z90" s="2" t="s">
        <v>39</v>
      </c>
    </row>
    <row r="91" spans="1:26">
      <c r="A91" s="100"/>
      <c r="B91" s="100"/>
      <c r="C91" s="2" t="s">
        <v>40</v>
      </c>
      <c r="D91" s="2" t="s">
        <v>104</v>
      </c>
      <c r="E91" s="2" t="s">
        <v>106</v>
      </c>
      <c r="F91" s="2" t="s">
        <v>42</v>
      </c>
      <c r="G91" s="7" t="s">
        <v>38</v>
      </c>
      <c r="H91" s="2" t="s">
        <v>39</v>
      </c>
      <c r="I91" s="7" t="s">
        <v>38</v>
      </c>
      <c r="J91" s="2" t="s">
        <v>39</v>
      </c>
      <c r="K91" s="7" t="s">
        <v>38</v>
      </c>
      <c r="L91" s="2" t="s">
        <v>39</v>
      </c>
      <c r="M91" s="7" t="s">
        <v>38</v>
      </c>
      <c r="N91" s="2" t="s">
        <v>39</v>
      </c>
      <c r="O91" s="7" t="s">
        <v>38</v>
      </c>
      <c r="P91" s="2" t="s">
        <v>39</v>
      </c>
      <c r="Q91" s="7" t="s">
        <v>38</v>
      </c>
      <c r="R91" s="2" t="s">
        <v>39</v>
      </c>
      <c r="S91" s="7" t="s">
        <v>38</v>
      </c>
      <c r="T91" s="2" t="s">
        <v>39</v>
      </c>
      <c r="U91" s="7" t="s">
        <v>38</v>
      </c>
      <c r="V91" s="2" t="s">
        <v>39</v>
      </c>
      <c r="W91" s="7" t="s">
        <v>38</v>
      </c>
      <c r="X91" s="2" t="s">
        <v>39</v>
      </c>
      <c r="Y91" s="7" t="s">
        <v>38</v>
      </c>
      <c r="Z91" s="2" t="s">
        <v>39</v>
      </c>
    </row>
    <row r="92" spans="1:26">
      <c r="A92" s="100"/>
      <c r="B92" s="100"/>
      <c r="C92" s="2" t="s">
        <v>43</v>
      </c>
      <c r="D92" s="2" t="s">
        <v>44</v>
      </c>
      <c r="E92" s="2" t="s">
        <v>45</v>
      </c>
      <c r="F92" s="2" t="s">
        <v>46</v>
      </c>
      <c r="G92" s="7" t="s">
        <v>38</v>
      </c>
      <c r="H92" s="2" t="s">
        <v>39</v>
      </c>
      <c r="I92" s="7" t="s">
        <v>38</v>
      </c>
      <c r="J92" s="2" t="s">
        <v>39</v>
      </c>
      <c r="K92" s="7" t="s">
        <v>38</v>
      </c>
      <c r="L92" s="2" t="s">
        <v>39</v>
      </c>
      <c r="M92" s="7" t="s">
        <v>38</v>
      </c>
      <c r="N92" s="2" t="s">
        <v>39</v>
      </c>
      <c r="O92" s="7" t="s">
        <v>38</v>
      </c>
      <c r="P92" s="2" t="s">
        <v>39</v>
      </c>
      <c r="Q92" s="7" t="s">
        <v>38</v>
      </c>
      <c r="R92" s="2" t="s">
        <v>39</v>
      </c>
      <c r="S92" s="7" t="s">
        <v>38</v>
      </c>
      <c r="T92" s="2" t="s">
        <v>39</v>
      </c>
      <c r="U92" s="7" t="s">
        <v>38</v>
      </c>
      <c r="V92" s="2" t="s">
        <v>39</v>
      </c>
      <c r="W92" s="7" t="s">
        <v>38</v>
      </c>
      <c r="X92" s="2" t="s">
        <v>39</v>
      </c>
      <c r="Y92" s="7" t="s">
        <v>38</v>
      </c>
      <c r="Z92" s="2" t="s">
        <v>39</v>
      </c>
    </row>
    <row r="93" spans="1:26">
      <c r="A93" s="100"/>
      <c r="B93" s="100"/>
      <c r="C93" s="2" t="s">
        <v>47</v>
      </c>
      <c r="D93" s="2" t="s">
        <v>48</v>
      </c>
      <c r="E93" s="2" t="s">
        <v>49</v>
      </c>
      <c r="F93" s="2" t="s">
        <v>50</v>
      </c>
      <c r="G93" s="7" t="s">
        <v>38</v>
      </c>
      <c r="H93" s="2" t="s">
        <v>39</v>
      </c>
      <c r="I93" s="7" t="s">
        <v>38</v>
      </c>
      <c r="J93" s="2" t="s">
        <v>39</v>
      </c>
      <c r="K93" s="7" t="s">
        <v>38</v>
      </c>
      <c r="L93" s="2" t="s">
        <v>39</v>
      </c>
      <c r="M93" s="7" t="s">
        <v>38</v>
      </c>
      <c r="N93" s="2" t="s">
        <v>39</v>
      </c>
      <c r="O93" s="7" t="s">
        <v>38</v>
      </c>
      <c r="P93" s="2" t="s">
        <v>39</v>
      </c>
      <c r="Q93" s="7" t="s">
        <v>38</v>
      </c>
      <c r="R93" s="2" t="s">
        <v>39</v>
      </c>
      <c r="S93" s="7" t="s">
        <v>38</v>
      </c>
      <c r="T93" s="2" t="s">
        <v>39</v>
      </c>
      <c r="U93" s="7" t="s">
        <v>38</v>
      </c>
      <c r="V93" s="2" t="s">
        <v>39</v>
      </c>
      <c r="W93" s="7" t="s">
        <v>38</v>
      </c>
      <c r="X93" s="2" t="s">
        <v>39</v>
      </c>
      <c r="Y93" s="7" t="s">
        <v>38</v>
      </c>
      <c r="Z93" s="2" t="s">
        <v>39</v>
      </c>
    </row>
    <row r="94" spans="1:26">
      <c r="A94" s="100"/>
      <c r="B94" s="100"/>
      <c r="C94" s="2" t="s">
        <v>51</v>
      </c>
      <c r="D94" s="2" t="s">
        <v>107</v>
      </c>
      <c r="E94" s="2" t="s">
        <v>108</v>
      </c>
      <c r="F94" s="2" t="s">
        <v>42</v>
      </c>
      <c r="G94" s="7" t="s">
        <v>38</v>
      </c>
      <c r="H94" s="2" t="s">
        <v>39</v>
      </c>
      <c r="I94" s="7" t="s">
        <v>38</v>
      </c>
      <c r="J94" s="2" t="s">
        <v>39</v>
      </c>
      <c r="K94" s="7" t="s">
        <v>38</v>
      </c>
      <c r="L94" s="2" t="s">
        <v>39</v>
      </c>
      <c r="M94" s="7" t="s">
        <v>38</v>
      </c>
      <c r="N94" s="2" t="s">
        <v>39</v>
      </c>
      <c r="O94" s="7" t="s">
        <v>38</v>
      </c>
      <c r="P94" s="2" t="s">
        <v>39</v>
      </c>
      <c r="Q94" s="7" t="s">
        <v>38</v>
      </c>
      <c r="R94" s="2" t="s">
        <v>39</v>
      </c>
      <c r="S94" s="7" t="s">
        <v>38</v>
      </c>
      <c r="T94" s="2" t="s">
        <v>39</v>
      </c>
      <c r="U94" s="7" t="s">
        <v>38</v>
      </c>
      <c r="V94" s="2" t="s">
        <v>39</v>
      </c>
      <c r="W94" s="7" t="s">
        <v>38</v>
      </c>
      <c r="X94" s="2" t="s">
        <v>39</v>
      </c>
      <c r="Y94" s="7" t="s">
        <v>38</v>
      </c>
      <c r="Z94" s="2" t="s">
        <v>39</v>
      </c>
    </row>
    <row r="95" spans="1:26">
      <c r="A95" s="100"/>
      <c r="B95" s="100"/>
      <c r="C95" s="2" t="s">
        <v>54</v>
      </c>
      <c r="D95" s="2" t="s">
        <v>55</v>
      </c>
      <c r="E95" s="2" t="s">
        <v>45</v>
      </c>
      <c r="F95" s="2" t="s">
        <v>46</v>
      </c>
      <c r="G95" s="7" t="s">
        <v>38</v>
      </c>
      <c r="H95" s="2" t="s">
        <v>39</v>
      </c>
      <c r="I95" s="7" t="s">
        <v>38</v>
      </c>
      <c r="J95" s="2" t="s">
        <v>39</v>
      </c>
      <c r="K95" s="7" t="s">
        <v>38</v>
      </c>
      <c r="L95" s="2" t="s">
        <v>39</v>
      </c>
      <c r="M95" s="7" t="s">
        <v>38</v>
      </c>
      <c r="N95" s="2" t="s">
        <v>39</v>
      </c>
      <c r="O95" s="7" t="s">
        <v>38</v>
      </c>
      <c r="P95" s="2" t="s">
        <v>39</v>
      </c>
      <c r="Q95" s="7" t="s">
        <v>38</v>
      </c>
      <c r="R95" s="2" t="s">
        <v>39</v>
      </c>
      <c r="S95" s="7" t="s">
        <v>38</v>
      </c>
      <c r="T95" s="2" t="s">
        <v>39</v>
      </c>
      <c r="U95" s="7" t="s">
        <v>38</v>
      </c>
      <c r="V95" s="2" t="s">
        <v>39</v>
      </c>
      <c r="W95" s="7" t="s">
        <v>38</v>
      </c>
      <c r="X95" s="2" t="s">
        <v>39</v>
      </c>
      <c r="Y95" s="7" t="s">
        <v>38</v>
      </c>
      <c r="Z95" s="2" t="s">
        <v>39</v>
      </c>
    </row>
    <row r="96" spans="1:26">
      <c r="A96" s="100"/>
      <c r="B96" s="100"/>
      <c r="C96" s="2" t="s">
        <v>56</v>
      </c>
      <c r="D96" s="2" t="s">
        <v>57</v>
      </c>
      <c r="E96" s="2" t="s">
        <v>58</v>
      </c>
      <c r="F96" s="2" t="s">
        <v>59</v>
      </c>
      <c r="G96" s="7" t="s">
        <v>38</v>
      </c>
      <c r="H96" s="2" t="s">
        <v>39</v>
      </c>
      <c r="I96" s="7" t="s">
        <v>38</v>
      </c>
      <c r="J96" s="2" t="s">
        <v>39</v>
      </c>
      <c r="K96" s="7" t="s">
        <v>38</v>
      </c>
      <c r="L96" s="2" t="s">
        <v>39</v>
      </c>
      <c r="M96" s="7" t="s">
        <v>38</v>
      </c>
      <c r="N96" s="2" t="s">
        <v>39</v>
      </c>
      <c r="O96" s="7" t="s">
        <v>38</v>
      </c>
      <c r="P96" s="2" t="s">
        <v>39</v>
      </c>
      <c r="Q96" s="7" t="s">
        <v>38</v>
      </c>
      <c r="R96" s="2" t="s">
        <v>39</v>
      </c>
      <c r="S96" s="7" t="s">
        <v>38</v>
      </c>
      <c r="T96" s="2" t="s">
        <v>39</v>
      </c>
      <c r="U96" s="7" t="s">
        <v>38</v>
      </c>
      <c r="V96" s="2" t="s">
        <v>39</v>
      </c>
      <c r="W96" s="7" t="s">
        <v>38</v>
      </c>
      <c r="X96" s="2" t="s">
        <v>39</v>
      </c>
      <c r="Y96" s="7" t="s">
        <v>38</v>
      </c>
      <c r="Z96" s="2" t="s">
        <v>39</v>
      </c>
    </row>
    <row r="97" spans="1:26">
      <c r="A97" s="100"/>
      <c r="B97" s="100"/>
      <c r="C97" s="2" t="s">
        <v>60</v>
      </c>
      <c r="D97" s="2" t="s">
        <v>61</v>
      </c>
      <c r="E97" s="2" t="s">
        <v>62</v>
      </c>
      <c r="F97" s="2" t="s">
        <v>63</v>
      </c>
      <c r="G97" s="7" t="s">
        <v>38</v>
      </c>
      <c r="H97" s="2" t="s">
        <v>39</v>
      </c>
      <c r="I97" s="7" t="s">
        <v>38</v>
      </c>
      <c r="J97" s="2" t="s">
        <v>39</v>
      </c>
      <c r="K97" s="7" t="s">
        <v>38</v>
      </c>
      <c r="L97" s="2" t="s">
        <v>39</v>
      </c>
      <c r="M97" s="7" t="s">
        <v>38</v>
      </c>
      <c r="N97" s="2" t="s">
        <v>39</v>
      </c>
      <c r="O97" s="7" t="s">
        <v>38</v>
      </c>
      <c r="P97" s="2" t="s">
        <v>39</v>
      </c>
      <c r="Q97" s="7" t="s">
        <v>38</v>
      </c>
      <c r="R97" s="2" t="s">
        <v>39</v>
      </c>
      <c r="S97" s="7" t="s">
        <v>38</v>
      </c>
      <c r="T97" s="2" t="s">
        <v>39</v>
      </c>
      <c r="U97" s="7" t="s">
        <v>38</v>
      </c>
      <c r="V97" s="2" t="s">
        <v>39</v>
      </c>
      <c r="W97" s="7" t="s">
        <v>38</v>
      </c>
      <c r="X97" s="2" t="s">
        <v>39</v>
      </c>
      <c r="Y97" s="9" t="s">
        <v>95</v>
      </c>
      <c r="Z97" s="10" t="s">
        <v>109</v>
      </c>
    </row>
    <row r="98" spans="1:26">
      <c r="A98" s="100"/>
      <c r="B98" s="100"/>
      <c r="C98" s="2" t="s">
        <v>64</v>
      </c>
      <c r="D98" s="2" t="s">
        <v>65</v>
      </c>
      <c r="E98" s="2" t="s">
        <v>66</v>
      </c>
      <c r="F98" s="2" t="s">
        <v>67</v>
      </c>
      <c r="G98" s="7" t="s">
        <v>38</v>
      </c>
      <c r="H98" s="2" t="s">
        <v>39</v>
      </c>
      <c r="I98" s="7" t="s">
        <v>38</v>
      </c>
      <c r="J98" s="2" t="s">
        <v>39</v>
      </c>
      <c r="K98" s="7" t="s">
        <v>38</v>
      </c>
      <c r="L98" s="2" t="s">
        <v>39</v>
      </c>
      <c r="M98" s="7" t="s">
        <v>38</v>
      </c>
      <c r="N98" s="2" t="s">
        <v>39</v>
      </c>
      <c r="O98" s="7" t="s">
        <v>38</v>
      </c>
      <c r="P98" s="2" t="s">
        <v>39</v>
      </c>
      <c r="Q98" s="7" t="s">
        <v>38</v>
      </c>
      <c r="R98" s="2" t="s">
        <v>39</v>
      </c>
      <c r="S98" s="7" t="s">
        <v>38</v>
      </c>
      <c r="T98" s="2" t="s">
        <v>39</v>
      </c>
      <c r="U98" s="7" t="s">
        <v>38</v>
      </c>
      <c r="V98" s="2" t="s">
        <v>39</v>
      </c>
      <c r="W98" s="7" t="s">
        <v>38</v>
      </c>
      <c r="X98" s="2" t="s">
        <v>39</v>
      </c>
      <c r="Y98" s="7" t="s">
        <v>38</v>
      </c>
      <c r="Z98" s="2" t="s">
        <v>39</v>
      </c>
    </row>
    <row r="100" spans="1:26">
      <c r="A100" s="103" t="s">
        <v>110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1"/>
      <c r="O100" s="101"/>
      <c r="P100" s="101"/>
      <c r="Q100" s="101"/>
      <c r="R100" s="101"/>
      <c r="S100" s="100"/>
      <c r="T100" s="101"/>
      <c r="U100" s="101"/>
      <c r="V100" s="101"/>
      <c r="W100" s="101"/>
      <c r="X100" s="101"/>
      <c r="Y100" s="101"/>
      <c r="Z100" s="101"/>
    </row>
    <row r="101" spans="1:26">
      <c r="A101" s="70" t="s">
        <v>2</v>
      </c>
      <c r="B101" s="70" t="s">
        <v>3</v>
      </c>
      <c r="C101" s="70" t="s">
        <v>4</v>
      </c>
      <c r="D101" s="70" t="s">
        <v>5</v>
      </c>
      <c r="E101" s="70" t="s">
        <v>6</v>
      </c>
      <c r="F101" s="70" t="s">
        <v>7</v>
      </c>
    </row>
    <row r="102" spans="1:26">
      <c r="A102" s="2">
        <v>10</v>
      </c>
      <c r="B102" s="2">
        <v>90</v>
      </c>
      <c r="C102" s="2">
        <f>COUNTIF(G104:Z112,"✓ Sucesso execução")</f>
        <v>86</v>
      </c>
      <c r="D102" s="2">
        <f>COUNTIF(G104:Z112,"⮾Falha real")</f>
        <v>4</v>
      </c>
      <c r="E102" s="3">
        <f>IF(A102=0,"",(C102/9)/A102)</f>
        <v>0.955555555555556</v>
      </c>
    </row>
    <row r="103" spans="1:26">
      <c r="A103" s="102" t="s">
        <v>9</v>
      </c>
      <c r="B103" s="100"/>
      <c r="C103" s="70" t="s">
        <v>10</v>
      </c>
      <c r="D103" s="70" t="s">
        <v>11</v>
      </c>
      <c r="E103" s="70" t="s">
        <v>12</v>
      </c>
      <c r="F103" s="70" t="s">
        <v>13</v>
      </c>
      <c r="G103" s="70" t="s">
        <v>14</v>
      </c>
      <c r="H103" s="70" t="s">
        <v>15</v>
      </c>
      <c r="I103" s="70" t="s">
        <v>16</v>
      </c>
      <c r="J103" s="70" t="s">
        <v>17</v>
      </c>
      <c r="K103" s="70" t="s">
        <v>18</v>
      </c>
      <c r="L103" s="70" t="s">
        <v>19</v>
      </c>
      <c r="M103" s="70" t="s">
        <v>20</v>
      </c>
      <c r="N103" s="70" t="s">
        <v>21</v>
      </c>
      <c r="O103" s="70" t="s">
        <v>22</v>
      </c>
      <c r="P103" s="70" t="s">
        <v>23</v>
      </c>
      <c r="Q103" s="70" t="s">
        <v>24</v>
      </c>
      <c r="R103" s="70" t="s">
        <v>25</v>
      </c>
      <c r="S103" s="70" t="s">
        <v>26</v>
      </c>
      <c r="T103" s="70" t="s">
        <v>27</v>
      </c>
      <c r="U103" s="70" t="s">
        <v>28</v>
      </c>
      <c r="V103" s="70" t="s">
        <v>29</v>
      </c>
      <c r="W103" s="70" t="s">
        <v>30</v>
      </c>
      <c r="X103" s="70" t="s">
        <v>31</v>
      </c>
      <c r="Y103" s="70" t="s">
        <v>32</v>
      </c>
      <c r="Z103" s="70" t="s">
        <v>33</v>
      </c>
    </row>
    <row r="104" spans="1:26">
      <c r="A104" s="100">
        <v>8</v>
      </c>
      <c r="B104" s="100"/>
      <c r="C104" s="2" t="s">
        <v>34</v>
      </c>
      <c r="D104" s="2" t="s">
        <v>111</v>
      </c>
      <c r="E104" s="2" t="s">
        <v>112</v>
      </c>
      <c r="F104" s="2" t="s">
        <v>37</v>
      </c>
      <c r="G104" s="7" t="s">
        <v>38</v>
      </c>
      <c r="H104" s="2" t="s">
        <v>39</v>
      </c>
      <c r="I104" s="7" t="s">
        <v>38</v>
      </c>
      <c r="J104" s="2" t="s">
        <v>39</v>
      </c>
      <c r="K104" s="7" t="s">
        <v>38</v>
      </c>
      <c r="L104" s="2" t="s">
        <v>39</v>
      </c>
      <c r="M104" s="7" t="s">
        <v>38</v>
      </c>
      <c r="N104" s="2" t="s">
        <v>39</v>
      </c>
      <c r="O104" s="7" t="s">
        <v>38</v>
      </c>
      <c r="P104" s="2" t="s">
        <v>39</v>
      </c>
      <c r="Q104" s="7" t="s">
        <v>38</v>
      </c>
      <c r="R104" s="2" t="s">
        <v>39</v>
      </c>
      <c r="S104" s="7" t="s">
        <v>38</v>
      </c>
      <c r="T104" s="2" t="s">
        <v>39</v>
      </c>
      <c r="U104" s="7" t="s">
        <v>38</v>
      </c>
      <c r="V104" s="2" t="s">
        <v>39</v>
      </c>
      <c r="W104" s="7" t="s">
        <v>38</v>
      </c>
      <c r="X104" s="2" t="s">
        <v>39</v>
      </c>
      <c r="Y104" s="7" t="s">
        <v>38</v>
      </c>
      <c r="Z104" s="2" t="s">
        <v>39</v>
      </c>
    </row>
    <row r="105" spans="1:26">
      <c r="A105" s="100"/>
      <c r="B105" s="100"/>
      <c r="C105" s="2" t="s">
        <v>40</v>
      </c>
      <c r="D105" s="2" t="s">
        <v>111</v>
      </c>
      <c r="E105" s="2" t="s">
        <v>113</v>
      </c>
      <c r="F105" s="2" t="s">
        <v>42</v>
      </c>
      <c r="G105" s="7" t="s">
        <v>38</v>
      </c>
      <c r="H105" s="2" t="s">
        <v>39</v>
      </c>
      <c r="I105" s="7" t="s">
        <v>38</v>
      </c>
      <c r="J105" s="2" t="s">
        <v>39</v>
      </c>
      <c r="K105" s="7" t="s">
        <v>38</v>
      </c>
      <c r="L105" s="2" t="s">
        <v>39</v>
      </c>
      <c r="M105" s="7" t="s">
        <v>38</v>
      </c>
      <c r="N105" s="2" t="s">
        <v>39</v>
      </c>
      <c r="O105" s="7" t="s">
        <v>38</v>
      </c>
      <c r="P105" s="2" t="s">
        <v>39</v>
      </c>
      <c r="Q105" s="7" t="s">
        <v>38</v>
      </c>
      <c r="R105" s="2" t="s">
        <v>39</v>
      </c>
      <c r="S105" s="7" t="s">
        <v>38</v>
      </c>
      <c r="T105" s="2" t="s">
        <v>39</v>
      </c>
      <c r="U105" s="7" t="s">
        <v>38</v>
      </c>
      <c r="V105" s="2" t="s">
        <v>39</v>
      </c>
      <c r="W105" s="7" t="s">
        <v>38</v>
      </c>
      <c r="X105" s="2" t="s">
        <v>39</v>
      </c>
      <c r="Y105" s="7" t="s">
        <v>38</v>
      </c>
      <c r="Z105" s="2" t="s">
        <v>39</v>
      </c>
    </row>
    <row r="106" spans="1:26">
      <c r="A106" s="100"/>
      <c r="B106" s="100"/>
      <c r="C106" s="2" t="s">
        <v>43</v>
      </c>
      <c r="D106" s="2" t="s">
        <v>44</v>
      </c>
      <c r="E106" s="2" t="s">
        <v>45</v>
      </c>
      <c r="F106" s="2" t="s">
        <v>46</v>
      </c>
      <c r="G106" s="7" t="s">
        <v>38</v>
      </c>
      <c r="H106" s="2" t="s">
        <v>39</v>
      </c>
      <c r="I106" s="7" t="s">
        <v>38</v>
      </c>
      <c r="J106" s="2" t="s">
        <v>39</v>
      </c>
      <c r="K106" s="9" t="s">
        <v>95</v>
      </c>
      <c r="L106" s="10" t="s">
        <v>114</v>
      </c>
      <c r="M106" s="7" t="s">
        <v>38</v>
      </c>
      <c r="N106" s="2" t="s">
        <v>39</v>
      </c>
      <c r="O106" s="9" t="s">
        <v>95</v>
      </c>
      <c r="P106" s="10" t="s">
        <v>114</v>
      </c>
      <c r="Q106" s="7" t="s">
        <v>38</v>
      </c>
      <c r="R106" s="2" t="s">
        <v>39</v>
      </c>
      <c r="S106" s="9" t="s">
        <v>95</v>
      </c>
      <c r="T106" s="10" t="s">
        <v>114</v>
      </c>
      <c r="U106" s="7" t="s">
        <v>38</v>
      </c>
      <c r="V106" s="2" t="s">
        <v>39</v>
      </c>
      <c r="W106" s="9" t="s">
        <v>95</v>
      </c>
      <c r="X106" s="10" t="s">
        <v>114</v>
      </c>
      <c r="Y106" s="7" t="s">
        <v>38</v>
      </c>
      <c r="Z106" s="2" t="s">
        <v>39</v>
      </c>
    </row>
    <row r="107" spans="1:26">
      <c r="A107" s="100"/>
      <c r="B107" s="100"/>
      <c r="C107" s="2" t="s">
        <v>47</v>
      </c>
      <c r="D107" s="2" t="s">
        <v>48</v>
      </c>
      <c r="E107" s="2" t="s">
        <v>49</v>
      </c>
      <c r="F107" s="2" t="s">
        <v>50</v>
      </c>
      <c r="G107" s="7" t="s">
        <v>38</v>
      </c>
      <c r="H107" s="2" t="s">
        <v>39</v>
      </c>
      <c r="I107" s="7" t="s">
        <v>38</v>
      </c>
      <c r="J107" s="2" t="s">
        <v>39</v>
      </c>
      <c r="K107" s="7" t="s">
        <v>38</v>
      </c>
      <c r="L107" s="2" t="s">
        <v>39</v>
      </c>
      <c r="M107" s="7" t="s">
        <v>38</v>
      </c>
      <c r="N107" s="2" t="s">
        <v>39</v>
      </c>
      <c r="O107" s="7" t="s">
        <v>38</v>
      </c>
      <c r="P107" s="2" t="s">
        <v>39</v>
      </c>
      <c r="Q107" s="7" t="s">
        <v>38</v>
      </c>
      <c r="R107" s="2" t="s">
        <v>39</v>
      </c>
      <c r="S107" s="7" t="s">
        <v>38</v>
      </c>
      <c r="T107" s="2" t="s">
        <v>39</v>
      </c>
      <c r="U107" s="7" t="s">
        <v>38</v>
      </c>
      <c r="V107" s="2" t="s">
        <v>39</v>
      </c>
      <c r="W107" s="7" t="s">
        <v>38</v>
      </c>
      <c r="X107" s="2" t="s">
        <v>39</v>
      </c>
      <c r="Y107" s="7" t="s">
        <v>38</v>
      </c>
      <c r="Z107" s="2" t="s">
        <v>39</v>
      </c>
    </row>
    <row r="108" spans="1:26">
      <c r="A108" s="100"/>
      <c r="B108" s="100"/>
      <c r="C108" s="2" t="s">
        <v>51</v>
      </c>
      <c r="D108" s="2" t="s">
        <v>115</v>
      </c>
      <c r="E108" s="2" t="s">
        <v>116</v>
      </c>
      <c r="F108" s="2" t="s">
        <v>42</v>
      </c>
      <c r="G108" s="7" t="s">
        <v>38</v>
      </c>
      <c r="H108" s="2" t="s">
        <v>39</v>
      </c>
      <c r="I108" s="7" t="s">
        <v>38</v>
      </c>
      <c r="J108" s="2" t="s">
        <v>39</v>
      </c>
      <c r="K108" s="7" t="s">
        <v>38</v>
      </c>
      <c r="L108" s="2" t="s">
        <v>39</v>
      </c>
      <c r="M108" s="7" t="s">
        <v>38</v>
      </c>
      <c r="N108" s="2" t="s">
        <v>39</v>
      </c>
      <c r="O108" s="7" t="s">
        <v>38</v>
      </c>
      <c r="P108" s="2" t="s">
        <v>39</v>
      </c>
      <c r="Q108" s="7" t="s">
        <v>38</v>
      </c>
      <c r="R108" s="2" t="s">
        <v>39</v>
      </c>
      <c r="S108" s="7" t="s">
        <v>38</v>
      </c>
      <c r="T108" s="2" t="s">
        <v>39</v>
      </c>
      <c r="U108" s="7" t="s">
        <v>38</v>
      </c>
      <c r="V108" s="2" t="s">
        <v>39</v>
      </c>
      <c r="W108" s="7" t="s">
        <v>38</v>
      </c>
      <c r="X108" s="2" t="s">
        <v>39</v>
      </c>
      <c r="Y108" s="7" t="s">
        <v>38</v>
      </c>
      <c r="Z108" s="2" t="s">
        <v>39</v>
      </c>
    </row>
    <row r="109" spans="1:26">
      <c r="A109" s="100"/>
      <c r="B109" s="100"/>
      <c r="C109" s="2" t="s">
        <v>54</v>
      </c>
      <c r="D109" s="2" t="s">
        <v>55</v>
      </c>
      <c r="E109" s="2" t="s">
        <v>45</v>
      </c>
      <c r="F109" s="2" t="s">
        <v>46</v>
      </c>
      <c r="G109" s="7" t="s">
        <v>38</v>
      </c>
      <c r="H109" s="2" t="s">
        <v>39</v>
      </c>
      <c r="I109" s="7" t="s">
        <v>38</v>
      </c>
      <c r="J109" s="2" t="s">
        <v>39</v>
      </c>
      <c r="K109" s="7" t="s">
        <v>38</v>
      </c>
      <c r="L109" s="2" t="s">
        <v>39</v>
      </c>
      <c r="M109" s="7" t="s">
        <v>38</v>
      </c>
      <c r="N109" s="2" t="s">
        <v>39</v>
      </c>
      <c r="O109" s="7" t="s">
        <v>38</v>
      </c>
      <c r="P109" s="2" t="s">
        <v>39</v>
      </c>
      <c r="Q109" s="7" t="s">
        <v>38</v>
      </c>
      <c r="R109" s="2" t="s">
        <v>39</v>
      </c>
      <c r="S109" s="7" t="s">
        <v>38</v>
      </c>
      <c r="T109" s="2" t="s">
        <v>39</v>
      </c>
      <c r="U109" s="7" t="s">
        <v>38</v>
      </c>
      <c r="V109" s="2" t="s">
        <v>39</v>
      </c>
      <c r="W109" s="7" t="s">
        <v>38</v>
      </c>
      <c r="X109" s="2" t="s">
        <v>39</v>
      </c>
      <c r="Y109" s="7" t="s">
        <v>38</v>
      </c>
      <c r="Z109" s="2" t="s">
        <v>39</v>
      </c>
    </row>
    <row r="110" spans="1:26">
      <c r="A110" s="100"/>
      <c r="B110" s="100"/>
      <c r="C110" s="2" t="s">
        <v>56</v>
      </c>
      <c r="D110" s="2" t="s">
        <v>57</v>
      </c>
      <c r="E110" s="2" t="s">
        <v>58</v>
      </c>
      <c r="F110" s="2" t="s">
        <v>59</v>
      </c>
      <c r="G110" s="7" t="s">
        <v>38</v>
      </c>
      <c r="H110" s="2" t="s">
        <v>39</v>
      </c>
      <c r="I110" s="7" t="s">
        <v>38</v>
      </c>
      <c r="J110" s="2" t="s">
        <v>39</v>
      </c>
      <c r="K110" s="7" t="s">
        <v>38</v>
      </c>
      <c r="L110" s="2" t="s">
        <v>39</v>
      </c>
      <c r="M110" s="7" t="s">
        <v>38</v>
      </c>
      <c r="N110" s="2" t="s">
        <v>39</v>
      </c>
      <c r="O110" s="7" t="s">
        <v>38</v>
      </c>
      <c r="P110" s="2" t="s">
        <v>39</v>
      </c>
      <c r="Q110" s="7" t="s">
        <v>38</v>
      </c>
      <c r="R110" s="2" t="s">
        <v>39</v>
      </c>
      <c r="S110" s="7" t="s">
        <v>38</v>
      </c>
      <c r="T110" s="2" t="s">
        <v>39</v>
      </c>
      <c r="U110" s="7" t="s">
        <v>38</v>
      </c>
      <c r="V110" s="2" t="s">
        <v>39</v>
      </c>
      <c r="W110" s="7" t="s">
        <v>38</v>
      </c>
      <c r="X110" s="2" t="s">
        <v>39</v>
      </c>
      <c r="Y110" s="7" t="s">
        <v>38</v>
      </c>
      <c r="Z110" s="2" t="s">
        <v>39</v>
      </c>
    </row>
    <row r="111" spans="1:26">
      <c r="A111" s="100"/>
      <c r="B111" s="100"/>
      <c r="C111" s="2" t="s">
        <v>60</v>
      </c>
      <c r="D111" s="2" t="s">
        <v>61</v>
      </c>
      <c r="E111" s="2" t="s">
        <v>62</v>
      </c>
      <c r="F111" s="2" t="s">
        <v>63</v>
      </c>
      <c r="G111" s="7" t="s">
        <v>38</v>
      </c>
      <c r="H111" s="2" t="s">
        <v>39</v>
      </c>
      <c r="I111" s="7" t="s">
        <v>38</v>
      </c>
      <c r="J111" s="2" t="s">
        <v>39</v>
      </c>
      <c r="K111" s="7" t="s">
        <v>38</v>
      </c>
      <c r="L111" s="2" t="s">
        <v>39</v>
      </c>
      <c r="M111" s="7" t="s">
        <v>38</v>
      </c>
      <c r="N111" s="2" t="s">
        <v>39</v>
      </c>
      <c r="O111" s="7" t="s">
        <v>38</v>
      </c>
      <c r="P111" s="2" t="s">
        <v>39</v>
      </c>
      <c r="Q111" s="7" t="s">
        <v>38</v>
      </c>
      <c r="R111" s="2" t="s">
        <v>39</v>
      </c>
      <c r="S111" s="7" t="s">
        <v>38</v>
      </c>
      <c r="T111" s="2" t="s">
        <v>39</v>
      </c>
      <c r="U111" s="7" t="s">
        <v>38</v>
      </c>
      <c r="V111" s="2" t="s">
        <v>39</v>
      </c>
      <c r="W111" s="7" t="s">
        <v>38</v>
      </c>
      <c r="X111" s="2" t="s">
        <v>39</v>
      </c>
      <c r="Y111" s="7" t="s">
        <v>38</v>
      </c>
      <c r="Z111" s="2" t="s">
        <v>39</v>
      </c>
    </row>
    <row r="112" spans="1:26">
      <c r="A112" s="100"/>
      <c r="B112" s="100"/>
      <c r="C112" s="2" t="s">
        <v>64</v>
      </c>
      <c r="D112" s="2" t="s">
        <v>65</v>
      </c>
      <c r="E112" s="2" t="s">
        <v>66</v>
      </c>
      <c r="F112" s="2" t="s">
        <v>67</v>
      </c>
      <c r="G112" s="7" t="s">
        <v>38</v>
      </c>
      <c r="H112" s="2" t="s">
        <v>39</v>
      </c>
      <c r="I112" s="7" t="s">
        <v>38</v>
      </c>
      <c r="J112" s="2" t="s">
        <v>39</v>
      </c>
      <c r="K112" s="7" t="s">
        <v>38</v>
      </c>
      <c r="L112" s="2" t="s">
        <v>39</v>
      </c>
      <c r="M112" s="7" t="s">
        <v>38</v>
      </c>
      <c r="N112" s="2" t="s">
        <v>39</v>
      </c>
      <c r="O112" s="7" t="s">
        <v>38</v>
      </c>
      <c r="P112" s="2" t="s">
        <v>39</v>
      </c>
      <c r="Q112" s="7" t="s">
        <v>38</v>
      </c>
      <c r="R112" s="2" t="s">
        <v>39</v>
      </c>
      <c r="S112" s="7" t="s">
        <v>38</v>
      </c>
      <c r="T112" s="2" t="s">
        <v>39</v>
      </c>
      <c r="U112" s="7" t="s">
        <v>38</v>
      </c>
      <c r="V112" s="2" t="s">
        <v>39</v>
      </c>
      <c r="W112" s="7" t="s">
        <v>38</v>
      </c>
      <c r="X112" s="2" t="s">
        <v>39</v>
      </c>
      <c r="Y112" s="7" t="s">
        <v>38</v>
      </c>
      <c r="Z112" s="2" t="s">
        <v>39</v>
      </c>
    </row>
    <row r="114" spans="1:26">
      <c r="A114" s="103" t="s">
        <v>117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1"/>
      <c r="O114" s="101"/>
      <c r="P114" s="101"/>
      <c r="Q114" s="101"/>
      <c r="R114" s="101"/>
      <c r="S114" s="100"/>
      <c r="T114" s="101"/>
      <c r="U114" s="101"/>
      <c r="V114" s="101"/>
      <c r="W114" s="101"/>
      <c r="X114" s="101"/>
      <c r="Y114" s="101"/>
      <c r="Z114" s="101"/>
    </row>
    <row r="115" spans="1:26">
      <c r="A115" s="70" t="s">
        <v>2</v>
      </c>
      <c r="B115" s="70" t="s">
        <v>3</v>
      </c>
      <c r="C115" s="70" t="s">
        <v>4</v>
      </c>
      <c r="D115" s="70" t="s">
        <v>5</v>
      </c>
      <c r="E115" s="70" t="s">
        <v>6</v>
      </c>
      <c r="F115" s="70" t="s">
        <v>7</v>
      </c>
    </row>
    <row r="116" spans="1:26">
      <c r="A116" s="2">
        <v>10</v>
      </c>
      <c r="B116" s="2">
        <v>90</v>
      </c>
      <c r="C116" s="2">
        <f>COUNTIF(G118:Z126,"✓ Sucesso execução")</f>
        <v>90</v>
      </c>
      <c r="D116" s="2">
        <f>COUNTIF(G118:Z126,"⮾Falha real")</f>
        <v>0</v>
      </c>
      <c r="E116" s="3">
        <f>IF(A116=0,"",(C116/9)/A116)</f>
        <v>1</v>
      </c>
    </row>
    <row r="117" spans="1:26">
      <c r="A117" s="102" t="s">
        <v>9</v>
      </c>
      <c r="B117" s="100"/>
      <c r="C117" s="70" t="s">
        <v>10</v>
      </c>
      <c r="D117" s="70" t="s">
        <v>11</v>
      </c>
      <c r="E117" s="70" t="s">
        <v>12</v>
      </c>
      <c r="F117" s="70" t="s">
        <v>13</v>
      </c>
      <c r="G117" s="70" t="s">
        <v>14</v>
      </c>
      <c r="H117" s="70" t="s">
        <v>15</v>
      </c>
      <c r="I117" s="70" t="s">
        <v>16</v>
      </c>
      <c r="J117" s="70" t="s">
        <v>17</v>
      </c>
      <c r="K117" s="70" t="s">
        <v>18</v>
      </c>
      <c r="L117" s="70" t="s">
        <v>19</v>
      </c>
      <c r="M117" s="70" t="s">
        <v>20</v>
      </c>
      <c r="N117" s="70" t="s">
        <v>21</v>
      </c>
      <c r="O117" s="70" t="s">
        <v>22</v>
      </c>
      <c r="P117" s="70" t="s">
        <v>23</v>
      </c>
      <c r="Q117" s="70" t="s">
        <v>24</v>
      </c>
      <c r="R117" s="70" t="s">
        <v>25</v>
      </c>
      <c r="S117" s="70" t="s">
        <v>26</v>
      </c>
      <c r="T117" s="70" t="s">
        <v>27</v>
      </c>
      <c r="U117" s="70" t="s">
        <v>28</v>
      </c>
      <c r="V117" s="70" t="s">
        <v>29</v>
      </c>
      <c r="W117" s="70" t="s">
        <v>30</v>
      </c>
      <c r="X117" s="70" t="s">
        <v>31</v>
      </c>
      <c r="Y117" s="70" t="s">
        <v>32</v>
      </c>
      <c r="Z117" s="70" t="s">
        <v>33</v>
      </c>
    </row>
    <row r="118" spans="1:26">
      <c r="A118" s="100">
        <v>9</v>
      </c>
      <c r="B118" s="100"/>
      <c r="C118" s="2" t="s">
        <v>34</v>
      </c>
      <c r="D118" s="2" t="s">
        <v>98</v>
      </c>
      <c r="E118" s="2" t="s">
        <v>99</v>
      </c>
      <c r="F118" s="2" t="s">
        <v>37</v>
      </c>
      <c r="G118" s="7" t="s">
        <v>38</v>
      </c>
      <c r="H118" s="2" t="s">
        <v>39</v>
      </c>
      <c r="I118" s="7" t="s">
        <v>38</v>
      </c>
      <c r="J118" s="2" t="s">
        <v>39</v>
      </c>
      <c r="K118" s="7" t="s">
        <v>38</v>
      </c>
      <c r="L118" s="2" t="s">
        <v>39</v>
      </c>
      <c r="M118" s="7" t="s">
        <v>38</v>
      </c>
      <c r="N118" s="2" t="s">
        <v>39</v>
      </c>
      <c r="O118" s="7" t="s">
        <v>38</v>
      </c>
      <c r="P118" s="2" t="s">
        <v>39</v>
      </c>
      <c r="Q118" s="7" t="s">
        <v>38</v>
      </c>
      <c r="R118" s="2" t="s">
        <v>39</v>
      </c>
      <c r="S118" s="7" t="s">
        <v>38</v>
      </c>
      <c r="T118" s="2" t="s">
        <v>39</v>
      </c>
      <c r="U118" s="7" t="s">
        <v>38</v>
      </c>
      <c r="V118" s="2" t="s">
        <v>39</v>
      </c>
      <c r="W118" s="7" t="s">
        <v>38</v>
      </c>
      <c r="X118" s="2" t="s">
        <v>39</v>
      </c>
      <c r="Y118" s="7" t="s">
        <v>38</v>
      </c>
      <c r="Z118" s="2" t="s">
        <v>39</v>
      </c>
    </row>
    <row r="119" spans="1:26">
      <c r="A119" s="100"/>
      <c r="B119" s="100"/>
      <c r="C119" s="2" t="s">
        <v>40</v>
      </c>
      <c r="D119" s="2" t="s">
        <v>98</v>
      </c>
      <c r="E119" s="2" t="s">
        <v>100</v>
      </c>
      <c r="F119" s="2" t="s">
        <v>42</v>
      </c>
      <c r="G119" s="7" t="s">
        <v>38</v>
      </c>
      <c r="H119" s="2" t="s">
        <v>39</v>
      </c>
      <c r="I119" s="7" t="s">
        <v>38</v>
      </c>
      <c r="J119" s="2" t="s">
        <v>39</v>
      </c>
      <c r="K119" s="7" t="s">
        <v>38</v>
      </c>
      <c r="L119" s="2" t="s">
        <v>39</v>
      </c>
      <c r="M119" s="7" t="s">
        <v>38</v>
      </c>
      <c r="N119" s="2" t="s">
        <v>39</v>
      </c>
      <c r="O119" s="7" t="s">
        <v>38</v>
      </c>
      <c r="P119" s="2" t="s">
        <v>39</v>
      </c>
      <c r="Q119" s="7" t="s">
        <v>38</v>
      </c>
      <c r="R119" s="2" t="s">
        <v>39</v>
      </c>
      <c r="S119" s="7" t="s">
        <v>38</v>
      </c>
      <c r="T119" s="2" t="s">
        <v>39</v>
      </c>
      <c r="U119" s="7" t="s">
        <v>38</v>
      </c>
      <c r="V119" s="2" t="s">
        <v>39</v>
      </c>
      <c r="W119" s="7" t="s">
        <v>38</v>
      </c>
      <c r="X119" s="2" t="s">
        <v>39</v>
      </c>
      <c r="Y119" s="7" t="s">
        <v>38</v>
      </c>
      <c r="Z119" s="2" t="s">
        <v>39</v>
      </c>
    </row>
    <row r="120" spans="1:26">
      <c r="A120" s="100"/>
      <c r="B120" s="100"/>
      <c r="C120" s="2" t="s">
        <v>43</v>
      </c>
      <c r="D120" s="2" t="s">
        <v>44</v>
      </c>
      <c r="E120" s="2" t="s">
        <v>45</v>
      </c>
      <c r="F120" s="2" t="s">
        <v>46</v>
      </c>
      <c r="G120" s="7" t="s">
        <v>38</v>
      </c>
      <c r="H120" s="2" t="s">
        <v>39</v>
      </c>
      <c r="I120" s="7" t="s">
        <v>38</v>
      </c>
      <c r="J120" s="2" t="s">
        <v>39</v>
      </c>
      <c r="K120" s="7" t="s">
        <v>38</v>
      </c>
      <c r="L120" s="2" t="s">
        <v>39</v>
      </c>
      <c r="M120" s="7" t="s">
        <v>38</v>
      </c>
      <c r="N120" s="2" t="s">
        <v>39</v>
      </c>
      <c r="O120" s="7" t="s">
        <v>38</v>
      </c>
      <c r="P120" s="2" t="s">
        <v>39</v>
      </c>
      <c r="Q120" s="7" t="s">
        <v>38</v>
      </c>
      <c r="R120" s="2" t="s">
        <v>39</v>
      </c>
      <c r="S120" s="7" t="s">
        <v>38</v>
      </c>
      <c r="T120" s="2" t="s">
        <v>39</v>
      </c>
      <c r="U120" s="7" t="s">
        <v>38</v>
      </c>
      <c r="V120" s="2" t="s">
        <v>39</v>
      </c>
      <c r="W120" s="7" t="s">
        <v>38</v>
      </c>
      <c r="X120" s="2" t="s">
        <v>39</v>
      </c>
      <c r="Y120" s="7" t="s">
        <v>38</v>
      </c>
      <c r="Z120" s="2" t="s">
        <v>39</v>
      </c>
    </row>
    <row r="121" spans="1:26">
      <c r="A121" s="100"/>
      <c r="B121" s="100"/>
      <c r="C121" s="2" t="s">
        <v>47</v>
      </c>
      <c r="D121" s="2" t="s">
        <v>48</v>
      </c>
      <c r="E121" s="2" t="s">
        <v>49</v>
      </c>
      <c r="F121" s="2" t="s">
        <v>50</v>
      </c>
      <c r="G121" s="7" t="s">
        <v>38</v>
      </c>
      <c r="H121" s="2" t="s">
        <v>39</v>
      </c>
      <c r="I121" s="7" t="s">
        <v>38</v>
      </c>
      <c r="J121" s="2" t="s">
        <v>39</v>
      </c>
      <c r="K121" s="7" t="s">
        <v>38</v>
      </c>
      <c r="L121" s="2" t="s">
        <v>39</v>
      </c>
      <c r="M121" s="7" t="s">
        <v>38</v>
      </c>
      <c r="N121" s="2" t="s">
        <v>39</v>
      </c>
      <c r="O121" s="7" t="s">
        <v>38</v>
      </c>
      <c r="P121" s="2" t="s">
        <v>39</v>
      </c>
      <c r="Q121" s="7" t="s">
        <v>38</v>
      </c>
      <c r="R121" s="2" t="s">
        <v>39</v>
      </c>
      <c r="S121" s="7" t="s">
        <v>38</v>
      </c>
      <c r="T121" s="2" t="s">
        <v>39</v>
      </c>
      <c r="U121" s="7" t="s">
        <v>38</v>
      </c>
      <c r="V121" s="2" t="s">
        <v>39</v>
      </c>
      <c r="W121" s="7" t="s">
        <v>38</v>
      </c>
      <c r="X121" s="2" t="s">
        <v>39</v>
      </c>
      <c r="Y121" s="7" t="s">
        <v>38</v>
      </c>
      <c r="Z121" s="2" t="s">
        <v>39</v>
      </c>
    </row>
    <row r="122" spans="1:26">
      <c r="A122" s="100"/>
      <c r="B122" s="100"/>
      <c r="C122" s="2" t="s">
        <v>51</v>
      </c>
      <c r="D122" s="2" t="s">
        <v>118</v>
      </c>
      <c r="E122" s="2" t="s">
        <v>119</v>
      </c>
      <c r="F122" s="2" t="s">
        <v>42</v>
      </c>
      <c r="G122" s="7" t="s">
        <v>38</v>
      </c>
      <c r="H122" s="2" t="s">
        <v>39</v>
      </c>
      <c r="I122" s="7" t="s">
        <v>38</v>
      </c>
      <c r="J122" s="2" t="s">
        <v>39</v>
      </c>
      <c r="K122" s="7" t="s">
        <v>38</v>
      </c>
      <c r="L122" s="2" t="s">
        <v>39</v>
      </c>
      <c r="M122" s="7" t="s">
        <v>38</v>
      </c>
      <c r="N122" s="2" t="s">
        <v>39</v>
      </c>
      <c r="O122" s="7" t="s">
        <v>38</v>
      </c>
      <c r="P122" s="2" t="s">
        <v>39</v>
      </c>
      <c r="Q122" s="7" t="s">
        <v>38</v>
      </c>
      <c r="R122" s="2" t="s">
        <v>39</v>
      </c>
      <c r="S122" s="7" t="s">
        <v>38</v>
      </c>
      <c r="T122" s="2" t="s">
        <v>39</v>
      </c>
      <c r="U122" s="7" t="s">
        <v>38</v>
      </c>
      <c r="V122" s="2" t="s">
        <v>39</v>
      </c>
      <c r="W122" s="7" t="s">
        <v>38</v>
      </c>
      <c r="X122" s="2" t="s">
        <v>39</v>
      </c>
      <c r="Y122" s="7" t="s">
        <v>38</v>
      </c>
      <c r="Z122" s="2" t="s">
        <v>39</v>
      </c>
    </row>
    <row r="123" spans="1:26">
      <c r="A123" s="100"/>
      <c r="B123" s="100"/>
      <c r="C123" s="2" t="s">
        <v>54</v>
      </c>
      <c r="D123" s="2" t="s">
        <v>55</v>
      </c>
      <c r="E123" s="2" t="s">
        <v>45</v>
      </c>
      <c r="F123" s="2" t="s">
        <v>46</v>
      </c>
      <c r="G123" s="7" t="s">
        <v>38</v>
      </c>
      <c r="H123" s="2" t="s">
        <v>39</v>
      </c>
      <c r="I123" s="7" t="s">
        <v>38</v>
      </c>
      <c r="J123" s="2" t="s">
        <v>39</v>
      </c>
      <c r="K123" s="7" t="s">
        <v>38</v>
      </c>
      <c r="L123" s="2" t="s">
        <v>39</v>
      </c>
      <c r="M123" s="7" t="s">
        <v>38</v>
      </c>
      <c r="N123" s="2" t="s">
        <v>39</v>
      </c>
      <c r="O123" s="7" t="s">
        <v>38</v>
      </c>
      <c r="P123" s="2" t="s">
        <v>39</v>
      </c>
      <c r="Q123" s="7" t="s">
        <v>38</v>
      </c>
      <c r="R123" s="2" t="s">
        <v>39</v>
      </c>
      <c r="S123" s="7" t="s">
        <v>38</v>
      </c>
      <c r="T123" s="2" t="s">
        <v>39</v>
      </c>
      <c r="U123" s="7" t="s">
        <v>38</v>
      </c>
      <c r="V123" s="2" t="s">
        <v>39</v>
      </c>
      <c r="W123" s="7" t="s">
        <v>38</v>
      </c>
      <c r="X123" s="2" t="s">
        <v>39</v>
      </c>
      <c r="Y123" s="7" t="s">
        <v>38</v>
      </c>
      <c r="Z123" s="2" t="s">
        <v>39</v>
      </c>
    </row>
    <row r="124" spans="1:26">
      <c r="A124" s="100"/>
      <c r="B124" s="100"/>
      <c r="C124" s="2" t="s">
        <v>56</v>
      </c>
      <c r="D124" s="2" t="s">
        <v>57</v>
      </c>
      <c r="E124" s="2" t="s">
        <v>58</v>
      </c>
      <c r="F124" s="2" t="s">
        <v>59</v>
      </c>
      <c r="G124" s="7" t="s">
        <v>38</v>
      </c>
      <c r="H124" s="2" t="s">
        <v>39</v>
      </c>
      <c r="I124" s="7" t="s">
        <v>38</v>
      </c>
      <c r="J124" s="2" t="s">
        <v>39</v>
      </c>
      <c r="K124" s="7" t="s">
        <v>38</v>
      </c>
      <c r="L124" s="2" t="s">
        <v>39</v>
      </c>
      <c r="M124" s="7" t="s">
        <v>38</v>
      </c>
      <c r="N124" s="2" t="s">
        <v>39</v>
      </c>
      <c r="O124" s="7" t="s">
        <v>38</v>
      </c>
      <c r="P124" s="2" t="s">
        <v>39</v>
      </c>
      <c r="Q124" s="7" t="s">
        <v>38</v>
      </c>
      <c r="R124" s="2" t="s">
        <v>39</v>
      </c>
      <c r="S124" s="7" t="s">
        <v>38</v>
      </c>
      <c r="T124" s="2" t="s">
        <v>39</v>
      </c>
      <c r="U124" s="7" t="s">
        <v>38</v>
      </c>
      <c r="V124" s="2" t="s">
        <v>39</v>
      </c>
      <c r="W124" s="7" t="s">
        <v>38</v>
      </c>
      <c r="X124" s="2" t="s">
        <v>39</v>
      </c>
      <c r="Y124" s="7" t="s">
        <v>38</v>
      </c>
      <c r="Z124" s="2" t="s">
        <v>39</v>
      </c>
    </row>
    <row r="125" spans="1:26">
      <c r="A125" s="100"/>
      <c r="B125" s="100"/>
      <c r="C125" s="2" t="s">
        <v>60</v>
      </c>
      <c r="D125" s="2" t="s">
        <v>61</v>
      </c>
      <c r="E125" s="2" t="s">
        <v>62</v>
      </c>
      <c r="F125" s="2" t="s">
        <v>63</v>
      </c>
      <c r="G125" s="7" t="s">
        <v>38</v>
      </c>
      <c r="H125" s="2" t="s">
        <v>39</v>
      </c>
      <c r="I125" s="7" t="s">
        <v>38</v>
      </c>
      <c r="J125" s="2" t="s">
        <v>39</v>
      </c>
      <c r="K125" s="7" t="s">
        <v>38</v>
      </c>
      <c r="L125" s="2" t="s">
        <v>39</v>
      </c>
      <c r="M125" s="7" t="s">
        <v>38</v>
      </c>
      <c r="N125" s="2" t="s">
        <v>39</v>
      </c>
      <c r="O125" s="7" t="s">
        <v>38</v>
      </c>
      <c r="P125" s="2" t="s">
        <v>39</v>
      </c>
      <c r="Q125" s="7" t="s">
        <v>38</v>
      </c>
      <c r="R125" s="2" t="s">
        <v>39</v>
      </c>
      <c r="S125" s="7" t="s">
        <v>38</v>
      </c>
      <c r="T125" s="2" t="s">
        <v>39</v>
      </c>
      <c r="U125" s="7" t="s">
        <v>38</v>
      </c>
      <c r="V125" s="2" t="s">
        <v>39</v>
      </c>
      <c r="W125" s="7" t="s">
        <v>38</v>
      </c>
      <c r="X125" s="2" t="s">
        <v>39</v>
      </c>
      <c r="Y125" s="7" t="s">
        <v>38</v>
      </c>
      <c r="Z125" s="2" t="s">
        <v>39</v>
      </c>
    </row>
    <row r="126" spans="1:26">
      <c r="A126" s="100"/>
      <c r="B126" s="100"/>
      <c r="C126" s="2" t="s">
        <v>64</v>
      </c>
      <c r="D126" s="2" t="s">
        <v>65</v>
      </c>
      <c r="E126" s="2" t="s">
        <v>66</v>
      </c>
      <c r="F126" s="2" t="s">
        <v>67</v>
      </c>
      <c r="G126" s="7" t="s">
        <v>38</v>
      </c>
      <c r="H126" s="2" t="s">
        <v>39</v>
      </c>
      <c r="I126" s="7" t="s">
        <v>38</v>
      </c>
      <c r="J126" s="2" t="s">
        <v>39</v>
      </c>
      <c r="K126" s="7" t="s">
        <v>38</v>
      </c>
      <c r="L126" s="2" t="s">
        <v>39</v>
      </c>
      <c r="M126" s="7" t="s">
        <v>38</v>
      </c>
      <c r="N126" s="2" t="s">
        <v>39</v>
      </c>
      <c r="O126" s="7" t="s">
        <v>38</v>
      </c>
      <c r="P126" s="2" t="s">
        <v>39</v>
      </c>
      <c r="Q126" s="7" t="s">
        <v>38</v>
      </c>
      <c r="R126" s="2" t="s">
        <v>39</v>
      </c>
      <c r="S126" s="7" t="s">
        <v>38</v>
      </c>
      <c r="T126" s="2" t="s">
        <v>39</v>
      </c>
      <c r="U126" s="7" t="s">
        <v>38</v>
      </c>
      <c r="V126" s="2" t="s">
        <v>39</v>
      </c>
      <c r="W126" s="7" t="s">
        <v>38</v>
      </c>
      <c r="X126" s="2" t="s">
        <v>39</v>
      </c>
      <c r="Y126" s="7" t="s">
        <v>38</v>
      </c>
      <c r="Z126" s="2" t="s">
        <v>39</v>
      </c>
    </row>
    <row r="128" spans="1:26">
      <c r="A128" s="103" t="s">
        <v>120</v>
      </c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1"/>
      <c r="O128" s="101"/>
      <c r="P128" s="101"/>
      <c r="Q128" s="101"/>
      <c r="R128" s="101"/>
      <c r="S128" s="100"/>
      <c r="T128" s="101"/>
      <c r="U128" s="101"/>
      <c r="V128" s="101"/>
      <c r="W128" s="101"/>
      <c r="X128" s="101"/>
      <c r="Y128" s="101"/>
      <c r="Z128" s="101"/>
    </row>
    <row r="129" spans="1:26">
      <c r="A129" s="70" t="s">
        <v>2</v>
      </c>
      <c r="B129" s="70" t="s">
        <v>3</v>
      </c>
      <c r="C129" s="70" t="s">
        <v>4</v>
      </c>
      <c r="D129" s="70" t="s">
        <v>5</v>
      </c>
      <c r="E129" s="70" t="s">
        <v>6</v>
      </c>
      <c r="F129" s="70" t="s">
        <v>7</v>
      </c>
    </row>
    <row r="130" spans="1:26">
      <c r="A130" s="2">
        <v>10</v>
      </c>
      <c r="B130" s="2">
        <v>90</v>
      </c>
      <c r="C130" s="2">
        <f>COUNTIF(G132:Z140,"✓ Sucesso execução")</f>
        <v>90</v>
      </c>
      <c r="D130" s="2">
        <f>COUNTIF(G132:Z140,"⮾Falha real")</f>
        <v>0</v>
      </c>
      <c r="E130" s="3">
        <f>IF(A130=0,"",(C130/9)/A130)</f>
        <v>1</v>
      </c>
    </row>
    <row r="131" spans="1:26">
      <c r="A131" s="102" t="s">
        <v>9</v>
      </c>
      <c r="B131" s="100"/>
      <c r="C131" s="70" t="s">
        <v>10</v>
      </c>
      <c r="D131" s="70" t="s">
        <v>11</v>
      </c>
      <c r="E131" s="70" t="s">
        <v>12</v>
      </c>
      <c r="F131" s="70" t="s">
        <v>13</v>
      </c>
      <c r="G131" s="70" t="s">
        <v>14</v>
      </c>
      <c r="H131" s="70" t="s">
        <v>15</v>
      </c>
      <c r="I131" s="70" t="s">
        <v>16</v>
      </c>
      <c r="J131" s="70" t="s">
        <v>17</v>
      </c>
      <c r="K131" s="70" t="s">
        <v>18</v>
      </c>
      <c r="L131" s="70" t="s">
        <v>19</v>
      </c>
      <c r="M131" s="70" t="s">
        <v>20</v>
      </c>
      <c r="N131" s="70" t="s">
        <v>21</v>
      </c>
      <c r="O131" s="70" t="s">
        <v>22</v>
      </c>
      <c r="P131" s="70" t="s">
        <v>23</v>
      </c>
      <c r="Q131" s="70" t="s">
        <v>24</v>
      </c>
      <c r="R131" s="70" t="s">
        <v>25</v>
      </c>
      <c r="S131" s="70" t="s">
        <v>26</v>
      </c>
      <c r="T131" s="70" t="s">
        <v>27</v>
      </c>
      <c r="U131" s="70" t="s">
        <v>28</v>
      </c>
      <c r="V131" s="70" t="s">
        <v>29</v>
      </c>
      <c r="W131" s="70" t="s">
        <v>30</v>
      </c>
      <c r="X131" s="70" t="s">
        <v>31</v>
      </c>
      <c r="Y131" s="70" t="s">
        <v>32</v>
      </c>
      <c r="Z131" s="70" t="s">
        <v>33</v>
      </c>
    </row>
    <row r="132" spans="1:26">
      <c r="A132" s="100">
        <v>10</v>
      </c>
      <c r="B132" s="100"/>
      <c r="C132" s="2" t="s">
        <v>34</v>
      </c>
      <c r="D132" s="2" t="s">
        <v>121</v>
      </c>
      <c r="E132" s="2" t="s">
        <v>122</v>
      </c>
      <c r="F132" s="2" t="s">
        <v>37</v>
      </c>
      <c r="G132" s="7" t="s">
        <v>38</v>
      </c>
      <c r="H132" s="2" t="s">
        <v>39</v>
      </c>
      <c r="I132" s="7" t="s">
        <v>38</v>
      </c>
      <c r="J132" s="2" t="s">
        <v>39</v>
      </c>
      <c r="K132" s="7" t="s">
        <v>38</v>
      </c>
      <c r="L132" s="2" t="s">
        <v>39</v>
      </c>
      <c r="M132" s="7" t="s">
        <v>38</v>
      </c>
      <c r="N132" s="2" t="s">
        <v>39</v>
      </c>
      <c r="O132" s="7" t="s">
        <v>38</v>
      </c>
      <c r="P132" s="2" t="s">
        <v>39</v>
      </c>
      <c r="Q132" s="7" t="s">
        <v>38</v>
      </c>
      <c r="R132" s="2" t="s">
        <v>39</v>
      </c>
      <c r="S132" s="7" t="s">
        <v>38</v>
      </c>
      <c r="T132" s="2" t="s">
        <v>39</v>
      </c>
      <c r="U132" s="7" t="s">
        <v>38</v>
      </c>
      <c r="V132" s="2" t="s">
        <v>39</v>
      </c>
      <c r="W132" s="7" t="s">
        <v>38</v>
      </c>
      <c r="X132" s="2" t="s">
        <v>39</v>
      </c>
      <c r="Y132" s="7" t="s">
        <v>38</v>
      </c>
      <c r="Z132" s="2" t="s">
        <v>39</v>
      </c>
    </row>
    <row r="133" spans="1:26">
      <c r="A133" s="100"/>
      <c r="B133" s="100"/>
      <c r="C133" s="2" t="s">
        <v>40</v>
      </c>
      <c r="D133" s="2" t="s">
        <v>121</v>
      </c>
      <c r="E133" s="2" t="s">
        <v>123</v>
      </c>
      <c r="F133" s="2" t="s">
        <v>42</v>
      </c>
      <c r="G133" s="7" t="s">
        <v>38</v>
      </c>
      <c r="H133" s="2" t="s">
        <v>39</v>
      </c>
      <c r="I133" s="7" t="s">
        <v>38</v>
      </c>
      <c r="J133" s="2" t="s">
        <v>39</v>
      </c>
      <c r="K133" s="7" t="s">
        <v>38</v>
      </c>
      <c r="L133" s="2" t="s">
        <v>39</v>
      </c>
      <c r="M133" s="7" t="s">
        <v>38</v>
      </c>
      <c r="N133" s="2" t="s">
        <v>39</v>
      </c>
      <c r="O133" s="7" t="s">
        <v>38</v>
      </c>
      <c r="P133" s="2" t="s">
        <v>39</v>
      </c>
      <c r="Q133" s="7" t="s">
        <v>38</v>
      </c>
      <c r="R133" s="2" t="s">
        <v>39</v>
      </c>
      <c r="S133" s="7" t="s">
        <v>38</v>
      </c>
      <c r="T133" s="2" t="s">
        <v>39</v>
      </c>
      <c r="U133" s="7" t="s">
        <v>38</v>
      </c>
      <c r="V133" s="2" t="s">
        <v>39</v>
      </c>
      <c r="W133" s="7" t="s">
        <v>38</v>
      </c>
      <c r="X133" s="2" t="s">
        <v>39</v>
      </c>
      <c r="Y133" s="7" t="s">
        <v>38</v>
      </c>
      <c r="Z133" s="2" t="s">
        <v>39</v>
      </c>
    </row>
    <row r="134" spans="1:26">
      <c r="A134" s="100"/>
      <c r="B134" s="100"/>
      <c r="C134" s="2" t="s">
        <v>43</v>
      </c>
      <c r="D134" s="2" t="s">
        <v>44</v>
      </c>
      <c r="E134" s="2" t="s">
        <v>45</v>
      </c>
      <c r="F134" s="2" t="s">
        <v>46</v>
      </c>
      <c r="G134" s="7" t="s">
        <v>38</v>
      </c>
      <c r="H134" s="2" t="s">
        <v>39</v>
      </c>
      <c r="I134" s="7" t="s">
        <v>38</v>
      </c>
      <c r="J134" s="2" t="s">
        <v>39</v>
      </c>
      <c r="K134" s="7" t="s">
        <v>38</v>
      </c>
      <c r="L134" s="2" t="s">
        <v>39</v>
      </c>
      <c r="M134" s="7" t="s">
        <v>38</v>
      </c>
      <c r="N134" s="2" t="s">
        <v>39</v>
      </c>
      <c r="O134" s="7" t="s">
        <v>38</v>
      </c>
      <c r="P134" s="2" t="s">
        <v>39</v>
      </c>
      <c r="Q134" s="7" t="s">
        <v>38</v>
      </c>
      <c r="R134" s="2" t="s">
        <v>39</v>
      </c>
      <c r="S134" s="7" t="s">
        <v>38</v>
      </c>
      <c r="T134" s="2" t="s">
        <v>39</v>
      </c>
      <c r="U134" s="7" t="s">
        <v>38</v>
      </c>
      <c r="V134" s="2" t="s">
        <v>39</v>
      </c>
      <c r="W134" s="7" t="s">
        <v>38</v>
      </c>
      <c r="X134" s="2" t="s">
        <v>39</v>
      </c>
      <c r="Y134" s="7" t="s">
        <v>38</v>
      </c>
      <c r="Z134" s="2" t="s">
        <v>39</v>
      </c>
    </row>
    <row r="135" spans="1:26">
      <c r="A135" s="100"/>
      <c r="B135" s="100"/>
      <c r="C135" s="2" t="s">
        <v>47</v>
      </c>
      <c r="D135" s="2" t="s">
        <v>48</v>
      </c>
      <c r="E135" s="2" t="s">
        <v>49</v>
      </c>
      <c r="F135" s="2" t="s">
        <v>50</v>
      </c>
      <c r="G135" s="7" t="s">
        <v>38</v>
      </c>
      <c r="H135" s="2" t="s">
        <v>39</v>
      </c>
      <c r="I135" s="7" t="s">
        <v>38</v>
      </c>
      <c r="J135" s="2" t="s">
        <v>39</v>
      </c>
      <c r="K135" s="7" t="s">
        <v>38</v>
      </c>
      <c r="L135" s="2" t="s">
        <v>39</v>
      </c>
      <c r="M135" s="7" t="s">
        <v>38</v>
      </c>
      <c r="N135" s="2" t="s">
        <v>39</v>
      </c>
      <c r="O135" s="7" t="s">
        <v>38</v>
      </c>
      <c r="P135" s="2" t="s">
        <v>39</v>
      </c>
      <c r="Q135" s="7" t="s">
        <v>38</v>
      </c>
      <c r="R135" s="2" t="s">
        <v>39</v>
      </c>
      <c r="S135" s="7" t="s">
        <v>38</v>
      </c>
      <c r="T135" s="2" t="s">
        <v>39</v>
      </c>
      <c r="U135" s="7" t="s">
        <v>38</v>
      </c>
      <c r="V135" s="2" t="s">
        <v>39</v>
      </c>
      <c r="W135" s="7" t="s">
        <v>38</v>
      </c>
      <c r="X135" s="2" t="s">
        <v>39</v>
      </c>
      <c r="Y135" s="7" t="s">
        <v>38</v>
      </c>
      <c r="Z135" s="2" t="s">
        <v>39</v>
      </c>
    </row>
    <row r="136" spans="1:26">
      <c r="A136" s="100"/>
      <c r="B136" s="100"/>
      <c r="C136" s="2" t="s">
        <v>51</v>
      </c>
      <c r="D136" s="2" t="s">
        <v>124</v>
      </c>
      <c r="E136" s="2" t="s">
        <v>125</v>
      </c>
      <c r="F136" s="2" t="s">
        <v>42</v>
      </c>
      <c r="G136" s="7" t="s">
        <v>38</v>
      </c>
      <c r="H136" s="2" t="s">
        <v>39</v>
      </c>
      <c r="I136" s="7" t="s">
        <v>38</v>
      </c>
      <c r="J136" s="2" t="s">
        <v>39</v>
      </c>
      <c r="K136" s="7" t="s">
        <v>38</v>
      </c>
      <c r="L136" s="2" t="s">
        <v>39</v>
      </c>
      <c r="M136" s="7" t="s">
        <v>38</v>
      </c>
      <c r="N136" s="2" t="s">
        <v>39</v>
      </c>
      <c r="O136" s="7" t="s">
        <v>38</v>
      </c>
      <c r="P136" s="2" t="s">
        <v>39</v>
      </c>
      <c r="Q136" s="7" t="s">
        <v>38</v>
      </c>
      <c r="R136" s="2" t="s">
        <v>39</v>
      </c>
      <c r="S136" s="7" t="s">
        <v>38</v>
      </c>
      <c r="T136" s="2" t="s">
        <v>39</v>
      </c>
      <c r="U136" s="7" t="s">
        <v>38</v>
      </c>
      <c r="V136" s="2" t="s">
        <v>39</v>
      </c>
      <c r="W136" s="7" t="s">
        <v>38</v>
      </c>
      <c r="X136" s="2" t="s">
        <v>39</v>
      </c>
      <c r="Y136" s="7" t="s">
        <v>38</v>
      </c>
      <c r="Z136" s="2" t="s">
        <v>39</v>
      </c>
    </row>
    <row r="137" spans="1:26">
      <c r="A137" s="100"/>
      <c r="B137" s="100"/>
      <c r="C137" s="2" t="s">
        <v>54</v>
      </c>
      <c r="D137" s="2" t="s">
        <v>55</v>
      </c>
      <c r="E137" s="2" t="s">
        <v>45</v>
      </c>
      <c r="F137" s="2" t="s">
        <v>46</v>
      </c>
      <c r="G137" s="7" t="s">
        <v>38</v>
      </c>
      <c r="H137" s="2" t="s">
        <v>39</v>
      </c>
      <c r="I137" s="7" t="s">
        <v>38</v>
      </c>
      <c r="J137" s="2" t="s">
        <v>39</v>
      </c>
      <c r="K137" s="7" t="s">
        <v>38</v>
      </c>
      <c r="L137" s="2" t="s">
        <v>39</v>
      </c>
      <c r="M137" s="7" t="s">
        <v>38</v>
      </c>
      <c r="N137" s="2" t="s">
        <v>39</v>
      </c>
      <c r="O137" s="7" t="s">
        <v>38</v>
      </c>
      <c r="P137" s="2" t="s">
        <v>39</v>
      </c>
      <c r="Q137" s="7" t="s">
        <v>38</v>
      </c>
      <c r="R137" s="2" t="s">
        <v>39</v>
      </c>
      <c r="S137" s="7" t="s">
        <v>38</v>
      </c>
      <c r="T137" s="2" t="s">
        <v>39</v>
      </c>
      <c r="U137" s="7" t="s">
        <v>38</v>
      </c>
      <c r="V137" s="2" t="s">
        <v>39</v>
      </c>
      <c r="W137" s="7" t="s">
        <v>38</v>
      </c>
      <c r="X137" s="2" t="s">
        <v>39</v>
      </c>
      <c r="Y137" s="7" t="s">
        <v>38</v>
      </c>
      <c r="Z137" s="2" t="s">
        <v>39</v>
      </c>
    </row>
    <row r="138" spans="1:26">
      <c r="A138" s="100"/>
      <c r="B138" s="100"/>
      <c r="C138" s="2" t="s">
        <v>56</v>
      </c>
      <c r="D138" s="2" t="s">
        <v>57</v>
      </c>
      <c r="E138" s="2" t="s">
        <v>58</v>
      </c>
      <c r="F138" s="2" t="s">
        <v>59</v>
      </c>
      <c r="G138" s="7" t="s">
        <v>38</v>
      </c>
      <c r="H138" s="2" t="s">
        <v>39</v>
      </c>
      <c r="I138" s="7" t="s">
        <v>38</v>
      </c>
      <c r="J138" s="2" t="s">
        <v>39</v>
      </c>
      <c r="K138" s="7" t="s">
        <v>38</v>
      </c>
      <c r="L138" s="2" t="s">
        <v>39</v>
      </c>
      <c r="M138" s="7" t="s">
        <v>38</v>
      </c>
      <c r="N138" s="2" t="s">
        <v>39</v>
      </c>
      <c r="O138" s="7" t="s">
        <v>38</v>
      </c>
      <c r="P138" s="2" t="s">
        <v>39</v>
      </c>
      <c r="Q138" s="7" t="s">
        <v>38</v>
      </c>
      <c r="R138" s="2" t="s">
        <v>39</v>
      </c>
      <c r="S138" s="7" t="s">
        <v>38</v>
      </c>
      <c r="T138" s="2" t="s">
        <v>39</v>
      </c>
      <c r="U138" s="7" t="s">
        <v>38</v>
      </c>
      <c r="V138" s="2" t="s">
        <v>39</v>
      </c>
      <c r="W138" s="7" t="s">
        <v>38</v>
      </c>
      <c r="X138" s="2" t="s">
        <v>39</v>
      </c>
      <c r="Y138" s="7" t="s">
        <v>38</v>
      </c>
      <c r="Z138" s="2" t="s">
        <v>39</v>
      </c>
    </row>
    <row r="139" spans="1:26">
      <c r="A139" s="100"/>
      <c r="B139" s="100"/>
      <c r="C139" s="2" t="s">
        <v>60</v>
      </c>
      <c r="D139" s="2" t="s">
        <v>61</v>
      </c>
      <c r="E139" s="2" t="s">
        <v>62</v>
      </c>
      <c r="F139" s="2" t="s">
        <v>63</v>
      </c>
      <c r="G139" s="7" t="s">
        <v>38</v>
      </c>
      <c r="H139" s="2" t="s">
        <v>39</v>
      </c>
      <c r="I139" s="7" t="s">
        <v>38</v>
      </c>
      <c r="J139" s="2" t="s">
        <v>39</v>
      </c>
      <c r="K139" s="7" t="s">
        <v>38</v>
      </c>
      <c r="L139" s="2" t="s">
        <v>39</v>
      </c>
      <c r="M139" s="7" t="s">
        <v>38</v>
      </c>
      <c r="N139" s="2" t="s">
        <v>39</v>
      </c>
      <c r="O139" s="7" t="s">
        <v>38</v>
      </c>
      <c r="P139" s="2" t="s">
        <v>39</v>
      </c>
      <c r="Q139" s="7" t="s">
        <v>38</v>
      </c>
      <c r="R139" s="2" t="s">
        <v>39</v>
      </c>
      <c r="S139" s="7" t="s">
        <v>38</v>
      </c>
      <c r="T139" s="2" t="s">
        <v>39</v>
      </c>
      <c r="U139" s="7" t="s">
        <v>38</v>
      </c>
      <c r="V139" s="2" t="s">
        <v>39</v>
      </c>
      <c r="W139" s="7" t="s">
        <v>38</v>
      </c>
      <c r="X139" s="2" t="s">
        <v>39</v>
      </c>
      <c r="Y139" s="7" t="s">
        <v>38</v>
      </c>
      <c r="Z139" s="2" t="s">
        <v>39</v>
      </c>
    </row>
    <row r="140" spans="1:26">
      <c r="A140" s="100"/>
      <c r="B140" s="100"/>
      <c r="C140" s="2" t="s">
        <v>64</v>
      </c>
      <c r="D140" s="2" t="s">
        <v>65</v>
      </c>
      <c r="E140" s="2" t="s">
        <v>66</v>
      </c>
      <c r="F140" s="2" t="s">
        <v>67</v>
      </c>
      <c r="G140" s="7" t="s">
        <v>38</v>
      </c>
      <c r="H140" s="2" t="s">
        <v>39</v>
      </c>
      <c r="I140" s="7" t="s">
        <v>38</v>
      </c>
      <c r="J140" s="2" t="s">
        <v>39</v>
      </c>
      <c r="K140" s="7" t="s">
        <v>38</v>
      </c>
      <c r="L140" s="2" t="s">
        <v>39</v>
      </c>
      <c r="M140" s="7" t="s">
        <v>38</v>
      </c>
      <c r="N140" s="2" t="s">
        <v>39</v>
      </c>
      <c r="O140" s="7" t="s">
        <v>38</v>
      </c>
      <c r="P140" s="2" t="s">
        <v>39</v>
      </c>
      <c r="Q140" s="7" t="s">
        <v>38</v>
      </c>
      <c r="R140" s="2" t="s">
        <v>39</v>
      </c>
      <c r="S140" s="7" t="s">
        <v>38</v>
      </c>
      <c r="T140" s="2" t="s">
        <v>39</v>
      </c>
      <c r="U140" s="7" t="s">
        <v>38</v>
      </c>
      <c r="V140" s="2" t="s">
        <v>39</v>
      </c>
      <c r="W140" s="7" t="s">
        <v>38</v>
      </c>
      <c r="X140" s="2" t="s">
        <v>39</v>
      </c>
      <c r="Y140" s="7" t="s">
        <v>38</v>
      </c>
      <c r="Z140" s="2" t="s">
        <v>39</v>
      </c>
    </row>
  </sheetData>
  <mergeCells count="31">
    <mergeCell ref="A19:B19"/>
    <mergeCell ref="A117:B117"/>
    <mergeCell ref="A76:B84"/>
    <mergeCell ref="A100:Z100"/>
    <mergeCell ref="A72:Z72"/>
    <mergeCell ref="A104:B112"/>
    <mergeCell ref="A44:Z44"/>
    <mergeCell ref="A58:Z58"/>
    <mergeCell ref="A20:B28"/>
    <mergeCell ref="A103:B103"/>
    <mergeCell ref="A114:Z114"/>
    <mergeCell ref="A30:Z30"/>
    <mergeCell ref="A62:B70"/>
    <mergeCell ref="A61:B61"/>
    <mergeCell ref="A34:B42"/>
    <mergeCell ref="A1:Z1"/>
    <mergeCell ref="A75:B75"/>
    <mergeCell ref="A89:B89"/>
    <mergeCell ref="A132:B140"/>
    <mergeCell ref="A16:Z16"/>
    <mergeCell ref="A48:B56"/>
    <mergeCell ref="A128:Z128"/>
    <mergeCell ref="A33:B33"/>
    <mergeCell ref="A47:B47"/>
    <mergeCell ref="A5:B5"/>
    <mergeCell ref="A90:B98"/>
    <mergeCell ref="A6:B14"/>
    <mergeCell ref="A2:Z2"/>
    <mergeCell ref="A86:Z86"/>
    <mergeCell ref="A118:B126"/>
    <mergeCell ref="A131:B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8"/>
  <sheetViews>
    <sheetView workbookViewId="0"/>
  </sheetViews>
  <sheetFormatPr defaultRowHeight="13.8"/>
  <cols>
    <col min="6" max="6" width="16.5" customWidth="1"/>
    <col min="7" max="7" width="18" customWidth="1"/>
    <col min="8" max="8" width="16.19921875" customWidth="1"/>
    <col min="9" max="9" width="15.09765625" customWidth="1"/>
    <col min="10" max="10" width="15.19921875" customWidth="1"/>
    <col min="11" max="11" width="10" customWidth="1"/>
    <col min="13" max="13" width="4.19921875" customWidth="1"/>
    <col min="14" max="14" width="7.8984375" customWidth="1"/>
    <col min="15" max="16" width="5.69921875" customWidth="1"/>
    <col min="17" max="17" width="5.5" customWidth="1"/>
    <col min="18" max="18" width="15.19921875" customWidth="1"/>
    <col min="19" max="19" width="16.69921875" customWidth="1"/>
    <col min="20" max="20" width="15.69921875" customWidth="1"/>
    <col min="21" max="21" width="15.09765625" customWidth="1"/>
    <col min="22" max="22" width="15.19921875" customWidth="1"/>
    <col min="23" max="23" width="10" customWidth="1"/>
  </cols>
  <sheetData>
    <row r="1" spans="1:23">
      <c r="A1" s="71" t="s">
        <v>9</v>
      </c>
      <c r="B1" s="71" t="s">
        <v>126</v>
      </c>
      <c r="C1" s="71" t="s">
        <v>127</v>
      </c>
      <c r="D1" s="71" t="s">
        <v>128</v>
      </c>
      <c r="E1" s="71" t="s">
        <v>129</v>
      </c>
      <c r="F1" s="71" t="s">
        <v>130</v>
      </c>
      <c r="G1" s="71" t="s">
        <v>131</v>
      </c>
      <c r="H1" s="71" t="s">
        <v>132</v>
      </c>
      <c r="I1" s="71" t="s">
        <v>13</v>
      </c>
      <c r="J1" s="71" t="s">
        <v>133</v>
      </c>
      <c r="K1" s="71" t="s">
        <v>134</v>
      </c>
      <c r="M1" s="71" t="s">
        <v>9</v>
      </c>
      <c r="N1" s="71" t="s">
        <v>126</v>
      </c>
      <c r="O1" s="71" t="s">
        <v>127</v>
      </c>
      <c r="P1" s="71" t="s">
        <v>128</v>
      </c>
      <c r="Q1" s="71" t="s">
        <v>129</v>
      </c>
      <c r="R1" s="71" t="s">
        <v>130</v>
      </c>
      <c r="S1" s="71" t="s">
        <v>131</v>
      </c>
      <c r="T1" s="71" t="s">
        <v>132</v>
      </c>
      <c r="U1" s="71" t="s">
        <v>13</v>
      </c>
      <c r="V1" s="71" t="s">
        <v>133</v>
      </c>
      <c r="W1" s="71" t="s">
        <v>134</v>
      </c>
    </row>
    <row r="2" spans="1:23">
      <c r="A2" s="49">
        <v>1</v>
      </c>
      <c r="B2" s="49">
        <v>1</v>
      </c>
      <c r="C2" s="49">
        <v>0.55000000000000004</v>
      </c>
      <c r="D2" s="49">
        <v>-0.2</v>
      </c>
      <c r="E2" s="49">
        <v>0.35</v>
      </c>
      <c r="F2" s="49" t="s">
        <v>135</v>
      </c>
      <c r="G2" s="49" t="s">
        <v>135</v>
      </c>
      <c r="H2" s="49">
        <v>152.92910000000001</v>
      </c>
      <c r="I2" s="49" t="s">
        <v>136</v>
      </c>
      <c r="J2" s="49" t="s">
        <v>136</v>
      </c>
      <c r="K2" s="49" t="s">
        <v>137</v>
      </c>
      <c r="M2" s="49">
        <v>6</v>
      </c>
      <c r="N2" s="49">
        <v>1</v>
      </c>
      <c r="O2" s="49">
        <v>0.5</v>
      </c>
      <c r="P2" s="49">
        <v>-0.3</v>
      </c>
      <c r="Q2" s="49">
        <v>0.35</v>
      </c>
      <c r="R2" s="49" t="s">
        <v>135</v>
      </c>
      <c r="S2" s="49" t="s">
        <v>135</v>
      </c>
      <c r="T2" s="49">
        <v>252.53649999999999</v>
      </c>
      <c r="U2" s="49" t="s">
        <v>136</v>
      </c>
      <c r="V2" s="49" t="s">
        <v>136</v>
      </c>
      <c r="W2" s="49" t="s">
        <v>137</v>
      </c>
    </row>
    <row r="3" spans="1:23">
      <c r="A3" s="49">
        <v>1</v>
      </c>
      <c r="B3" s="49">
        <v>2</v>
      </c>
      <c r="C3" s="49">
        <v>0.55000000000000004</v>
      </c>
      <c r="D3" s="49">
        <v>-0.2</v>
      </c>
      <c r="E3" s="49">
        <v>0.35</v>
      </c>
      <c r="F3" s="49" t="s">
        <v>135</v>
      </c>
      <c r="G3" s="49" t="s">
        <v>135</v>
      </c>
      <c r="H3" s="49">
        <v>152.0171</v>
      </c>
      <c r="I3" s="49" t="s">
        <v>136</v>
      </c>
      <c r="J3" s="49" t="s">
        <v>136</v>
      </c>
      <c r="K3" s="49" t="s">
        <v>137</v>
      </c>
      <c r="M3" s="49">
        <v>6</v>
      </c>
      <c r="N3" s="49">
        <v>2</v>
      </c>
      <c r="O3" s="49">
        <v>0.5</v>
      </c>
      <c r="P3" s="49">
        <v>-0.3</v>
      </c>
      <c r="Q3" s="49">
        <v>0.35</v>
      </c>
      <c r="R3" s="49" t="s">
        <v>135</v>
      </c>
      <c r="S3" s="49" t="s">
        <v>135</v>
      </c>
      <c r="T3" s="49">
        <v>151.9229</v>
      </c>
      <c r="U3" s="49" t="s">
        <v>136</v>
      </c>
      <c r="V3" s="49" t="s">
        <v>136</v>
      </c>
      <c r="W3" s="49" t="s">
        <v>137</v>
      </c>
    </row>
    <row r="4" spans="1:23">
      <c r="A4" s="49">
        <v>1</v>
      </c>
      <c r="B4" s="49">
        <v>3</v>
      </c>
      <c r="C4" s="49">
        <v>0.55000000000000004</v>
      </c>
      <c r="D4" s="49">
        <v>-0.2</v>
      </c>
      <c r="E4" s="49">
        <v>0.35</v>
      </c>
      <c r="F4" s="49" t="s">
        <v>135</v>
      </c>
      <c r="G4" s="49" t="s">
        <v>135</v>
      </c>
      <c r="H4" s="49">
        <v>155.17519999999999</v>
      </c>
      <c r="I4" s="49" t="s">
        <v>136</v>
      </c>
      <c r="J4" s="49" t="s">
        <v>136</v>
      </c>
      <c r="K4" s="49" t="s">
        <v>137</v>
      </c>
      <c r="M4" s="49">
        <v>6</v>
      </c>
      <c r="N4" s="49">
        <v>3</v>
      </c>
      <c r="O4" s="49">
        <v>0.5</v>
      </c>
      <c r="P4" s="49">
        <v>-0.3</v>
      </c>
      <c r="Q4" s="49">
        <v>0.35</v>
      </c>
      <c r="R4" s="49" t="s">
        <v>135</v>
      </c>
      <c r="S4" s="49" t="s">
        <v>135</v>
      </c>
      <c r="T4" s="49">
        <v>152.0145</v>
      </c>
      <c r="U4" s="49" t="s">
        <v>136</v>
      </c>
      <c r="V4" s="49" t="s">
        <v>136</v>
      </c>
      <c r="W4" s="49" t="s">
        <v>137</v>
      </c>
    </row>
    <row r="5" spans="1:23">
      <c r="A5" s="49">
        <v>1</v>
      </c>
      <c r="B5" s="49">
        <v>4</v>
      </c>
      <c r="C5" s="49">
        <v>0.55000000000000004</v>
      </c>
      <c r="D5" s="49">
        <v>-0.2</v>
      </c>
      <c r="E5" s="49">
        <v>0.35</v>
      </c>
      <c r="F5" s="49" t="s">
        <v>135</v>
      </c>
      <c r="G5" s="49" t="s">
        <v>135</v>
      </c>
      <c r="H5" s="49">
        <v>54.7836</v>
      </c>
      <c r="I5" s="49" t="s">
        <v>136</v>
      </c>
      <c r="J5" s="49" t="s">
        <v>136</v>
      </c>
      <c r="K5" s="49" t="s">
        <v>137</v>
      </c>
      <c r="M5" s="49">
        <v>6</v>
      </c>
      <c r="N5" s="49">
        <v>4</v>
      </c>
      <c r="O5" s="49">
        <v>0.5</v>
      </c>
      <c r="P5" s="49">
        <v>-0.3</v>
      </c>
      <c r="Q5" s="49">
        <v>0.35</v>
      </c>
      <c r="R5" s="49" t="s">
        <v>135</v>
      </c>
      <c r="S5" s="49" t="s">
        <v>135</v>
      </c>
      <c r="T5" s="49">
        <v>151.9032</v>
      </c>
      <c r="U5" s="49" t="s">
        <v>136</v>
      </c>
      <c r="V5" s="49" t="s">
        <v>136</v>
      </c>
      <c r="W5" s="49" t="s">
        <v>137</v>
      </c>
    </row>
    <row r="6" spans="1:23">
      <c r="A6" s="49">
        <v>1</v>
      </c>
      <c r="B6" s="49">
        <v>5</v>
      </c>
      <c r="C6" s="49">
        <v>0.55000000000000004</v>
      </c>
      <c r="D6" s="49">
        <v>-0.2</v>
      </c>
      <c r="E6" s="49">
        <v>0.35</v>
      </c>
      <c r="F6" s="49" t="s">
        <v>135</v>
      </c>
      <c r="G6" s="49" t="s">
        <v>135</v>
      </c>
      <c r="H6" s="49">
        <v>152.11320000000001</v>
      </c>
      <c r="I6" s="49" t="s">
        <v>136</v>
      </c>
      <c r="J6" s="49" t="s">
        <v>136</v>
      </c>
      <c r="K6" s="49" t="s">
        <v>137</v>
      </c>
      <c r="M6" s="49">
        <v>6</v>
      </c>
      <c r="N6" s="49">
        <v>5</v>
      </c>
      <c r="O6" s="49">
        <v>0.5</v>
      </c>
      <c r="P6" s="49">
        <v>-0.3</v>
      </c>
      <c r="Q6" s="49">
        <v>0.35</v>
      </c>
      <c r="R6" s="49" t="s">
        <v>135</v>
      </c>
      <c r="S6" s="49" t="s">
        <v>135</v>
      </c>
      <c r="T6" s="49">
        <v>151.7724</v>
      </c>
      <c r="U6" s="49" t="s">
        <v>136</v>
      </c>
      <c r="V6" s="49" t="s">
        <v>136</v>
      </c>
      <c r="W6" s="49" t="s">
        <v>137</v>
      </c>
    </row>
    <row r="7" spans="1:23">
      <c r="A7" s="49">
        <v>1</v>
      </c>
      <c r="B7" s="49">
        <v>6</v>
      </c>
      <c r="C7" s="49">
        <v>0.55000000000000004</v>
      </c>
      <c r="D7" s="49">
        <v>-0.2</v>
      </c>
      <c r="E7" s="49">
        <v>0.35</v>
      </c>
      <c r="F7" s="49" t="s">
        <v>135</v>
      </c>
      <c r="G7" s="49" t="s">
        <v>135</v>
      </c>
      <c r="H7" s="49">
        <v>152.90520000000001</v>
      </c>
      <c r="I7" s="49" t="s">
        <v>136</v>
      </c>
      <c r="J7" s="49" t="s">
        <v>136</v>
      </c>
      <c r="K7" s="49" t="s">
        <v>137</v>
      </c>
      <c r="M7" s="49">
        <v>6</v>
      </c>
      <c r="N7" s="49">
        <v>6</v>
      </c>
      <c r="O7" s="49">
        <v>0.5</v>
      </c>
      <c r="P7" s="49">
        <v>-0.3</v>
      </c>
      <c r="Q7" s="49">
        <v>0.35</v>
      </c>
      <c r="R7" s="49" t="s">
        <v>135</v>
      </c>
      <c r="S7" s="49" t="s">
        <v>135</v>
      </c>
      <c r="T7" s="49">
        <v>152.6575</v>
      </c>
      <c r="U7" s="49" t="s">
        <v>136</v>
      </c>
      <c r="V7" s="49" t="s">
        <v>136</v>
      </c>
      <c r="W7" s="49" t="s">
        <v>137</v>
      </c>
    </row>
    <row r="8" spans="1:23">
      <c r="A8" s="49">
        <v>1</v>
      </c>
      <c r="B8" s="49">
        <v>7</v>
      </c>
      <c r="C8" s="49">
        <v>0.55000000000000004</v>
      </c>
      <c r="D8" s="49">
        <v>-0.2</v>
      </c>
      <c r="E8" s="49">
        <v>0.35</v>
      </c>
      <c r="F8" s="49" t="s">
        <v>135</v>
      </c>
      <c r="G8" s="49" t="s">
        <v>135</v>
      </c>
      <c r="H8" s="49">
        <v>152.63489999999999</v>
      </c>
      <c r="I8" s="49" t="s">
        <v>136</v>
      </c>
      <c r="J8" s="49" t="s">
        <v>136</v>
      </c>
      <c r="K8" s="49" t="s">
        <v>137</v>
      </c>
      <c r="M8" s="49">
        <v>6</v>
      </c>
      <c r="N8" s="49">
        <v>7</v>
      </c>
      <c r="O8" s="49">
        <v>0.5</v>
      </c>
      <c r="P8" s="49">
        <v>-0.3</v>
      </c>
      <c r="Q8" s="49">
        <v>0.35</v>
      </c>
      <c r="R8" s="49" t="s">
        <v>135</v>
      </c>
      <c r="S8" s="49" t="s">
        <v>135</v>
      </c>
      <c r="T8" s="49">
        <v>151.5257</v>
      </c>
      <c r="U8" s="49" t="s">
        <v>136</v>
      </c>
      <c r="V8" s="49" t="s">
        <v>136</v>
      </c>
      <c r="W8" s="49" t="s">
        <v>137</v>
      </c>
    </row>
    <row r="9" spans="1:23">
      <c r="A9" s="49">
        <v>1</v>
      </c>
      <c r="B9" s="49">
        <v>8</v>
      </c>
      <c r="C9" s="49">
        <v>0.55000000000000004</v>
      </c>
      <c r="D9" s="49">
        <v>-0.2</v>
      </c>
      <c r="E9" s="49">
        <v>0.35</v>
      </c>
      <c r="F9" s="49" t="s">
        <v>135</v>
      </c>
      <c r="G9" s="49" t="s">
        <v>135</v>
      </c>
      <c r="H9" s="49">
        <v>156.9684</v>
      </c>
      <c r="I9" s="49" t="s">
        <v>136</v>
      </c>
      <c r="J9" s="49" t="s">
        <v>136</v>
      </c>
      <c r="K9" s="49" t="s">
        <v>137</v>
      </c>
      <c r="M9" s="49">
        <v>6</v>
      </c>
      <c r="N9" s="49">
        <v>8</v>
      </c>
      <c r="O9" s="49">
        <v>0.5</v>
      </c>
      <c r="P9" s="49">
        <v>-0.3</v>
      </c>
      <c r="Q9" s="49">
        <v>0.35</v>
      </c>
      <c r="R9" s="49" t="s">
        <v>135</v>
      </c>
      <c r="S9" s="49" t="s">
        <v>135</v>
      </c>
      <c r="T9" s="49">
        <v>151.6747</v>
      </c>
      <c r="U9" s="49" t="s">
        <v>136</v>
      </c>
      <c r="V9" s="49" t="s">
        <v>136</v>
      </c>
      <c r="W9" s="49" t="s">
        <v>137</v>
      </c>
    </row>
    <row r="10" spans="1:23">
      <c r="A10" s="49">
        <v>1</v>
      </c>
      <c r="B10" s="49">
        <v>9</v>
      </c>
      <c r="C10" s="49">
        <v>0.55000000000000004</v>
      </c>
      <c r="D10" s="49">
        <v>-0.2</v>
      </c>
      <c r="E10" s="49">
        <v>0.35</v>
      </c>
      <c r="F10" s="49" t="s">
        <v>135</v>
      </c>
      <c r="G10" s="49" t="s">
        <v>135</v>
      </c>
      <c r="H10" s="49">
        <v>151.89500000000001</v>
      </c>
      <c r="I10" s="49" t="s">
        <v>136</v>
      </c>
      <c r="J10" s="49" t="s">
        <v>136</v>
      </c>
      <c r="K10" s="49" t="s">
        <v>137</v>
      </c>
      <c r="M10" s="49">
        <v>6</v>
      </c>
      <c r="N10" s="49">
        <v>9</v>
      </c>
      <c r="O10" s="49">
        <v>0.5</v>
      </c>
      <c r="P10" s="49">
        <v>-0.3</v>
      </c>
      <c r="Q10" s="49">
        <v>0.35</v>
      </c>
      <c r="R10" s="49" t="s">
        <v>135</v>
      </c>
      <c r="S10" s="49" t="s">
        <v>135</v>
      </c>
      <c r="T10" s="49">
        <v>151.64070000000001</v>
      </c>
      <c r="U10" s="49" t="s">
        <v>136</v>
      </c>
      <c r="V10" s="49" t="s">
        <v>136</v>
      </c>
      <c r="W10" s="49" t="s">
        <v>137</v>
      </c>
    </row>
    <row r="11" spans="1:23">
      <c r="A11" s="49">
        <v>1</v>
      </c>
      <c r="B11" s="49">
        <v>10</v>
      </c>
      <c r="C11" s="49">
        <v>0.55000000000000004</v>
      </c>
      <c r="D11" s="49">
        <v>-0.2</v>
      </c>
      <c r="E11" s="49">
        <v>0.35</v>
      </c>
      <c r="F11" s="49" t="s">
        <v>135</v>
      </c>
      <c r="G11" s="49" t="s">
        <v>135</v>
      </c>
      <c r="H11" s="49">
        <v>152.98990000000001</v>
      </c>
      <c r="I11" s="49" t="s">
        <v>136</v>
      </c>
      <c r="J11" s="49" t="s">
        <v>136</v>
      </c>
      <c r="K11" s="49" t="s">
        <v>137</v>
      </c>
      <c r="M11" s="49">
        <v>6</v>
      </c>
      <c r="N11" s="49">
        <v>10</v>
      </c>
      <c r="O11" s="49">
        <v>0.5</v>
      </c>
      <c r="P11" s="49">
        <v>-0.3</v>
      </c>
      <c r="Q11" s="49">
        <v>0.35</v>
      </c>
      <c r="R11" s="49" t="s">
        <v>135</v>
      </c>
      <c r="S11" s="49" t="s">
        <v>135</v>
      </c>
      <c r="T11" s="49">
        <v>152.8852</v>
      </c>
      <c r="U11" s="49" t="s">
        <v>136</v>
      </c>
      <c r="V11" s="49" t="s">
        <v>136</v>
      </c>
      <c r="W11" s="49" t="s">
        <v>137</v>
      </c>
    </row>
    <row r="12" spans="1:23">
      <c r="A12" s="2"/>
      <c r="B12" s="2"/>
      <c r="C12" s="2"/>
      <c r="D12" s="2"/>
      <c r="E12" s="2"/>
      <c r="F12" s="2"/>
      <c r="G12" s="14" t="s">
        <v>138</v>
      </c>
      <c r="H12" s="14">
        <f>AVERAGE(H2:H11)</f>
        <v>143.44116</v>
      </c>
      <c r="I12" s="2"/>
      <c r="J12" s="2"/>
      <c r="K12" s="2"/>
      <c r="M12" s="2"/>
      <c r="N12" s="2"/>
      <c r="O12" s="2"/>
      <c r="P12" s="2"/>
      <c r="Q12" s="2"/>
      <c r="R12" s="2"/>
      <c r="S12" s="14" t="s">
        <v>138</v>
      </c>
      <c r="T12" s="14">
        <f>AVERAGE(T2:T11)</f>
        <v>162.05333</v>
      </c>
      <c r="U12" s="2"/>
      <c r="V12" s="2"/>
      <c r="W12" s="2"/>
    </row>
    <row r="13" spans="1:23">
      <c r="A13" s="71" t="s">
        <v>9</v>
      </c>
      <c r="B13" s="71" t="s">
        <v>126</v>
      </c>
      <c r="C13" s="71" t="s">
        <v>127</v>
      </c>
      <c r="D13" s="71" t="s">
        <v>128</v>
      </c>
      <c r="E13" s="71" t="s">
        <v>129</v>
      </c>
      <c r="F13" s="71" t="s">
        <v>130</v>
      </c>
      <c r="G13" s="71" t="s">
        <v>131</v>
      </c>
      <c r="H13" s="71" t="s">
        <v>132</v>
      </c>
      <c r="I13" s="71" t="s">
        <v>13</v>
      </c>
      <c r="J13" s="71" t="s">
        <v>133</v>
      </c>
      <c r="K13" s="71" t="s">
        <v>134</v>
      </c>
      <c r="M13" s="71" t="s">
        <v>9</v>
      </c>
      <c r="N13" s="71" t="s">
        <v>126</v>
      </c>
      <c r="O13" s="71" t="s">
        <v>127</v>
      </c>
      <c r="P13" s="71" t="s">
        <v>128</v>
      </c>
      <c r="Q13" s="71" t="s">
        <v>129</v>
      </c>
      <c r="R13" s="71" t="s">
        <v>130</v>
      </c>
      <c r="S13" s="71" t="s">
        <v>131</v>
      </c>
      <c r="T13" s="71" t="s">
        <v>132</v>
      </c>
      <c r="U13" s="71" t="s">
        <v>13</v>
      </c>
      <c r="V13" s="71" t="s">
        <v>133</v>
      </c>
      <c r="W13" s="71" t="s">
        <v>134</v>
      </c>
    </row>
    <row r="14" spans="1:23">
      <c r="A14" s="49">
        <v>2</v>
      </c>
      <c r="B14" s="49">
        <v>1</v>
      </c>
      <c r="C14" s="49">
        <v>0.6</v>
      </c>
      <c r="D14" s="49">
        <v>0</v>
      </c>
      <c r="E14" s="49">
        <v>0.35</v>
      </c>
      <c r="F14" s="49" t="s">
        <v>135</v>
      </c>
      <c r="G14" s="49" t="s">
        <v>135</v>
      </c>
      <c r="H14" s="49">
        <v>151.5393</v>
      </c>
      <c r="I14" s="49" t="s">
        <v>136</v>
      </c>
      <c r="J14" s="49" t="s">
        <v>136</v>
      </c>
      <c r="K14" s="49" t="s">
        <v>137</v>
      </c>
      <c r="M14" s="49">
        <v>7</v>
      </c>
      <c r="N14" s="49">
        <v>1</v>
      </c>
      <c r="O14" s="49">
        <v>0.75</v>
      </c>
      <c r="P14" s="49">
        <v>-0.1</v>
      </c>
      <c r="Q14" s="49">
        <v>0.35</v>
      </c>
      <c r="R14" s="49" t="s">
        <v>135</v>
      </c>
      <c r="S14" s="49" t="s">
        <v>135</v>
      </c>
      <c r="T14" s="49">
        <v>155.05029999999999</v>
      </c>
      <c r="U14" s="49" t="s">
        <v>136</v>
      </c>
      <c r="V14" s="49" t="s">
        <v>136</v>
      </c>
      <c r="W14" s="49" t="s">
        <v>137</v>
      </c>
    </row>
    <row r="15" spans="1:23">
      <c r="A15" s="49">
        <v>2</v>
      </c>
      <c r="B15" s="49">
        <v>2</v>
      </c>
      <c r="C15" s="49">
        <v>0.6</v>
      </c>
      <c r="D15" s="49">
        <v>0</v>
      </c>
      <c r="E15" s="49">
        <v>0.35</v>
      </c>
      <c r="F15" s="49" t="s">
        <v>135</v>
      </c>
      <c r="G15" s="49" t="s">
        <v>135</v>
      </c>
      <c r="H15" s="49">
        <v>153.42310000000001</v>
      </c>
      <c r="I15" s="49" t="s">
        <v>136</v>
      </c>
      <c r="J15" s="49" t="s">
        <v>136</v>
      </c>
      <c r="K15" s="49" t="s">
        <v>137</v>
      </c>
      <c r="M15" s="49">
        <v>7</v>
      </c>
      <c r="N15" s="49">
        <v>2</v>
      </c>
      <c r="O15" s="49">
        <v>0.75</v>
      </c>
      <c r="P15" s="49">
        <v>-0.1</v>
      </c>
      <c r="Q15" s="49">
        <v>0.35</v>
      </c>
      <c r="R15" s="49" t="s">
        <v>135</v>
      </c>
      <c r="S15" s="49" t="s">
        <v>135</v>
      </c>
      <c r="T15" s="49">
        <v>159.3707</v>
      </c>
      <c r="U15" s="49" t="s">
        <v>136</v>
      </c>
      <c r="V15" s="49" t="s">
        <v>136</v>
      </c>
      <c r="W15" s="49" t="s">
        <v>137</v>
      </c>
    </row>
    <row r="16" spans="1:23">
      <c r="A16" s="49">
        <v>2</v>
      </c>
      <c r="B16" s="49">
        <v>3</v>
      </c>
      <c r="C16" s="49">
        <v>0.6</v>
      </c>
      <c r="D16" s="49">
        <v>0</v>
      </c>
      <c r="E16" s="49">
        <v>0.35</v>
      </c>
      <c r="F16" s="49" t="s">
        <v>135</v>
      </c>
      <c r="G16" s="49" t="s">
        <v>135</v>
      </c>
      <c r="H16" s="49">
        <v>156.85390000000001</v>
      </c>
      <c r="I16" s="49" t="s">
        <v>136</v>
      </c>
      <c r="J16" s="49" t="s">
        <v>136</v>
      </c>
      <c r="K16" s="49" t="s">
        <v>137</v>
      </c>
      <c r="M16" s="49">
        <v>7</v>
      </c>
      <c r="N16" s="49">
        <v>3</v>
      </c>
      <c r="O16" s="49">
        <v>0.75</v>
      </c>
      <c r="P16" s="49">
        <v>-0.1</v>
      </c>
      <c r="Q16" s="49">
        <v>0.35</v>
      </c>
      <c r="R16" s="49" t="s">
        <v>135</v>
      </c>
      <c r="S16" s="49" t="s">
        <v>135</v>
      </c>
      <c r="T16" s="49">
        <v>152.48159999999999</v>
      </c>
      <c r="U16" s="49" t="s">
        <v>136</v>
      </c>
      <c r="V16" s="49" t="s">
        <v>136</v>
      </c>
      <c r="W16" s="49" t="s">
        <v>137</v>
      </c>
    </row>
    <row r="17" spans="1:23">
      <c r="A17" s="49">
        <v>2</v>
      </c>
      <c r="B17" s="49">
        <v>4</v>
      </c>
      <c r="C17" s="49">
        <v>0.6</v>
      </c>
      <c r="D17" s="49">
        <v>0</v>
      </c>
      <c r="E17" s="49">
        <v>0.35</v>
      </c>
      <c r="F17" s="49" t="s">
        <v>135</v>
      </c>
      <c r="G17" s="49" t="s">
        <v>135</v>
      </c>
      <c r="H17" s="49">
        <v>152.02500000000001</v>
      </c>
      <c r="I17" s="49" t="s">
        <v>136</v>
      </c>
      <c r="J17" s="49" t="s">
        <v>136</v>
      </c>
      <c r="K17" s="49" t="s">
        <v>137</v>
      </c>
      <c r="M17" s="49">
        <v>7</v>
      </c>
      <c r="N17" s="49">
        <v>4</v>
      </c>
      <c r="O17" s="49">
        <v>0.75</v>
      </c>
      <c r="P17" s="49">
        <v>-0.1</v>
      </c>
      <c r="Q17" s="49">
        <v>0.35</v>
      </c>
      <c r="R17" s="49" t="s">
        <v>135</v>
      </c>
      <c r="S17" s="49" t="s">
        <v>135</v>
      </c>
      <c r="T17" s="49">
        <v>152.178</v>
      </c>
      <c r="U17" s="49" t="s">
        <v>136</v>
      </c>
      <c r="V17" s="49" t="s">
        <v>136</v>
      </c>
      <c r="W17" s="49" t="s">
        <v>137</v>
      </c>
    </row>
    <row r="18" spans="1:23">
      <c r="A18" s="49">
        <v>2</v>
      </c>
      <c r="B18" s="49">
        <v>5</v>
      </c>
      <c r="C18" s="49">
        <v>0.6</v>
      </c>
      <c r="D18" s="49">
        <v>0</v>
      </c>
      <c r="E18" s="49">
        <v>0.35</v>
      </c>
      <c r="F18" s="49" t="s">
        <v>135</v>
      </c>
      <c r="G18" s="49" t="s">
        <v>135</v>
      </c>
      <c r="H18" s="49">
        <v>151.84119999999999</v>
      </c>
      <c r="I18" s="49" t="s">
        <v>136</v>
      </c>
      <c r="J18" s="49" t="s">
        <v>136</v>
      </c>
      <c r="K18" s="49" t="s">
        <v>137</v>
      </c>
      <c r="M18" s="49">
        <v>7</v>
      </c>
      <c r="N18" s="49">
        <v>5</v>
      </c>
      <c r="O18" s="49">
        <v>0.75</v>
      </c>
      <c r="P18" s="49">
        <v>-0.1</v>
      </c>
      <c r="Q18" s="49">
        <v>0.35</v>
      </c>
      <c r="R18" s="49" t="s">
        <v>135</v>
      </c>
      <c r="S18" s="49" t="s">
        <v>135</v>
      </c>
      <c r="T18" s="49">
        <v>151.7432</v>
      </c>
      <c r="U18" s="49" t="s">
        <v>136</v>
      </c>
      <c r="V18" s="49" t="s">
        <v>136</v>
      </c>
      <c r="W18" s="49" t="s">
        <v>137</v>
      </c>
    </row>
    <row r="19" spans="1:23">
      <c r="A19" s="49">
        <v>2</v>
      </c>
      <c r="B19" s="49">
        <v>6</v>
      </c>
      <c r="C19" s="49">
        <v>0.6</v>
      </c>
      <c r="D19" s="49">
        <v>0</v>
      </c>
      <c r="E19" s="49">
        <v>0.35</v>
      </c>
      <c r="F19" s="49" t="s">
        <v>135</v>
      </c>
      <c r="G19" s="49" t="s">
        <v>135</v>
      </c>
      <c r="H19" s="49">
        <v>152.62129999999999</v>
      </c>
      <c r="I19" s="49" t="s">
        <v>136</v>
      </c>
      <c r="J19" s="49" t="s">
        <v>136</v>
      </c>
      <c r="K19" s="49" t="s">
        <v>137</v>
      </c>
      <c r="M19" s="49">
        <v>7</v>
      </c>
      <c r="N19" s="49">
        <v>6</v>
      </c>
      <c r="O19" s="49">
        <v>0.75</v>
      </c>
      <c r="P19" s="49">
        <v>-0.1</v>
      </c>
      <c r="Q19" s="49">
        <v>0.35</v>
      </c>
      <c r="R19" s="49" t="s">
        <v>135</v>
      </c>
      <c r="S19" s="49" t="s">
        <v>135</v>
      </c>
      <c r="T19" s="49">
        <v>152.65270000000001</v>
      </c>
      <c r="U19" s="49" t="s">
        <v>136</v>
      </c>
      <c r="V19" s="49" t="s">
        <v>136</v>
      </c>
      <c r="W19" s="49" t="s">
        <v>137</v>
      </c>
    </row>
    <row r="20" spans="1:23">
      <c r="A20" s="49">
        <v>2</v>
      </c>
      <c r="B20" s="49">
        <v>7</v>
      </c>
      <c r="C20" s="49">
        <v>0.6</v>
      </c>
      <c r="D20" s="49">
        <v>0</v>
      </c>
      <c r="E20" s="49">
        <v>0.35</v>
      </c>
      <c r="F20" s="49" t="s">
        <v>135</v>
      </c>
      <c r="G20" s="49" t="s">
        <v>135</v>
      </c>
      <c r="H20" s="49">
        <v>152.06460000000001</v>
      </c>
      <c r="I20" s="49" t="s">
        <v>136</v>
      </c>
      <c r="J20" s="49" t="s">
        <v>136</v>
      </c>
      <c r="K20" s="49" t="s">
        <v>137</v>
      </c>
      <c r="M20" s="49">
        <v>7</v>
      </c>
      <c r="N20" s="49">
        <v>7</v>
      </c>
      <c r="O20" s="49">
        <v>0.75</v>
      </c>
      <c r="P20" s="49">
        <v>-0.1</v>
      </c>
      <c r="Q20" s="49">
        <v>0.35</v>
      </c>
      <c r="R20" s="49" t="s">
        <v>135</v>
      </c>
      <c r="S20" s="49" t="s">
        <v>135</v>
      </c>
      <c r="T20" s="49">
        <v>151.77459999999999</v>
      </c>
      <c r="U20" s="49" t="s">
        <v>136</v>
      </c>
      <c r="V20" s="49" t="s">
        <v>136</v>
      </c>
      <c r="W20" s="49" t="s">
        <v>137</v>
      </c>
    </row>
    <row r="21" spans="1:23">
      <c r="A21" s="49">
        <v>2</v>
      </c>
      <c r="B21" s="49">
        <v>8</v>
      </c>
      <c r="C21" s="49">
        <v>0.6</v>
      </c>
      <c r="D21" s="49">
        <v>0</v>
      </c>
      <c r="E21" s="49">
        <v>0.35</v>
      </c>
      <c r="F21" s="49" t="s">
        <v>135</v>
      </c>
      <c r="G21" s="49" t="s">
        <v>135</v>
      </c>
      <c r="H21" s="49">
        <v>155.8323</v>
      </c>
      <c r="I21" s="49" t="s">
        <v>136</v>
      </c>
      <c r="J21" s="49" t="s">
        <v>136</v>
      </c>
      <c r="K21" s="49" t="s">
        <v>137</v>
      </c>
      <c r="M21" s="49">
        <v>7</v>
      </c>
      <c r="N21" s="49">
        <v>8</v>
      </c>
      <c r="O21" s="49">
        <v>0.75</v>
      </c>
      <c r="P21" s="49">
        <v>-0.1</v>
      </c>
      <c r="Q21" s="49">
        <v>0.35</v>
      </c>
      <c r="R21" s="49" t="s">
        <v>135</v>
      </c>
      <c r="S21" s="49" t="s">
        <v>135</v>
      </c>
      <c r="T21" s="49">
        <v>155.05889999999999</v>
      </c>
      <c r="U21" s="49" t="s">
        <v>136</v>
      </c>
      <c r="V21" s="49" t="s">
        <v>136</v>
      </c>
      <c r="W21" s="49" t="s">
        <v>137</v>
      </c>
    </row>
    <row r="22" spans="1:23">
      <c r="A22" s="49">
        <v>2</v>
      </c>
      <c r="B22" s="49">
        <v>9</v>
      </c>
      <c r="C22" s="49">
        <v>0.6</v>
      </c>
      <c r="D22" s="49">
        <v>0</v>
      </c>
      <c r="E22" s="49">
        <v>0.35</v>
      </c>
      <c r="F22" s="49" t="s">
        <v>135</v>
      </c>
      <c r="G22" s="49" t="s">
        <v>135</v>
      </c>
      <c r="H22" s="49">
        <v>151.6738</v>
      </c>
      <c r="I22" s="49" t="s">
        <v>136</v>
      </c>
      <c r="J22" s="49" t="s">
        <v>136</v>
      </c>
      <c r="K22" s="49" t="s">
        <v>137</v>
      </c>
      <c r="M22" s="49">
        <v>7</v>
      </c>
      <c r="N22" s="49">
        <v>9</v>
      </c>
      <c r="O22" s="49">
        <v>0.75</v>
      </c>
      <c r="P22" s="49">
        <v>-0.1</v>
      </c>
      <c r="Q22" s="49">
        <v>0.35</v>
      </c>
      <c r="R22" s="49" t="s">
        <v>135</v>
      </c>
      <c r="S22" s="49" t="s">
        <v>135</v>
      </c>
      <c r="T22" s="49">
        <v>152.02760000000001</v>
      </c>
      <c r="U22" s="49" t="s">
        <v>136</v>
      </c>
      <c r="V22" s="49" t="s">
        <v>136</v>
      </c>
      <c r="W22" s="49" t="s">
        <v>137</v>
      </c>
    </row>
    <row r="23" spans="1:23">
      <c r="A23" s="49">
        <v>2</v>
      </c>
      <c r="B23" s="49">
        <v>10</v>
      </c>
      <c r="C23" s="49">
        <v>0.6</v>
      </c>
      <c r="D23" s="49">
        <v>0</v>
      </c>
      <c r="E23" s="49">
        <v>0.35</v>
      </c>
      <c r="F23" s="49" t="s">
        <v>135</v>
      </c>
      <c r="G23" s="49" t="s">
        <v>135</v>
      </c>
      <c r="H23" s="49">
        <v>153.3108</v>
      </c>
      <c r="I23" s="49" t="s">
        <v>136</v>
      </c>
      <c r="J23" s="49" t="s">
        <v>136</v>
      </c>
      <c r="K23" s="49" t="s">
        <v>137</v>
      </c>
      <c r="M23" s="49">
        <v>7</v>
      </c>
      <c r="N23" s="49">
        <v>10</v>
      </c>
      <c r="O23" s="49">
        <v>0.75</v>
      </c>
      <c r="P23" s="49">
        <v>-0.1</v>
      </c>
      <c r="Q23" s="49">
        <v>0.35</v>
      </c>
      <c r="R23" s="49" t="s">
        <v>135</v>
      </c>
      <c r="S23" s="49" t="s">
        <v>135</v>
      </c>
      <c r="T23" s="49">
        <v>152.80510000000001</v>
      </c>
      <c r="U23" s="49" t="s">
        <v>136</v>
      </c>
      <c r="V23" s="49" t="s">
        <v>136</v>
      </c>
      <c r="W23" s="49" t="s">
        <v>137</v>
      </c>
    </row>
    <row r="24" spans="1:23">
      <c r="A24" s="2"/>
      <c r="B24" s="2"/>
      <c r="C24" s="2"/>
      <c r="D24" s="2"/>
      <c r="E24" s="2"/>
      <c r="F24" s="2"/>
      <c r="G24" s="14" t="s">
        <v>138</v>
      </c>
      <c r="H24" s="14">
        <f>AVERAGE(H14:H23)</f>
        <v>153.11853</v>
      </c>
      <c r="I24" s="2"/>
      <c r="J24" s="2"/>
      <c r="K24" s="2"/>
      <c r="M24" s="2"/>
      <c r="N24" s="2"/>
      <c r="O24" s="2"/>
      <c r="P24" s="2"/>
      <c r="Q24" s="2"/>
      <c r="R24" s="2"/>
      <c r="S24" s="14" t="s">
        <v>138</v>
      </c>
      <c r="T24" s="14">
        <f>AVERAGE(T14:T23)</f>
        <v>153.51427</v>
      </c>
      <c r="U24" s="2"/>
      <c r="V24" s="2"/>
      <c r="W24" s="2"/>
    </row>
    <row r="25" spans="1:23">
      <c r="A25" s="71" t="s">
        <v>9</v>
      </c>
      <c r="B25" s="71" t="s">
        <v>126</v>
      </c>
      <c r="C25" s="71" t="s">
        <v>127</v>
      </c>
      <c r="D25" s="71" t="s">
        <v>128</v>
      </c>
      <c r="E25" s="71" t="s">
        <v>129</v>
      </c>
      <c r="F25" s="71" t="s">
        <v>130</v>
      </c>
      <c r="G25" s="71" t="s">
        <v>131</v>
      </c>
      <c r="H25" s="71" t="s">
        <v>132</v>
      </c>
      <c r="I25" s="71" t="s">
        <v>13</v>
      </c>
      <c r="J25" s="71" t="s">
        <v>133</v>
      </c>
      <c r="K25" s="71" t="s">
        <v>134</v>
      </c>
      <c r="M25" s="71" t="s">
        <v>9</v>
      </c>
      <c r="N25" s="71" t="s">
        <v>126</v>
      </c>
      <c r="O25" s="71" t="s">
        <v>127</v>
      </c>
      <c r="P25" s="71" t="s">
        <v>128</v>
      </c>
      <c r="Q25" s="71" t="s">
        <v>129</v>
      </c>
      <c r="R25" s="71" t="s">
        <v>130</v>
      </c>
      <c r="S25" s="71" t="s">
        <v>131</v>
      </c>
      <c r="T25" s="71" t="s">
        <v>132</v>
      </c>
      <c r="U25" s="71" t="s">
        <v>13</v>
      </c>
      <c r="V25" s="71" t="s">
        <v>133</v>
      </c>
      <c r="W25" s="71" t="s">
        <v>134</v>
      </c>
    </row>
    <row r="26" spans="1:23">
      <c r="A26" s="49">
        <v>3</v>
      </c>
      <c r="B26" s="49">
        <v>1</v>
      </c>
      <c r="C26" s="49">
        <v>0.52</v>
      </c>
      <c r="D26" s="49">
        <v>0.25</v>
      </c>
      <c r="E26" s="49">
        <v>0.35</v>
      </c>
      <c r="F26" s="49" t="s">
        <v>135</v>
      </c>
      <c r="G26" s="49" t="s">
        <v>135</v>
      </c>
      <c r="H26" s="49">
        <v>152.4751</v>
      </c>
      <c r="I26" s="49" t="s">
        <v>136</v>
      </c>
      <c r="J26" s="49" t="s">
        <v>136</v>
      </c>
      <c r="K26" s="49" t="s">
        <v>137</v>
      </c>
      <c r="M26" s="49">
        <v>8</v>
      </c>
      <c r="N26" s="49">
        <v>1</v>
      </c>
      <c r="O26" s="49">
        <v>0.55000000000000004</v>
      </c>
      <c r="P26" s="49">
        <v>0.3</v>
      </c>
      <c r="Q26" s="49">
        <v>0.35</v>
      </c>
      <c r="R26" s="49" t="s">
        <v>135</v>
      </c>
      <c r="S26" s="49" t="s">
        <v>135</v>
      </c>
      <c r="T26" s="49">
        <v>154.0318</v>
      </c>
      <c r="U26" s="49" t="s">
        <v>136</v>
      </c>
      <c r="V26" s="49" t="s">
        <v>136</v>
      </c>
      <c r="W26" s="49" t="s">
        <v>137</v>
      </c>
    </row>
    <row r="27" spans="1:23">
      <c r="A27" s="49">
        <v>3</v>
      </c>
      <c r="B27" s="49">
        <v>2</v>
      </c>
      <c r="C27" s="49">
        <v>0.52</v>
      </c>
      <c r="D27" s="49">
        <v>0.25</v>
      </c>
      <c r="E27" s="49">
        <v>0.35</v>
      </c>
      <c r="F27" s="49" t="s">
        <v>135</v>
      </c>
      <c r="G27" s="49" t="s">
        <v>135</v>
      </c>
      <c r="H27" s="49">
        <v>152.57910000000001</v>
      </c>
      <c r="I27" s="49" t="s">
        <v>136</v>
      </c>
      <c r="J27" s="49" t="s">
        <v>136</v>
      </c>
      <c r="K27" s="49" t="s">
        <v>137</v>
      </c>
      <c r="M27" s="49">
        <v>8</v>
      </c>
      <c r="N27" s="49">
        <v>2</v>
      </c>
      <c r="O27" s="49">
        <v>0.55000000000000004</v>
      </c>
      <c r="P27" s="49">
        <v>0.3</v>
      </c>
      <c r="Q27" s="49">
        <v>0.35</v>
      </c>
      <c r="R27" s="49" t="s">
        <v>135</v>
      </c>
      <c r="S27" s="49" t="s">
        <v>135</v>
      </c>
      <c r="T27" s="49">
        <v>151.96420000000001</v>
      </c>
      <c r="U27" s="49" t="s">
        <v>136</v>
      </c>
      <c r="V27" s="49" t="s">
        <v>136</v>
      </c>
      <c r="W27" s="49" t="s">
        <v>137</v>
      </c>
    </row>
    <row r="28" spans="1:23">
      <c r="A28" s="49">
        <v>3</v>
      </c>
      <c r="B28" s="49">
        <v>3</v>
      </c>
      <c r="C28" s="49">
        <v>0.52</v>
      </c>
      <c r="D28" s="49">
        <v>0.25</v>
      </c>
      <c r="E28" s="49">
        <v>0.35</v>
      </c>
      <c r="F28" s="49" t="s">
        <v>135</v>
      </c>
      <c r="G28" s="49" t="s">
        <v>135</v>
      </c>
      <c r="H28" s="49">
        <v>161.66210000000001</v>
      </c>
      <c r="I28" s="49" t="s">
        <v>136</v>
      </c>
      <c r="J28" s="49" t="s">
        <v>136</v>
      </c>
      <c r="K28" s="49" t="s">
        <v>137</v>
      </c>
      <c r="M28" s="49">
        <v>8</v>
      </c>
      <c r="N28" s="49">
        <v>3</v>
      </c>
      <c r="O28" s="49">
        <v>0.55000000000000004</v>
      </c>
      <c r="P28" s="49">
        <v>0.3</v>
      </c>
      <c r="Q28" s="49">
        <v>0.35</v>
      </c>
      <c r="R28" s="49" t="s">
        <v>135</v>
      </c>
      <c r="S28" s="49" t="s">
        <v>135</v>
      </c>
      <c r="T28" s="49">
        <v>152.40860000000001</v>
      </c>
      <c r="U28" s="49" t="s">
        <v>136</v>
      </c>
      <c r="V28" s="49" t="s">
        <v>136</v>
      </c>
      <c r="W28" s="49" t="s">
        <v>137</v>
      </c>
    </row>
    <row r="29" spans="1:23">
      <c r="A29" s="49">
        <v>3</v>
      </c>
      <c r="B29" s="49">
        <v>4</v>
      </c>
      <c r="C29" s="49">
        <v>0.52</v>
      </c>
      <c r="D29" s="49">
        <v>0.25</v>
      </c>
      <c r="E29" s="49">
        <v>0.35</v>
      </c>
      <c r="F29" s="49" t="s">
        <v>135</v>
      </c>
      <c r="G29" s="49" t="s">
        <v>135</v>
      </c>
      <c r="H29" s="49">
        <v>156.4419</v>
      </c>
      <c r="I29" s="49" t="s">
        <v>136</v>
      </c>
      <c r="J29" s="49" t="s">
        <v>136</v>
      </c>
      <c r="K29" s="49" t="s">
        <v>137</v>
      </c>
      <c r="M29" s="49">
        <v>8</v>
      </c>
      <c r="N29" s="49">
        <v>4</v>
      </c>
      <c r="O29" s="49">
        <v>0.55000000000000004</v>
      </c>
      <c r="P29" s="49">
        <v>0.3</v>
      </c>
      <c r="Q29" s="49">
        <v>0.35</v>
      </c>
      <c r="R29" s="49" t="s">
        <v>135</v>
      </c>
      <c r="S29" s="49" t="s">
        <v>135</v>
      </c>
      <c r="T29" s="49">
        <v>151.7193</v>
      </c>
      <c r="U29" s="49" t="s">
        <v>136</v>
      </c>
      <c r="V29" s="49" t="s">
        <v>136</v>
      </c>
      <c r="W29" s="49" t="s">
        <v>137</v>
      </c>
    </row>
    <row r="30" spans="1:23">
      <c r="A30" s="49">
        <v>3</v>
      </c>
      <c r="B30" s="49">
        <v>5</v>
      </c>
      <c r="C30" s="49">
        <v>0.52</v>
      </c>
      <c r="D30" s="49">
        <v>0.25</v>
      </c>
      <c r="E30" s="49">
        <v>0.35</v>
      </c>
      <c r="F30" s="49" t="s">
        <v>135</v>
      </c>
      <c r="G30" s="49" t="s">
        <v>135</v>
      </c>
      <c r="H30" s="49">
        <v>142.06290000000001</v>
      </c>
      <c r="I30" s="49" t="s">
        <v>136</v>
      </c>
      <c r="J30" s="49" t="s">
        <v>136</v>
      </c>
      <c r="K30" s="49" t="s">
        <v>137</v>
      </c>
      <c r="M30" s="49">
        <v>8</v>
      </c>
      <c r="N30" s="49">
        <v>5</v>
      </c>
      <c r="O30" s="49">
        <v>0.55000000000000004</v>
      </c>
      <c r="P30" s="49">
        <v>0.3</v>
      </c>
      <c r="Q30" s="49">
        <v>0.35</v>
      </c>
      <c r="R30" s="49" t="s">
        <v>135</v>
      </c>
      <c r="S30" s="49" t="s">
        <v>135</v>
      </c>
      <c r="T30" s="49">
        <v>156.5514</v>
      </c>
      <c r="U30" s="49" t="s">
        <v>136</v>
      </c>
      <c r="V30" s="49" t="s">
        <v>136</v>
      </c>
      <c r="W30" s="49" t="s">
        <v>137</v>
      </c>
    </row>
    <row r="31" spans="1:23">
      <c r="A31" s="49">
        <v>3</v>
      </c>
      <c r="B31" s="49">
        <v>6</v>
      </c>
      <c r="C31" s="49">
        <v>0.52</v>
      </c>
      <c r="D31" s="49">
        <v>0.25</v>
      </c>
      <c r="E31" s="49">
        <v>0.35</v>
      </c>
      <c r="F31" s="49" t="s">
        <v>135</v>
      </c>
      <c r="G31" s="49" t="s">
        <v>135</v>
      </c>
      <c r="H31" s="49">
        <v>151.82640000000001</v>
      </c>
      <c r="I31" s="49" t="s">
        <v>136</v>
      </c>
      <c r="J31" s="49" t="s">
        <v>136</v>
      </c>
      <c r="K31" s="49" t="s">
        <v>137</v>
      </c>
      <c r="M31" s="49">
        <v>8</v>
      </c>
      <c r="N31" s="49">
        <v>6</v>
      </c>
      <c r="O31" s="49">
        <v>0.55000000000000004</v>
      </c>
      <c r="P31" s="49">
        <v>0.3</v>
      </c>
      <c r="Q31" s="49">
        <v>0.35</v>
      </c>
      <c r="R31" s="49" t="s">
        <v>135</v>
      </c>
      <c r="S31" s="49" t="s">
        <v>135</v>
      </c>
      <c r="T31" s="49">
        <v>152.80680000000001</v>
      </c>
      <c r="U31" s="49" t="s">
        <v>136</v>
      </c>
      <c r="V31" s="49" t="s">
        <v>136</v>
      </c>
      <c r="W31" s="49" t="s">
        <v>137</v>
      </c>
    </row>
    <row r="32" spans="1:23">
      <c r="A32" s="49">
        <v>3</v>
      </c>
      <c r="B32" s="49">
        <v>7</v>
      </c>
      <c r="C32" s="49">
        <v>0.52</v>
      </c>
      <c r="D32" s="49">
        <v>0.25</v>
      </c>
      <c r="E32" s="49">
        <v>0.35</v>
      </c>
      <c r="F32" s="49" t="s">
        <v>135</v>
      </c>
      <c r="G32" s="49" t="s">
        <v>135</v>
      </c>
      <c r="H32" s="49">
        <v>151.7611</v>
      </c>
      <c r="I32" s="49" t="s">
        <v>136</v>
      </c>
      <c r="J32" s="49" t="s">
        <v>136</v>
      </c>
      <c r="K32" s="49" t="s">
        <v>137</v>
      </c>
      <c r="M32" s="49">
        <v>8</v>
      </c>
      <c r="N32" s="49">
        <v>7</v>
      </c>
      <c r="O32" s="49">
        <v>0.55000000000000004</v>
      </c>
      <c r="P32" s="49">
        <v>0.3</v>
      </c>
      <c r="Q32" s="49">
        <v>0.35</v>
      </c>
      <c r="R32" s="49" t="s">
        <v>135</v>
      </c>
      <c r="S32" s="49" t="s">
        <v>135</v>
      </c>
      <c r="T32" s="49">
        <v>154.19820000000001</v>
      </c>
      <c r="U32" s="49" t="s">
        <v>136</v>
      </c>
      <c r="V32" s="49" t="s">
        <v>136</v>
      </c>
      <c r="W32" s="49" t="s">
        <v>137</v>
      </c>
    </row>
    <row r="33" spans="1:23">
      <c r="A33" s="49">
        <v>3</v>
      </c>
      <c r="B33" s="49">
        <v>8</v>
      </c>
      <c r="C33" s="49">
        <v>0.52</v>
      </c>
      <c r="D33" s="49">
        <v>0.25</v>
      </c>
      <c r="E33" s="49">
        <v>0.35</v>
      </c>
      <c r="F33" s="49" t="s">
        <v>135</v>
      </c>
      <c r="G33" s="49" t="s">
        <v>135</v>
      </c>
      <c r="H33" s="49">
        <v>152.1397</v>
      </c>
      <c r="I33" s="49" t="s">
        <v>136</v>
      </c>
      <c r="J33" s="49" t="s">
        <v>136</v>
      </c>
      <c r="K33" s="49" t="s">
        <v>137</v>
      </c>
      <c r="M33" s="49">
        <v>8</v>
      </c>
      <c r="N33" s="49">
        <v>8</v>
      </c>
      <c r="O33" s="49">
        <v>0.55000000000000004</v>
      </c>
      <c r="P33" s="49">
        <v>0.3</v>
      </c>
      <c r="Q33" s="49">
        <v>0.35</v>
      </c>
      <c r="R33" s="49" t="s">
        <v>135</v>
      </c>
      <c r="S33" s="49" t="s">
        <v>135</v>
      </c>
      <c r="T33" s="49">
        <v>151.2569</v>
      </c>
      <c r="U33" s="49" t="s">
        <v>136</v>
      </c>
      <c r="V33" s="49" t="s">
        <v>136</v>
      </c>
      <c r="W33" s="49" t="s">
        <v>137</v>
      </c>
    </row>
    <row r="34" spans="1:23">
      <c r="A34" s="49">
        <v>3</v>
      </c>
      <c r="B34" s="49">
        <v>9</v>
      </c>
      <c r="C34" s="49">
        <v>0.52</v>
      </c>
      <c r="D34" s="49">
        <v>0.25</v>
      </c>
      <c r="E34" s="49">
        <v>0.35</v>
      </c>
      <c r="F34" s="49" t="s">
        <v>135</v>
      </c>
      <c r="G34" s="49" t="s">
        <v>135</v>
      </c>
      <c r="H34" s="49">
        <v>120.09950000000001</v>
      </c>
      <c r="I34" s="49" t="s">
        <v>136</v>
      </c>
      <c r="J34" s="49" t="s">
        <v>136</v>
      </c>
      <c r="K34" s="49" t="s">
        <v>137</v>
      </c>
      <c r="M34" s="49">
        <v>8</v>
      </c>
      <c r="N34" s="49">
        <v>9</v>
      </c>
      <c r="O34" s="49">
        <v>0.55000000000000004</v>
      </c>
      <c r="P34" s="49">
        <v>0.3</v>
      </c>
      <c r="Q34" s="49">
        <v>0.35</v>
      </c>
      <c r="R34" s="49" t="s">
        <v>135</v>
      </c>
      <c r="S34" s="49" t="s">
        <v>135</v>
      </c>
      <c r="T34" s="49">
        <v>151.96680000000001</v>
      </c>
      <c r="U34" s="49" t="s">
        <v>136</v>
      </c>
      <c r="V34" s="49" t="s">
        <v>136</v>
      </c>
      <c r="W34" s="49" t="s">
        <v>137</v>
      </c>
    </row>
    <row r="35" spans="1:23">
      <c r="A35" s="49">
        <v>3</v>
      </c>
      <c r="B35" s="49">
        <v>10</v>
      </c>
      <c r="C35" s="49">
        <v>0.52</v>
      </c>
      <c r="D35" s="49">
        <v>0.25</v>
      </c>
      <c r="E35" s="49">
        <v>0.35</v>
      </c>
      <c r="F35" s="49" t="s">
        <v>135</v>
      </c>
      <c r="G35" s="49" t="s">
        <v>135</v>
      </c>
      <c r="H35" s="49">
        <v>152.01259999999999</v>
      </c>
      <c r="I35" s="49" t="s">
        <v>136</v>
      </c>
      <c r="J35" s="49" t="s">
        <v>136</v>
      </c>
      <c r="K35" s="49" t="s">
        <v>137</v>
      </c>
      <c r="M35" s="49">
        <v>8</v>
      </c>
      <c r="N35" s="49">
        <v>10</v>
      </c>
      <c r="O35" s="49">
        <v>0.55000000000000004</v>
      </c>
      <c r="P35" s="49">
        <v>0.3</v>
      </c>
      <c r="Q35" s="49">
        <v>0.35</v>
      </c>
      <c r="R35" s="49" t="s">
        <v>135</v>
      </c>
      <c r="S35" s="49" t="s">
        <v>135</v>
      </c>
      <c r="T35" s="49">
        <v>151.84209999999999</v>
      </c>
      <c r="U35" s="49" t="s">
        <v>136</v>
      </c>
      <c r="V35" s="49" t="s">
        <v>136</v>
      </c>
      <c r="W35" s="49" t="s">
        <v>137</v>
      </c>
    </row>
    <row r="36" spans="1:23">
      <c r="A36" s="2"/>
      <c r="B36" s="2"/>
      <c r="C36" s="2"/>
      <c r="D36" s="2"/>
      <c r="E36" s="2"/>
      <c r="F36" s="2"/>
      <c r="G36" s="14" t="s">
        <v>138</v>
      </c>
      <c r="H36" s="14">
        <f>AVERAGE(H26:H35)</f>
        <v>149.30604</v>
      </c>
      <c r="I36" s="2"/>
      <c r="J36" s="2"/>
      <c r="K36" s="2"/>
      <c r="M36" s="2"/>
      <c r="N36" s="2"/>
      <c r="O36" s="2"/>
      <c r="P36" s="2"/>
      <c r="Q36" s="2"/>
      <c r="R36" s="2"/>
      <c r="S36" s="14" t="s">
        <v>138</v>
      </c>
      <c r="T36" s="14">
        <f>AVERAGE(T26:T35)</f>
        <v>152.87461</v>
      </c>
      <c r="U36" s="2"/>
      <c r="V36" s="2"/>
      <c r="W36" s="2"/>
    </row>
    <row r="37" spans="1:23">
      <c r="A37" s="71" t="s">
        <v>9</v>
      </c>
      <c r="B37" s="71" t="s">
        <v>126</v>
      </c>
      <c r="C37" s="71" t="s">
        <v>127</v>
      </c>
      <c r="D37" s="71" t="s">
        <v>128</v>
      </c>
      <c r="E37" s="71" t="s">
        <v>129</v>
      </c>
      <c r="F37" s="71" t="s">
        <v>130</v>
      </c>
      <c r="G37" s="71" t="s">
        <v>131</v>
      </c>
      <c r="H37" s="71" t="s">
        <v>132</v>
      </c>
      <c r="I37" s="71" t="s">
        <v>13</v>
      </c>
      <c r="J37" s="71" t="s">
        <v>133</v>
      </c>
      <c r="K37" s="71" t="s">
        <v>134</v>
      </c>
      <c r="M37" s="71" t="s">
        <v>9</v>
      </c>
      <c r="N37" s="71" t="s">
        <v>126</v>
      </c>
      <c r="O37" s="71" t="s">
        <v>127</v>
      </c>
      <c r="P37" s="71" t="s">
        <v>128</v>
      </c>
      <c r="Q37" s="71" t="s">
        <v>129</v>
      </c>
      <c r="R37" s="71" t="s">
        <v>130</v>
      </c>
      <c r="S37" s="71" t="s">
        <v>131</v>
      </c>
      <c r="T37" s="71" t="s">
        <v>132</v>
      </c>
      <c r="U37" s="71" t="s">
        <v>13</v>
      </c>
      <c r="V37" s="71" t="s">
        <v>133</v>
      </c>
      <c r="W37" s="71" t="s">
        <v>134</v>
      </c>
    </row>
    <row r="38" spans="1:23">
      <c r="A38" s="49">
        <v>4</v>
      </c>
      <c r="B38" s="49">
        <v>1</v>
      </c>
      <c r="C38" s="49">
        <v>0.7</v>
      </c>
      <c r="D38" s="49">
        <v>-0.25</v>
      </c>
      <c r="E38" s="49">
        <v>0.35</v>
      </c>
      <c r="F38" s="49" t="s">
        <v>135</v>
      </c>
      <c r="G38" s="49" t="s">
        <v>135</v>
      </c>
      <c r="H38" s="49">
        <v>151.8235</v>
      </c>
      <c r="I38" s="49" t="s">
        <v>136</v>
      </c>
      <c r="J38" s="49" t="s">
        <v>136</v>
      </c>
      <c r="K38" s="49" t="s">
        <v>137</v>
      </c>
      <c r="M38" s="49">
        <v>9</v>
      </c>
      <c r="N38" s="49">
        <v>1</v>
      </c>
      <c r="O38" s="49">
        <v>0.5</v>
      </c>
      <c r="P38" s="49">
        <v>-0.3</v>
      </c>
      <c r="Q38" s="49">
        <v>0.35</v>
      </c>
      <c r="R38" s="49" t="s">
        <v>135</v>
      </c>
      <c r="S38" s="49" t="s">
        <v>135</v>
      </c>
      <c r="T38" s="49">
        <v>151.16309999999999</v>
      </c>
      <c r="U38" s="49" t="s">
        <v>136</v>
      </c>
      <c r="V38" s="49" t="s">
        <v>136</v>
      </c>
      <c r="W38" s="49" t="s">
        <v>137</v>
      </c>
    </row>
    <row r="39" spans="1:23">
      <c r="A39" s="49">
        <v>4</v>
      </c>
      <c r="B39" s="49">
        <v>2</v>
      </c>
      <c r="C39" s="49">
        <v>0.7</v>
      </c>
      <c r="D39" s="49">
        <v>-0.25</v>
      </c>
      <c r="E39" s="49">
        <v>0.35</v>
      </c>
      <c r="F39" s="49" t="s">
        <v>135</v>
      </c>
      <c r="G39" s="49" t="s">
        <v>135</v>
      </c>
      <c r="H39" s="49">
        <v>151.8672</v>
      </c>
      <c r="I39" s="49" t="s">
        <v>136</v>
      </c>
      <c r="J39" s="49" t="s">
        <v>136</v>
      </c>
      <c r="K39" s="49" t="s">
        <v>137</v>
      </c>
      <c r="M39" s="49">
        <v>9</v>
      </c>
      <c r="N39" s="49">
        <v>2</v>
      </c>
      <c r="O39" s="49">
        <v>0.5</v>
      </c>
      <c r="P39" s="49">
        <v>-0.3</v>
      </c>
      <c r="Q39" s="49">
        <v>0.35</v>
      </c>
      <c r="R39" s="49" t="s">
        <v>135</v>
      </c>
      <c r="S39" s="49" t="s">
        <v>135</v>
      </c>
      <c r="T39" s="49">
        <v>151.99279999999999</v>
      </c>
      <c r="U39" s="49" t="s">
        <v>136</v>
      </c>
      <c r="V39" s="49" t="s">
        <v>136</v>
      </c>
      <c r="W39" s="49" t="s">
        <v>137</v>
      </c>
    </row>
    <row r="40" spans="1:23">
      <c r="A40" s="49">
        <v>4</v>
      </c>
      <c r="B40" s="49">
        <v>3</v>
      </c>
      <c r="C40" s="49">
        <v>0.7</v>
      </c>
      <c r="D40" s="49">
        <v>-0.25</v>
      </c>
      <c r="E40" s="49">
        <v>0.35</v>
      </c>
      <c r="F40" s="49" t="s">
        <v>135</v>
      </c>
      <c r="G40" s="49" t="s">
        <v>135</v>
      </c>
      <c r="H40" s="49">
        <v>151.63659999999999</v>
      </c>
      <c r="I40" s="49" t="s">
        <v>136</v>
      </c>
      <c r="J40" s="49" t="s">
        <v>136</v>
      </c>
      <c r="K40" s="49" t="s">
        <v>137</v>
      </c>
      <c r="M40" s="49">
        <v>9</v>
      </c>
      <c r="N40" s="49">
        <v>3</v>
      </c>
      <c r="O40" s="49">
        <v>0.5</v>
      </c>
      <c r="P40" s="49">
        <v>-0.3</v>
      </c>
      <c r="Q40" s="49">
        <v>0.35</v>
      </c>
      <c r="R40" s="49" t="s">
        <v>135</v>
      </c>
      <c r="S40" s="49" t="s">
        <v>135</v>
      </c>
      <c r="T40" s="49">
        <v>151.9761</v>
      </c>
      <c r="U40" s="49" t="s">
        <v>136</v>
      </c>
      <c r="V40" s="49" t="s">
        <v>136</v>
      </c>
      <c r="W40" s="49" t="s">
        <v>137</v>
      </c>
    </row>
    <row r="41" spans="1:23">
      <c r="A41" s="49">
        <v>4</v>
      </c>
      <c r="B41" s="49">
        <v>4</v>
      </c>
      <c r="C41" s="49">
        <v>0.7</v>
      </c>
      <c r="D41" s="49">
        <v>-0.25</v>
      </c>
      <c r="E41" s="49">
        <v>0.35</v>
      </c>
      <c r="F41" s="49" t="s">
        <v>135</v>
      </c>
      <c r="G41" s="49" t="s">
        <v>135</v>
      </c>
      <c r="H41" s="49">
        <v>152.3657</v>
      </c>
      <c r="I41" s="49" t="s">
        <v>136</v>
      </c>
      <c r="J41" s="49" t="s">
        <v>136</v>
      </c>
      <c r="K41" s="49" t="s">
        <v>137</v>
      </c>
      <c r="M41" s="49">
        <v>9</v>
      </c>
      <c r="N41" s="49">
        <v>4</v>
      </c>
      <c r="O41" s="49">
        <v>0.5</v>
      </c>
      <c r="P41" s="49">
        <v>-0.3</v>
      </c>
      <c r="Q41" s="49">
        <v>0.35</v>
      </c>
      <c r="R41" s="49" t="s">
        <v>135</v>
      </c>
      <c r="S41" s="49" t="s">
        <v>135</v>
      </c>
      <c r="T41" s="49">
        <v>152.1318</v>
      </c>
      <c r="U41" s="49" t="s">
        <v>136</v>
      </c>
      <c r="V41" s="49" t="s">
        <v>136</v>
      </c>
      <c r="W41" s="49" t="s">
        <v>137</v>
      </c>
    </row>
    <row r="42" spans="1:23">
      <c r="A42" s="49">
        <v>4</v>
      </c>
      <c r="B42" s="49">
        <v>5</v>
      </c>
      <c r="C42" s="49">
        <v>0.7</v>
      </c>
      <c r="D42" s="49">
        <v>-0.25</v>
      </c>
      <c r="E42" s="49">
        <v>0.35</v>
      </c>
      <c r="F42" s="49" t="s">
        <v>135</v>
      </c>
      <c r="G42" s="49" t="s">
        <v>135</v>
      </c>
      <c r="H42" s="49">
        <v>152.02119999999999</v>
      </c>
      <c r="I42" s="49" t="s">
        <v>136</v>
      </c>
      <c r="J42" s="49" t="s">
        <v>136</v>
      </c>
      <c r="K42" s="49" t="s">
        <v>137</v>
      </c>
      <c r="M42" s="49">
        <v>9</v>
      </c>
      <c r="N42" s="49">
        <v>5</v>
      </c>
      <c r="O42" s="49">
        <v>0.5</v>
      </c>
      <c r="P42" s="49">
        <v>-0.3</v>
      </c>
      <c r="Q42" s="49">
        <v>0.35</v>
      </c>
      <c r="R42" s="49" t="s">
        <v>135</v>
      </c>
      <c r="S42" s="49" t="s">
        <v>135</v>
      </c>
      <c r="T42" s="49">
        <v>151.7551</v>
      </c>
      <c r="U42" s="49" t="s">
        <v>136</v>
      </c>
      <c r="V42" s="49" t="s">
        <v>136</v>
      </c>
      <c r="W42" s="49" t="s">
        <v>137</v>
      </c>
    </row>
    <row r="43" spans="1:23">
      <c r="A43" s="49">
        <v>4</v>
      </c>
      <c r="B43" s="49">
        <v>6</v>
      </c>
      <c r="C43" s="49">
        <v>0.7</v>
      </c>
      <c r="D43" s="49">
        <v>-0.25</v>
      </c>
      <c r="E43" s="49">
        <v>0.35</v>
      </c>
      <c r="F43" s="49" t="s">
        <v>135</v>
      </c>
      <c r="G43" s="49" t="s">
        <v>135</v>
      </c>
      <c r="H43" s="49">
        <v>148.67529999999999</v>
      </c>
      <c r="I43" s="49" t="s">
        <v>136</v>
      </c>
      <c r="J43" s="49" t="s">
        <v>136</v>
      </c>
      <c r="K43" s="49" t="s">
        <v>137</v>
      </c>
      <c r="M43" s="49">
        <v>9</v>
      </c>
      <c r="N43" s="49">
        <v>6</v>
      </c>
      <c r="O43" s="49">
        <v>0.5</v>
      </c>
      <c r="P43" s="49">
        <v>-0.3</v>
      </c>
      <c r="Q43" s="49">
        <v>0.35</v>
      </c>
      <c r="R43" s="49" t="s">
        <v>135</v>
      </c>
      <c r="S43" s="49" t="s">
        <v>135</v>
      </c>
      <c r="T43" s="49">
        <v>152.11199999999999</v>
      </c>
      <c r="U43" s="49" t="s">
        <v>136</v>
      </c>
      <c r="V43" s="49" t="s">
        <v>136</v>
      </c>
      <c r="W43" s="49" t="s">
        <v>137</v>
      </c>
    </row>
    <row r="44" spans="1:23">
      <c r="A44" s="49">
        <v>4</v>
      </c>
      <c r="B44" s="49">
        <v>7</v>
      </c>
      <c r="C44" s="49">
        <v>0.7</v>
      </c>
      <c r="D44" s="49">
        <v>-0.25</v>
      </c>
      <c r="E44" s="49">
        <v>0.35</v>
      </c>
      <c r="F44" s="49" t="s">
        <v>135</v>
      </c>
      <c r="G44" s="49" t="s">
        <v>135</v>
      </c>
      <c r="H44" s="49">
        <v>152.02209999999999</v>
      </c>
      <c r="I44" s="49" t="s">
        <v>136</v>
      </c>
      <c r="J44" s="49" t="s">
        <v>136</v>
      </c>
      <c r="K44" s="49" t="s">
        <v>137</v>
      </c>
      <c r="M44" s="49">
        <v>9</v>
      </c>
      <c r="N44" s="49">
        <v>7</v>
      </c>
      <c r="O44" s="49">
        <v>0.5</v>
      </c>
      <c r="P44" s="49">
        <v>-0.3</v>
      </c>
      <c r="Q44" s="49">
        <v>0.35</v>
      </c>
      <c r="R44" s="49" t="s">
        <v>135</v>
      </c>
      <c r="S44" s="49" t="s">
        <v>135</v>
      </c>
      <c r="T44" s="49">
        <v>152.5421</v>
      </c>
      <c r="U44" s="49" t="s">
        <v>136</v>
      </c>
      <c r="V44" s="49" t="s">
        <v>136</v>
      </c>
      <c r="W44" s="49" t="s">
        <v>137</v>
      </c>
    </row>
    <row r="45" spans="1:23">
      <c r="A45" s="49">
        <v>4</v>
      </c>
      <c r="B45" s="49">
        <v>8</v>
      </c>
      <c r="C45" s="49">
        <v>0.7</v>
      </c>
      <c r="D45" s="49">
        <v>-0.25</v>
      </c>
      <c r="E45" s="49">
        <v>0.35</v>
      </c>
      <c r="F45" s="49" t="s">
        <v>135</v>
      </c>
      <c r="G45" s="49" t="s">
        <v>135</v>
      </c>
      <c r="H45" s="49">
        <v>150.69800000000001</v>
      </c>
      <c r="I45" s="49" t="s">
        <v>136</v>
      </c>
      <c r="J45" s="49" t="s">
        <v>136</v>
      </c>
      <c r="K45" s="49" t="s">
        <v>137</v>
      </c>
      <c r="M45" s="49">
        <v>9</v>
      </c>
      <c r="N45" s="49">
        <v>8</v>
      </c>
      <c r="O45" s="49">
        <v>0.5</v>
      </c>
      <c r="P45" s="49">
        <v>-0.3</v>
      </c>
      <c r="Q45" s="49">
        <v>0.35</v>
      </c>
      <c r="R45" s="49" t="s">
        <v>135</v>
      </c>
      <c r="S45" s="49" t="s">
        <v>135</v>
      </c>
      <c r="T45" s="49">
        <v>151.72839999999999</v>
      </c>
      <c r="U45" s="49" t="s">
        <v>136</v>
      </c>
      <c r="V45" s="49" t="s">
        <v>136</v>
      </c>
      <c r="W45" s="49" t="s">
        <v>137</v>
      </c>
    </row>
    <row r="46" spans="1:23">
      <c r="A46" s="49">
        <v>4</v>
      </c>
      <c r="B46" s="49">
        <v>9</v>
      </c>
      <c r="C46" s="49">
        <v>0.7</v>
      </c>
      <c r="D46" s="49">
        <v>-0.25</v>
      </c>
      <c r="E46" s="49">
        <v>0.35</v>
      </c>
      <c r="F46" s="49" t="s">
        <v>135</v>
      </c>
      <c r="G46" s="49" t="s">
        <v>135</v>
      </c>
      <c r="H46" s="49">
        <v>162.04310000000001</v>
      </c>
      <c r="I46" s="49" t="s">
        <v>136</v>
      </c>
      <c r="J46" s="49" t="s">
        <v>136</v>
      </c>
      <c r="K46" s="49" t="s">
        <v>137</v>
      </c>
      <c r="M46" s="49">
        <v>9</v>
      </c>
      <c r="N46" s="49">
        <v>9</v>
      </c>
      <c r="O46" s="49">
        <v>0.5</v>
      </c>
      <c r="P46" s="49">
        <v>-0.3</v>
      </c>
      <c r="Q46" s="49">
        <v>0.35</v>
      </c>
      <c r="R46" s="49" t="s">
        <v>135</v>
      </c>
      <c r="S46" s="49" t="s">
        <v>135</v>
      </c>
      <c r="T46" s="49">
        <v>147.4965</v>
      </c>
      <c r="U46" s="49" t="s">
        <v>136</v>
      </c>
      <c r="V46" s="49" t="s">
        <v>136</v>
      </c>
      <c r="W46" s="49" t="s">
        <v>137</v>
      </c>
    </row>
    <row r="47" spans="1:23">
      <c r="A47" s="49">
        <v>4</v>
      </c>
      <c r="B47" s="49">
        <v>10</v>
      </c>
      <c r="C47" s="49">
        <v>0.52</v>
      </c>
      <c r="D47" s="49">
        <v>-0.25</v>
      </c>
      <c r="E47" s="49">
        <v>0.35</v>
      </c>
      <c r="F47" s="49" t="s">
        <v>135</v>
      </c>
      <c r="G47" s="49" t="s">
        <v>135</v>
      </c>
      <c r="H47" s="49">
        <v>152.5292</v>
      </c>
      <c r="I47" s="49" t="s">
        <v>136</v>
      </c>
      <c r="J47" s="49" t="s">
        <v>136</v>
      </c>
      <c r="K47" s="49" t="s">
        <v>137</v>
      </c>
      <c r="M47" s="49">
        <v>9</v>
      </c>
      <c r="N47" s="49">
        <v>10</v>
      </c>
      <c r="O47" s="49">
        <v>0.5</v>
      </c>
      <c r="P47" s="49">
        <v>-0.3</v>
      </c>
      <c r="Q47" s="49">
        <v>0.35</v>
      </c>
      <c r="R47" s="49" t="s">
        <v>135</v>
      </c>
      <c r="S47" s="49" t="s">
        <v>135</v>
      </c>
      <c r="T47" s="49">
        <v>153.75880000000001</v>
      </c>
      <c r="U47" s="49" t="s">
        <v>136</v>
      </c>
      <c r="V47" s="49" t="s">
        <v>136</v>
      </c>
      <c r="W47" s="49" t="s">
        <v>137</v>
      </c>
    </row>
    <row r="48" spans="1:23">
      <c r="A48" s="2"/>
      <c r="B48" s="2"/>
      <c r="C48" s="2"/>
      <c r="D48" s="2"/>
      <c r="E48" s="2"/>
      <c r="F48" s="2"/>
      <c r="G48" s="14" t="s">
        <v>138</v>
      </c>
      <c r="H48" s="14">
        <f>AVERAGE(H38:H47)</f>
        <v>152.56819</v>
      </c>
      <c r="I48" s="2"/>
      <c r="J48" s="2"/>
      <c r="K48" s="2"/>
      <c r="M48" s="2"/>
      <c r="N48" s="2"/>
      <c r="O48" s="2"/>
      <c r="P48" s="2"/>
      <c r="Q48" s="2"/>
      <c r="R48" s="2"/>
      <c r="S48" s="14" t="s">
        <v>138</v>
      </c>
      <c r="T48" s="14">
        <f>AVERAGE(T38:T47)</f>
        <v>151.66567</v>
      </c>
      <c r="U48" s="2"/>
      <c r="V48" s="2"/>
      <c r="W48" s="2"/>
    </row>
    <row r="49" spans="1:23">
      <c r="A49" s="71" t="s">
        <v>9</v>
      </c>
      <c r="B49" s="71" t="s">
        <v>126</v>
      </c>
      <c r="C49" s="71" t="s">
        <v>127</v>
      </c>
      <c r="D49" s="71" t="s">
        <v>128</v>
      </c>
      <c r="E49" s="71" t="s">
        <v>129</v>
      </c>
      <c r="F49" s="71" t="s">
        <v>130</v>
      </c>
      <c r="G49" s="71" t="s">
        <v>131</v>
      </c>
      <c r="H49" s="71" t="s">
        <v>132</v>
      </c>
      <c r="I49" s="71" t="s">
        <v>13</v>
      </c>
      <c r="J49" s="71" t="s">
        <v>133</v>
      </c>
      <c r="K49" s="71" t="s">
        <v>134</v>
      </c>
      <c r="M49" s="71" t="s">
        <v>9</v>
      </c>
      <c r="N49" s="71" t="s">
        <v>126</v>
      </c>
      <c r="O49" s="71" t="s">
        <v>127</v>
      </c>
      <c r="P49" s="71" t="s">
        <v>128</v>
      </c>
      <c r="Q49" s="71" t="s">
        <v>129</v>
      </c>
      <c r="R49" s="71" t="s">
        <v>130</v>
      </c>
      <c r="S49" s="71" t="s">
        <v>131</v>
      </c>
      <c r="T49" s="71" t="s">
        <v>132</v>
      </c>
      <c r="U49" s="71" t="s">
        <v>13</v>
      </c>
      <c r="V49" s="71" t="s">
        <v>133</v>
      </c>
      <c r="W49" s="71" t="s">
        <v>134</v>
      </c>
    </row>
    <row r="50" spans="1:23">
      <c r="A50" s="49">
        <v>5</v>
      </c>
      <c r="B50" s="49">
        <v>1</v>
      </c>
      <c r="C50" s="49">
        <v>0.62</v>
      </c>
      <c r="D50" s="49">
        <v>0.18</v>
      </c>
      <c r="E50" s="49">
        <v>0.35</v>
      </c>
      <c r="F50" s="49" t="s">
        <v>135</v>
      </c>
      <c r="G50" s="49" t="s">
        <v>135</v>
      </c>
      <c r="H50" s="49">
        <v>155.69730000000001</v>
      </c>
      <c r="I50" s="49" t="s">
        <v>136</v>
      </c>
      <c r="J50" s="49" t="s">
        <v>136</v>
      </c>
      <c r="K50" s="49" t="s">
        <v>137</v>
      </c>
      <c r="M50" s="49">
        <v>10</v>
      </c>
      <c r="N50" s="49">
        <v>1</v>
      </c>
      <c r="O50" s="49">
        <v>0.75</v>
      </c>
      <c r="P50" s="49">
        <v>0.3</v>
      </c>
      <c r="Q50" s="49">
        <v>0.35</v>
      </c>
      <c r="R50" s="49" t="s">
        <v>135</v>
      </c>
      <c r="S50" s="49" t="s">
        <v>135</v>
      </c>
      <c r="T50" s="49">
        <v>159.64150000000001</v>
      </c>
      <c r="U50" s="49" t="s">
        <v>136</v>
      </c>
      <c r="V50" s="49" t="s">
        <v>136</v>
      </c>
      <c r="W50" s="49" t="s">
        <v>137</v>
      </c>
    </row>
    <row r="51" spans="1:23">
      <c r="A51" s="49">
        <v>5</v>
      </c>
      <c r="B51" s="49">
        <v>2</v>
      </c>
      <c r="C51" s="49">
        <v>0.62</v>
      </c>
      <c r="D51" s="49">
        <v>0.18</v>
      </c>
      <c r="E51" s="49">
        <v>0.35</v>
      </c>
      <c r="F51" s="49" t="s">
        <v>135</v>
      </c>
      <c r="G51" s="49" t="s">
        <v>135</v>
      </c>
      <c r="H51" s="49">
        <v>152.0994</v>
      </c>
      <c r="I51" s="49" t="s">
        <v>136</v>
      </c>
      <c r="J51" s="49" t="s">
        <v>136</v>
      </c>
      <c r="K51" s="49" t="s">
        <v>137</v>
      </c>
      <c r="M51" s="49">
        <v>10</v>
      </c>
      <c r="N51" s="49">
        <v>2</v>
      </c>
      <c r="O51" s="49">
        <v>0.75</v>
      </c>
      <c r="P51" s="49">
        <v>0.3</v>
      </c>
      <c r="Q51" s="49">
        <v>0.35</v>
      </c>
      <c r="R51" s="49" t="s">
        <v>135</v>
      </c>
      <c r="S51" s="49" t="s">
        <v>135</v>
      </c>
      <c r="T51" s="49">
        <v>152.05119999999999</v>
      </c>
      <c r="U51" s="49" t="s">
        <v>136</v>
      </c>
      <c r="V51" s="49" t="s">
        <v>136</v>
      </c>
      <c r="W51" s="49" t="s">
        <v>137</v>
      </c>
    </row>
    <row r="52" spans="1:23">
      <c r="A52" s="49">
        <v>5</v>
      </c>
      <c r="B52" s="49">
        <v>3</v>
      </c>
      <c r="C52" s="49">
        <v>0.62</v>
      </c>
      <c r="D52" s="49">
        <v>0.18</v>
      </c>
      <c r="E52" s="49">
        <v>0.35</v>
      </c>
      <c r="F52" s="49" t="s">
        <v>135</v>
      </c>
      <c r="G52" s="49" t="s">
        <v>135</v>
      </c>
      <c r="H52" s="49">
        <v>152.1919</v>
      </c>
      <c r="I52" s="49" t="s">
        <v>136</v>
      </c>
      <c r="J52" s="49" t="s">
        <v>136</v>
      </c>
      <c r="K52" s="49" t="s">
        <v>137</v>
      </c>
      <c r="M52" s="49">
        <v>10</v>
      </c>
      <c r="N52" s="49">
        <v>3</v>
      </c>
      <c r="O52" s="49">
        <v>0.75</v>
      </c>
      <c r="P52" s="49">
        <v>0.3</v>
      </c>
      <c r="Q52" s="49">
        <v>0.35</v>
      </c>
      <c r="R52" s="49" t="s">
        <v>135</v>
      </c>
      <c r="S52" s="49" t="s">
        <v>135</v>
      </c>
      <c r="T52" s="49">
        <v>151.78280000000001</v>
      </c>
      <c r="U52" s="49" t="s">
        <v>136</v>
      </c>
      <c r="V52" s="49" t="s">
        <v>136</v>
      </c>
      <c r="W52" s="49" t="s">
        <v>137</v>
      </c>
    </row>
    <row r="53" spans="1:23">
      <c r="A53" s="49">
        <v>5</v>
      </c>
      <c r="B53" s="49">
        <v>4</v>
      </c>
      <c r="C53" s="49">
        <v>0.62</v>
      </c>
      <c r="D53" s="49">
        <v>0.18</v>
      </c>
      <c r="E53" s="49">
        <v>0.35</v>
      </c>
      <c r="F53" s="49" t="s">
        <v>135</v>
      </c>
      <c r="G53" s="49" t="s">
        <v>135</v>
      </c>
      <c r="H53" s="49">
        <v>151.95230000000001</v>
      </c>
      <c r="I53" s="49" t="s">
        <v>136</v>
      </c>
      <c r="J53" s="49" t="s">
        <v>136</v>
      </c>
      <c r="K53" s="49" t="s">
        <v>137</v>
      </c>
      <c r="M53" s="49">
        <v>10</v>
      </c>
      <c r="N53" s="49">
        <v>4</v>
      </c>
      <c r="O53" s="49">
        <v>0.75</v>
      </c>
      <c r="P53" s="49">
        <v>0.3</v>
      </c>
      <c r="Q53" s="49">
        <v>0.35</v>
      </c>
      <c r="R53" s="49" t="s">
        <v>135</v>
      </c>
      <c r="S53" s="49" t="s">
        <v>135</v>
      </c>
      <c r="T53" s="49">
        <v>151.53440000000001</v>
      </c>
      <c r="U53" s="49" t="s">
        <v>136</v>
      </c>
      <c r="V53" s="49" t="s">
        <v>136</v>
      </c>
      <c r="W53" s="49" t="s">
        <v>137</v>
      </c>
    </row>
    <row r="54" spans="1:23">
      <c r="A54" s="49">
        <v>5</v>
      </c>
      <c r="B54" s="49">
        <v>5</v>
      </c>
      <c r="C54" s="49">
        <v>0.62</v>
      </c>
      <c r="D54" s="49">
        <v>0.18</v>
      </c>
      <c r="E54" s="49">
        <v>0.35</v>
      </c>
      <c r="F54" s="49" t="s">
        <v>135</v>
      </c>
      <c r="G54" s="49" t="s">
        <v>135</v>
      </c>
      <c r="H54" s="49">
        <v>152.1189</v>
      </c>
      <c r="I54" s="49" t="s">
        <v>136</v>
      </c>
      <c r="J54" s="49" t="s">
        <v>136</v>
      </c>
      <c r="K54" s="49" t="s">
        <v>137</v>
      </c>
      <c r="M54" s="49">
        <v>10</v>
      </c>
      <c r="N54" s="49">
        <v>5</v>
      </c>
      <c r="O54" s="49">
        <v>0.75</v>
      </c>
      <c r="P54" s="49">
        <v>0.3</v>
      </c>
      <c r="Q54" s="49">
        <v>0.35</v>
      </c>
      <c r="R54" s="49" t="s">
        <v>135</v>
      </c>
      <c r="S54" s="49" t="s">
        <v>135</v>
      </c>
      <c r="T54" s="49">
        <v>152.4341</v>
      </c>
      <c r="U54" s="49" t="s">
        <v>136</v>
      </c>
      <c r="V54" s="49" t="s">
        <v>136</v>
      </c>
      <c r="W54" s="49" t="s">
        <v>137</v>
      </c>
    </row>
    <row r="55" spans="1:23">
      <c r="A55" s="49">
        <v>5</v>
      </c>
      <c r="B55" s="49">
        <v>6</v>
      </c>
      <c r="C55" s="49">
        <v>0.62</v>
      </c>
      <c r="D55" s="49">
        <v>0.18</v>
      </c>
      <c r="E55" s="49">
        <v>0.35</v>
      </c>
      <c r="F55" s="49" t="s">
        <v>135</v>
      </c>
      <c r="G55" s="49" t="s">
        <v>135</v>
      </c>
      <c r="H55" s="49">
        <v>151.81469999999999</v>
      </c>
      <c r="I55" s="49" t="s">
        <v>136</v>
      </c>
      <c r="J55" s="49" t="s">
        <v>136</v>
      </c>
      <c r="K55" s="49" t="s">
        <v>137</v>
      </c>
      <c r="M55" s="49">
        <v>10</v>
      </c>
      <c r="N55" s="49">
        <v>6</v>
      </c>
      <c r="O55" s="49">
        <v>0.75</v>
      </c>
      <c r="P55" s="49">
        <v>0.3</v>
      </c>
      <c r="Q55" s="49">
        <v>0.35</v>
      </c>
      <c r="R55" s="49" t="s">
        <v>135</v>
      </c>
      <c r="S55" s="49" t="s">
        <v>135</v>
      </c>
      <c r="T55" s="49">
        <v>152.3049</v>
      </c>
      <c r="U55" s="49" t="s">
        <v>136</v>
      </c>
      <c r="V55" s="49" t="s">
        <v>136</v>
      </c>
      <c r="W55" s="49" t="s">
        <v>137</v>
      </c>
    </row>
    <row r="56" spans="1:23">
      <c r="A56" s="49">
        <v>5</v>
      </c>
      <c r="B56" s="49">
        <v>7</v>
      </c>
      <c r="C56" s="49">
        <v>0.62</v>
      </c>
      <c r="D56" s="49">
        <v>0.18</v>
      </c>
      <c r="E56" s="49">
        <v>0.35</v>
      </c>
      <c r="F56" s="49" t="s">
        <v>135</v>
      </c>
      <c r="G56" s="49" t="s">
        <v>135</v>
      </c>
      <c r="H56" s="49">
        <v>152.54929999999999</v>
      </c>
      <c r="I56" s="49" t="s">
        <v>136</v>
      </c>
      <c r="J56" s="49" t="s">
        <v>136</v>
      </c>
      <c r="K56" s="49" t="s">
        <v>137</v>
      </c>
      <c r="M56" s="49">
        <v>10</v>
      </c>
      <c r="N56" s="49">
        <v>7</v>
      </c>
      <c r="O56" s="49">
        <v>0.75</v>
      </c>
      <c r="P56" s="49">
        <v>0.3</v>
      </c>
      <c r="Q56" s="49">
        <v>0.35</v>
      </c>
      <c r="R56" s="49" t="s">
        <v>135</v>
      </c>
      <c r="S56" s="49" t="s">
        <v>135</v>
      </c>
      <c r="T56" s="49">
        <v>152.17189999999999</v>
      </c>
      <c r="U56" s="49" t="s">
        <v>136</v>
      </c>
      <c r="V56" s="49" t="s">
        <v>136</v>
      </c>
      <c r="W56" s="49" t="s">
        <v>137</v>
      </c>
    </row>
    <row r="57" spans="1:23">
      <c r="A57" s="49">
        <v>5</v>
      </c>
      <c r="B57" s="49">
        <v>8</v>
      </c>
      <c r="C57" s="49">
        <v>0.62</v>
      </c>
      <c r="D57" s="49">
        <v>0.18</v>
      </c>
      <c r="E57" s="49">
        <v>0.35</v>
      </c>
      <c r="F57" s="49" t="s">
        <v>135</v>
      </c>
      <c r="G57" s="49" t="s">
        <v>135</v>
      </c>
      <c r="H57" s="49">
        <v>152.20310000000001</v>
      </c>
      <c r="I57" s="49" t="s">
        <v>136</v>
      </c>
      <c r="J57" s="49" t="s">
        <v>136</v>
      </c>
      <c r="K57" s="49" t="s">
        <v>137</v>
      </c>
      <c r="M57" s="49">
        <v>10</v>
      </c>
      <c r="N57" s="49">
        <v>8</v>
      </c>
      <c r="O57" s="49">
        <v>0.75</v>
      </c>
      <c r="P57" s="49">
        <v>0.3</v>
      </c>
      <c r="Q57" s="49">
        <v>0.35</v>
      </c>
      <c r="R57" s="49" t="s">
        <v>135</v>
      </c>
      <c r="S57" s="49" t="s">
        <v>135</v>
      </c>
      <c r="T57" s="49">
        <v>153.95310000000001</v>
      </c>
      <c r="U57" s="49" t="s">
        <v>136</v>
      </c>
      <c r="V57" s="49" t="s">
        <v>136</v>
      </c>
      <c r="W57" s="49" t="s">
        <v>137</v>
      </c>
    </row>
    <row r="58" spans="1:23">
      <c r="A58" s="49">
        <v>5</v>
      </c>
      <c r="B58" s="49">
        <v>9</v>
      </c>
      <c r="C58" s="49">
        <v>0.62</v>
      </c>
      <c r="D58" s="49">
        <v>0.18</v>
      </c>
      <c r="E58" s="49">
        <v>0.35</v>
      </c>
      <c r="F58" s="49" t="s">
        <v>135</v>
      </c>
      <c r="G58" s="49" t="s">
        <v>135</v>
      </c>
      <c r="H58" s="49">
        <v>151.3426</v>
      </c>
      <c r="I58" s="49" t="s">
        <v>136</v>
      </c>
      <c r="J58" s="49" t="s">
        <v>136</v>
      </c>
      <c r="K58" s="49" t="s">
        <v>137</v>
      </c>
      <c r="M58" s="49">
        <v>10</v>
      </c>
      <c r="N58" s="49">
        <v>9</v>
      </c>
      <c r="O58" s="49">
        <v>0.75</v>
      </c>
      <c r="P58" s="49">
        <v>0.3</v>
      </c>
      <c r="Q58" s="49">
        <v>0.35</v>
      </c>
      <c r="R58" s="49" t="s">
        <v>135</v>
      </c>
      <c r="S58" s="49" t="s">
        <v>135</v>
      </c>
      <c r="T58" s="49">
        <v>151.92869999999999</v>
      </c>
      <c r="U58" s="49" t="s">
        <v>136</v>
      </c>
      <c r="V58" s="49" t="s">
        <v>136</v>
      </c>
      <c r="W58" s="49" t="s">
        <v>137</v>
      </c>
    </row>
    <row r="59" spans="1:23">
      <c r="A59" s="49">
        <v>5</v>
      </c>
      <c r="B59" s="49">
        <v>10</v>
      </c>
      <c r="C59" s="49">
        <v>0.62</v>
      </c>
      <c r="D59" s="49">
        <v>0.18</v>
      </c>
      <c r="E59" s="49">
        <v>0.35</v>
      </c>
      <c r="F59" s="49" t="s">
        <v>135</v>
      </c>
      <c r="G59" s="49" t="s">
        <v>135</v>
      </c>
      <c r="H59" s="49">
        <v>152.51949999999999</v>
      </c>
      <c r="I59" s="49" t="s">
        <v>136</v>
      </c>
      <c r="J59" s="49" t="s">
        <v>136</v>
      </c>
      <c r="K59" s="49" t="s">
        <v>137</v>
      </c>
      <c r="M59" s="49">
        <v>10</v>
      </c>
      <c r="N59" s="49">
        <v>10</v>
      </c>
      <c r="O59" s="49">
        <v>0.75</v>
      </c>
      <c r="P59" s="49">
        <v>0.3</v>
      </c>
      <c r="Q59" s="49">
        <v>0.35</v>
      </c>
      <c r="R59" s="49" t="s">
        <v>135</v>
      </c>
      <c r="S59" s="49" t="s">
        <v>135</v>
      </c>
      <c r="T59" s="49">
        <v>151.4128</v>
      </c>
      <c r="U59" s="49" t="s">
        <v>136</v>
      </c>
      <c r="V59" s="49" t="s">
        <v>136</v>
      </c>
      <c r="W59" s="49" t="s">
        <v>137</v>
      </c>
    </row>
    <row r="60" spans="1:23">
      <c r="A60" s="2"/>
      <c r="B60" s="2"/>
      <c r="C60" s="2"/>
      <c r="D60" s="2"/>
      <c r="E60" s="2"/>
      <c r="F60" s="2"/>
      <c r="G60" s="14" t="s">
        <v>138</v>
      </c>
      <c r="H60" s="14">
        <f>AVERAGE(H50:H59)</f>
        <v>152.4489</v>
      </c>
      <c r="I60" s="2"/>
      <c r="J60" s="2"/>
      <c r="K60" s="2"/>
      <c r="S60" s="14" t="s">
        <v>138</v>
      </c>
      <c r="T60" s="14">
        <f>AVERAGE(T50:T59)</f>
        <v>152.92154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0"/>
  <sheetViews>
    <sheetView workbookViewId="0"/>
  </sheetViews>
  <sheetFormatPr defaultRowHeight="13.8"/>
  <cols>
    <col min="1" max="1" width="5.59765625" customWidth="1"/>
    <col min="2" max="2" width="9.8984375" customWidth="1"/>
    <col min="3" max="5" width="7.19921875" customWidth="1"/>
    <col min="6" max="6" width="31.09765625" customWidth="1"/>
    <col min="7" max="7" width="22.69921875" customWidth="1"/>
    <col min="8" max="8" width="23.69921875" customWidth="1"/>
    <col min="9" max="9" width="21.59765625" customWidth="1"/>
    <col min="10" max="10" width="17.8984375" customWidth="1"/>
    <col min="11" max="11" width="11.59765625" customWidth="1"/>
    <col min="13" max="13" width="5.59765625" customWidth="1"/>
    <col min="14" max="14" width="9.8984375" customWidth="1"/>
    <col min="15" max="17" width="7.19921875" customWidth="1"/>
    <col min="18" max="18" width="26.19921875" customWidth="1"/>
    <col min="19" max="19" width="18.19921875" customWidth="1"/>
    <col min="20" max="20" width="19.19921875" customWidth="1"/>
    <col min="21" max="21" width="18.69921875" customWidth="1"/>
    <col min="22" max="22" width="17.8984375" customWidth="1"/>
    <col min="23" max="23" width="11.59765625" customWidth="1"/>
  </cols>
  <sheetData>
    <row r="1" spans="1:23">
      <c r="A1" s="71" t="s">
        <v>9</v>
      </c>
      <c r="B1" s="71" t="s">
        <v>126</v>
      </c>
      <c r="C1" s="71" t="s">
        <v>127</v>
      </c>
      <c r="D1" s="71" t="s">
        <v>128</v>
      </c>
      <c r="E1" s="71" t="s">
        <v>129</v>
      </c>
      <c r="F1" s="71" t="s">
        <v>139</v>
      </c>
      <c r="G1" s="71" t="s">
        <v>140</v>
      </c>
      <c r="H1" s="71" t="s">
        <v>132</v>
      </c>
      <c r="I1" s="71" t="s">
        <v>13</v>
      </c>
      <c r="J1" s="71" t="s">
        <v>133</v>
      </c>
      <c r="K1" s="71" t="s">
        <v>134</v>
      </c>
      <c r="L1" s="2"/>
      <c r="M1" s="71" t="s">
        <v>9</v>
      </c>
      <c r="N1" s="71" t="s">
        <v>126</v>
      </c>
      <c r="O1" s="71" t="s">
        <v>127</v>
      </c>
      <c r="P1" s="71" t="s">
        <v>128</v>
      </c>
      <c r="Q1" s="71" t="s">
        <v>129</v>
      </c>
      <c r="R1" s="71" t="s">
        <v>139</v>
      </c>
      <c r="S1" s="71" t="s">
        <v>140</v>
      </c>
      <c r="T1" s="71" t="s">
        <v>132</v>
      </c>
      <c r="U1" s="71" t="s">
        <v>13</v>
      </c>
      <c r="V1" s="71" t="s">
        <v>133</v>
      </c>
      <c r="W1" s="71" t="s">
        <v>134</v>
      </c>
    </row>
    <row r="2" spans="1:23">
      <c r="A2" s="49">
        <v>1</v>
      </c>
      <c r="B2" s="49">
        <v>1</v>
      </c>
      <c r="C2" s="49">
        <v>0.55000000000000004</v>
      </c>
      <c r="D2" s="49">
        <v>-0.2</v>
      </c>
      <c r="E2" s="49">
        <v>0.35</v>
      </c>
      <c r="F2" s="49" t="s">
        <v>135</v>
      </c>
      <c r="G2" s="49" t="s">
        <v>141</v>
      </c>
      <c r="H2" s="49">
        <v>1.863</v>
      </c>
      <c r="I2" s="49" t="s">
        <v>42</v>
      </c>
      <c r="J2" s="49" t="s">
        <v>42</v>
      </c>
      <c r="K2" s="49" t="s">
        <v>137</v>
      </c>
      <c r="L2" s="2"/>
      <c r="M2" s="49">
        <v>2</v>
      </c>
      <c r="N2" s="49">
        <v>1</v>
      </c>
      <c r="O2" s="49">
        <v>0.6</v>
      </c>
      <c r="P2" s="49">
        <v>0</v>
      </c>
      <c r="Q2" s="49">
        <v>0.35</v>
      </c>
      <c r="R2" s="49" t="s">
        <v>135</v>
      </c>
      <c r="S2" s="49" t="s">
        <v>141</v>
      </c>
      <c r="T2" s="49">
        <v>1.7668999999999999</v>
      </c>
      <c r="U2" s="49" t="s">
        <v>42</v>
      </c>
      <c r="V2" s="49" t="s">
        <v>42</v>
      </c>
      <c r="W2" s="49" t="s">
        <v>137</v>
      </c>
    </row>
    <row r="3" spans="1:23">
      <c r="A3" s="49">
        <v>1</v>
      </c>
      <c r="B3" s="49">
        <v>1</v>
      </c>
      <c r="C3" s="49">
        <v>0.7</v>
      </c>
      <c r="D3" s="49">
        <v>0.2</v>
      </c>
      <c r="E3" s="49">
        <v>0.42</v>
      </c>
      <c r="F3" s="49" t="s">
        <v>135</v>
      </c>
      <c r="G3" s="49" t="s">
        <v>141</v>
      </c>
      <c r="H3" s="49">
        <v>1.9201999999999999</v>
      </c>
      <c r="I3" s="49" t="s">
        <v>42</v>
      </c>
      <c r="J3" s="49" t="s">
        <v>42</v>
      </c>
      <c r="K3" s="49" t="s">
        <v>137</v>
      </c>
      <c r="L3" s="2"/>
      <c r="M3" s="49">
        <v>2</v>
      </c>
      <c r="N3" s="49">
        <v>1</v>
      </c>
      <c r="O3" s="49">
        <v>0.5</v>
      </c>
      <c r="P3" s="49">
        <v>0.25</v>
      </c>
      <c r="Q3" s="49">
        <v>0.42</v>
      </c>
      <c r="R3" s="49" t="s">
        <v>135</v>
      </c>
      <c r="S3" s="49" t="s">
        <v>141</v>
      </c>
      <c r="T3" s="49">
        <v>2.8881999999999999</v>
      </c>
      <c r="U3" s="49" t="s">
        <v>42</v>
      </c>
      <c r="V3" s="49" t="s">
        <v>42</v>
      </c>
      <c r="W3" s="49" t="s">
        <v>137</v>
      </c>
    </row>
    <row r="4" spans="1:23">
      <c r="A4" s="49">
        <v>1</v>
      </c>
      <c r="B4" s="49">
        <v>2</v>
      </c>
      <c r="C4" s="49">
        <v>0.55000000000000004</v>
      </c>
      <c r="D4" s="49">
        <v>-0.2</v>
      </c>
      <c r="E4" s="49">
        <v>0.35</v>
      </c>
      <c r="F4" s="49" t="s">
        <v>135</v>
      </c>
      <c r="G4" s="49" t="s">
        <v>141</v>
      </c>
      <c r="H4" s="49">
        <v>2.0882999999999998</v>
      </c>
      <c r="I4" s="49" t="s">
        <v>42</v>
      </c>
      <c r="J4" s="49" t="s">
        <v>42</v>
      </c>
      <c r="K4" s="49" t="s">
        <v>137</v>
      </c>
      <c r="L4" s="2"/>
      <c r="M4" s="49">
        <v>2</v>
      </c>
      <c r="N4" s="49">
        <v>2</v>
      </c>
      <c r="O4" s="49">
        <v>0.6</v>
      </c>
      <c r="P4" s="49">
        <v>0</v>
      </c>
      <c r="Q4" s="49">
        <v>0.35</v>
      </c>
      <c r="R4" s="49" t="s">
        <v>135</v>
      </c>
      <c r="S4" s="49" t="s">
        <v>141</v>
      </c>
      <c r="T4" s="49">
        <v>3.2290999999999999</v>
      </c>
      <c r="U4" s="49" t="s">
        <v>42</v>
      </c>
      <c r="V4" s="49" t="s">
        <v>42</v>
      </c>
      <c r="W4" s="49" t="s">
        <v>137</v>
      </c>
    </row>
    <row r="5" spans="1:23">
      <c r="A5" s="49">
        <v>1</v>
      </c>
      <c r="B5" s="49">
        <v>2</v>
      </c>
      <c r="C5" s="49">
        <v>0.7</v>
      </c>
      <c r="D5" s="49">
        <v>0.2</v>
      </c>
      <c r="E5" s="49">
        <v>0.42</v>
      </c>
      <c r="F5" s="49" t="s">
        <v>135</v>
      </c>
      <c r="G5" s="49" t="s">
        <v>141</v>
      </c>
      <c r="H5" s="49">
        <v>2.8311999999999999</v>
      </c>
      <c r="I5" s="49" t="s">
        <v>42</v>
      </c>
      <c r="J5" s="49" t="s">
        <v>42</v>
      </c>
      <c r="K5" s="49" t="s">
        <v>137</v>
      </c>
      <c r="L5" s="2"/>
      <c r="M5" s="49">
        <v>2</v>
      </c>
      <c r="N5" s="49">
        <v>2</v>
      </c>
      <c r="O5" s="49">
        <v>0.5</v>
      </c>
      <c r="P5" s="49">
        <v>0.25</v>
      </c>
      <c r="Q5" s="49">
        <v>0.42</v>
      </c>
      <c r="R5" s="49" t="s">
        <v>135</v>
      </c>
      <c r="S5" s="49" t="s">
        <v>141</v>
      </c>
      <c r="T5" s="49">
        <v>1.7390000000000001</v>
      </c>
      <c r="U5" s="49" t="s">
        <v>42</v>
      </c>
      <c r="V5" s="49" t="s">
        <v>42</v>
      </c>
      <c r="W5" s="49" t="s">
        <v>137</v>
      </c>
    </row>
    <row r="6" spans="1:23">
      <c r="A6" s="49">
        <v>1</v>
      </c>
      <c r="B6" s="49">
        <v>3</v>
      </c>
      <c r="C6" s="49">
        <v>0.55000000000000004</v>
      </c>
      <c r="D6" s="49">
        <v>-0.2</v>
      </c>
      <c r="E6" s="49">
        <v>0.35</v>
      </c>
      <c r="F6" s="49" t="s">
        <v>135</v>
      </c>
      <c r="G6" s="49" t="s">
        <v>141</v>
      </c>
      <c r="H6" s="49">
        <v>1.6222000000000001</v>
      </c>
      <c r="I6" s="49" t="s">
        <v>42</v>
      </c>
      <c r="J6" s="49" t="s">
        <v>42</v>
      </c>
      <c r="K6" s="49" t="s">
        <v>137</v>
      </c>
      <c r="L6" s="2"/>
      <c r="M6" s="49">
        <v>2</v>
      </c>
      <c r="N6" s="49">
        <v>3</v>
      </c>
      <c r="O6" s="49">
        <v>0.6</v>
      </c>
      <c r="P6" s="49">
        <v>0</v>
      </c>
      <c r="Q6" s="49">
        <v>0.35</v>
      </c>
      <c r="R6" s="49" t="s">
        <v>135</v>
      </c>
      <c r="S6" s="49" t="s">
        <v>141</v>
      </c>
      <c r="T6" s="49">
        <v>1.5159</v>
      </c>
      <c r="U6" s="49" t="s">
        <v>42</v>
      </c>
      <c r="V6" s="49" t="s">
        <v>42</v>
      </c>
      <c r="W6" s="49" t="s">
        <v>137</v>
      </c>
    </row>
    <row r="7" spans="1:23">
      <c r="A7" s="49">
        <v>1</v>
      </c>
      <c r="B7" s="49">
        <v>3</v>
      </c>
      <c r="C7" s="49">
        <v>0.7</v>
      </c>
      <c r="D7" s="49">
        <v>0.2</v>
      </c>
      <c r="E7" s="49">
        <v>0.42</v>
      </c>
      <c r="F7" s="49" t="s">
        <v>135</v>
      </c>
      <c r="G7" s="49" t="s">
        <v>141</v>
      </c>
      <c r="H7" s="49">
        <v>1.4801</v>
      </c>
      <c r="I7" s="49" t="s">
        <v>42</v>
      </c>
      <c r="J7" s="49" t="s">
        <v>42</v>
      </c>
      <c r="K7" s="49" t="s">
        <v>137</v>
      </c>
      <c r="L7" s="2"/>
      <c r="M7" s="49">
        <v>2</v>
      </c>
      <c r="N7" s="49">
        <v>3</v>
      </c>
      <c r="O7" s="49">
        <v>0.5</v>
      </c>
      <c r="P7" s="49">
        <v>0.25</v>
      </c>
      <c r="Q7" s="49">
        <v>0.42</v>
      </c>
      <c r="R7" s="49" t="s">
        <v>135</v>
      </c>
      <c r="S7" s="49" t="s">
        <v>141</v>
      </c>
      <c r="T7" s="49">
        <v>1.802</v>
      </c>
      <c r="U7" s="49" t="s">
        <v>42</v>
      </c>
      <c r="V7" s="49" t="s">
        <v>42</v>
      </c>
      <c r="W7" s="49" t="s">
        <v>137</v>
      </c>
    </row>
    <row r="8" spans="1:23">
      <c r="A8" s="49">
        <v>1</v>
      </c>
      <c r="B8" s="49">
        <v>4</v>
      </c>
      <c r="C8" s="49">
        <v>0.55000000000000004</v>
      </c>
      <c r="D8" s="49">
        <v>-0.2</v>
      </c>
      <c r="E8" s="49">
        <v>0.35</v>
      </c>
      <c r="F8" s="49" t="s">
        <v>135</v>
      </c>
      <c r="G8" s="49" t="s">
        <v>141</v>
      </c>
      <c r="H8" s="49">
        <v>1.6222000000000001</v>
      </c>
      <c r="I8" s="49" t="s">
        <v>42</v>
      </c>
      <c r="J8" s="49" t="s">
        <v>42</v>
      </c>
      <c r="K8" s="49" t="s">
        <v>137</v>
      </c>
      <c r="L8" s="2"/>
      <c r="M8" s="49">
        <v>2</v>
      </c>
      <c r="N8" s="49">
        <v>4</v>
      </c>
      <c r="O8" s="49">
        <v>0.6</v>
      </c>
      <c r="P8" s="49">
        <v>0</v>
      </c>
      <c r="Q8" s="49">
        <v>0.35</v>
      </c>
      <c r="R8" s="49" t="s">
        <v>135</v>
      </c>
      <c r="S8" s="49" t="s">
        <v>141</v>
      </c>
      <c r="T8" s="49">
        <v>1.9339999999999999</v>
      </c>
      <c r="U8" s="49" t="s">
        <v>42</v>
      </c>
      <c r="V8" s="49" t="s">
        <v>42</v>
      </c>
      <c r="W8" s="49" t="s">
        <v>137</v>
      </c>
    </row>
    <row r="9" spans="1:23">
      <c r="A9" s="49">
        <v>1</v>
      </c>
      <c r="B9" s="49">
        <v>4</v>
      </c>
      <c r="C9" s="49">
        <v>0.7</v>
      </c>
      <c r="D9" s="49">
        <v>0.2</v>
      </c>
      <c r="E9" s="49">
        <v>0.42</v>
      </c>
      <c r="F9" s="49" t="s">
        <v>135</v>
      </c>
      <c r="G9" s="49" t="s">
        <v>141</v>
      </c>
      <c r="H9" s="49">
        <v>1.4801</v>
      </c>
      <c r="I9" s="49" t="s">
        <v>42</v>
      </c>
      <c r="J9" s="49" t="s">
        <v>42</v>
      </c>
      <c r="K9" s="49" t="s">
        <v>137</v>
      </c>
      <c r="L9" s="2"/>
      <c r="M9" s="49">
        <v>2</v>
      </c>
      <c r="N9" s="49">
        <v>4</v>
      </c>
      <c r="O9" s="49">
        <v>0.5</v>
      </c>
      <c r="P9" s="49">
        <v>0.25</v>
      </c>
      <c r="Q9" s="49">
        <v>0.42</v>
      </c>
      <c r="R9" s="49" t="s">
        <v>135</v>
      </c>
      <c r="S9" s="49" t="s">
        <v>141</v>
      </c>
      <c r="T9" s="49">
        <v>1.9864999999999999</v>
      </c>
      <c r="U9" s="49" t="s">
        <v>42</v>
      </c>
      <c r="V9" s="49" t="s">
        <v>42</v>
      </c>
      <c r="W9" s="49" t="s">
        <v>137</v>
      </c>
    </row>
    <row r="10" spans="1:23">
      <c r="A10" s="49">
        <v>1</v>
      </c>
      <c r="B10" s="49">
        <v>5</v>
      </c>
      <c r="C10" s="49">
        <v>0.55000000000000004</v>
      </c>
      <c r="D10" s="49">
        <v>-0.2</v>
      </c>
      <c r="E10" s="49">
        <v>0.35</v>
      </c>
      <c r="F10" s="49" t="s">
        <v>135</v>
      </c>
      <c r="G10" s="49" t="s">
        <v>141</v>
      </c>
      <c r="H10" s="49">
        <v>1.8461000000000001</v>
      </c>
      <c r="I10" s="49" t="s">
        <v>42</v>
      </c>
      <c r="J10" s="49" t="s">
        <v>42</v>
      </c>
      <c r="K10" s="49" t="s">
        <v>137</v>
      </c>
      <c r="L10" s="2"/>
      <c r="M10" s="49">
        <v>2</v>
      </c>
      <c r="N10" s="49">
        <v>5</v>
      </c>
      <c r="O10" s="49">
        <v>0.6</v>
      </c>
      <c r="P10" s="49">
        <v>0</v>
      </c>
      <c r="Q10" s="49">
        <v>0.35</v>
      </c>
      <c r="R10" s="49" t="s">
        <v>135</v>
      </c>
      <c r="S10" s="49" t="s">
        <v>141</v>
      </c>
      <c r="T10" s="49">
        <v>2.0470999999999999</v>
      </c>
      <c r="U10" s="49" t="s">
        <v>42</v>
      </c>
      <c r="V10" s="49" t="s">
        <v>42</v>
      </c>
      <c r="W10" s="49" t="s">
        <v>137</v>
      </c>
    </row>
    <row r="11" spans="1:23">
      <c r="A11" s="49">
        <v>1</v>
      </c>
      <c r="B11" s="49">
        <v>5</v>
      </c>
      <c r="C11" s="49">
        <v>0.7</v>
      </c>
      <c r="D11" s="49">
        <v>0.2</v>
      </c>
      <c r="E11" s="49">
        <v>0.42</v>
      </c>
      <c r="F11" s="49" t="s">
        <v>135</v>
      </c>
      <c r="G11" s="49" t="s">
        <v>141</v>
      </c>
      <c r="H11" s="49">
        <v>2.6206999999999998</v>
      </c>
      <c r="I11" s="49" t="s">
        <v>42</v>
      </c>
      <c r="J11" s="49" t="s">
        <v>42</v>
      </c>
      <c r="K11" s="49" t="s">
        <v>137</v>
      </c>
      <c r="L11" s="2"/>
      <c r="M11" s="49">
        <v>2</v>
      </c>
      <c r="N11" s="49">
        <v>5</v>
      </c>
      <c r="O11" s="49">
        <v>0.5</v>
      </c>
      <c r="P11" s="49">
        <v>0.25</v>
      </c>
      <c r="Q11" s="49">
        <v>0.42</v>
      </c>
      <c r="R11" s="49" t="s">
        <v>135</v>
      </c>
      <c r="S11" s="49" t="s">
        <v>141</v>
      </c>
      <c r="T11" s="49">
        <v>1.8715999999999999</v>
      </c>
      <c r="U11" s="49" t="s">
        <v>42</v>
      </c>
      <c r="V11" s="49" t="s">
        <v>42</v>
      </c>
      <c r="W11" s="49" t="s">
        <v>137</v>
      </c>
    </row>
    <row r="12" spans="1:23">
      <c r="A12" s="49">
        <v>1</v>
      </c>
      <c r="B12" s="49">
        <v>6</v>
      </c>
      <c r="C12" s="49">
        <v>0.55000000000000004</v>
      </c>
      <c r="D12" s="49">
        <v>-0.2</v>
      </c>
      <c r="E12" s="49">
        <v>0.35</v>
      </c>
      <c r="F12" s="49" t="s">
        <v>135</v>
      </c>
      <c r="G12" s="49" t="s">
        <v>141</v>
      </c>
      <c r="H12" s="49">
        <v>2.0251000000000001</v>
      </c>
      <c r="I12" s="49" t="s">
        <v>42</v>
      </c>
      <c r="J12" s="49" t="s">
        <v>42</v>
      </c>
      <c r="K12" s="49" t="s">
        <v>137</v>
      </c>
      <c r="L12" s="2"/>
      <c r="M12" s="49">
        <v>2</v>
      </c>
      <c r="N12" s="49">
        <v>6</v>
      </c>
      <c r="O12" s="49">
        <v>0.6</v>
      </c>
      <c r="P12" s="49">
        <v>0</v>
      </c>
      <c r="Q12" s="49">
        <v>0.35</v>
      </c>
      <c r="R12" s="49" t="s">
        <v>135</v>
      </c>
      <c r="S12" s="49" t="s">
        <v>141</v>
      </c>
      <c r="T12" s="49">
        <v>2.5425</v>
      </c>
      <c r="U12" s="49" t="s">
        <v>42</v>
      </c>
      <c r="V12" s="49" t="s">
        <v>42</v>
      </c>
      <c r="W12" s="49" t="s">
        <v>137</v>
      </c>
    </row>
    <row r="13" spans="1:23">
      <c r="A13" s="49">
        <v>1</v>
      </c>
      <c r="B13" s="49">
        <v>6</v>
      </c>
      <c r="C13" s="49">
        <v>0.7</v>
      </c>
      <c r="D13" s="49">
        <v>0.2</v>
      </c>
      <c r="E13" s="49">
        <v>0.42</v>
      </c>
      <c r="F13" s="49" t="s">
        <v>135</v>
      </c>
      <c r="G13" s="49" t="s">
        <v>141</v>
      </c>
      <c r="H13" s="49">
        <v>1.7363999999999999</v>
      </c>
      <c r="I13" s="49" t="s">
        <v>42</v>
      </c>
      <c r="J13" s="49" t="s">
        <v>42</v>
      </c>
      <c r="K13" s="49" t="s">
        <v>137</v>
      </c>
      <c r="L13" s="2"/>
      <c r="M13" s="49">
        <v>2</v>
      </c>
      <c r="N13" s="49">
        <v>6</v>
      </c>
      <c r="O13" s="49">
        <v>0.5</v>
      </c>
      <c r="P13" s="49">
        <v>0.25</v>
      </c>
      <c r="Q13" s="49">
        <v>0.42</v>
      </c>
      <c r="R13" s="49" t="s">
        <v>135</v>
      </c>
      <c r="S13" s="49" t="s">
        <v>141</v>
      </c>
      <c r="T13" s="49">
        <v>2.0253999999999999</v>
      </c>
      <c r="U13" s="49" t="s">
        <v>42</v>
      </c>
      <c r="V13" s="49" t="s">
        <v>42</v>
      </c>
      <c r="W13" s="49" t="s">
        <v>137</v>
      </c>
    </row>
    <row r="14" spans="1:23">
      <c r="A14" s="49">
        <v>1</v>
      </c>
      <c r="B14" s="49">
        <v>7</v>
      </c>
      <c r="C14" s="49">
        <v>0.55000000000000004</v>
      </c>
      <c r="D14" s="49">
        <v>-0.2</v>
      </c>
      <c r="E14" s="49">
        <v>0.35</v>
      </c>
      <c r="F14" s="49" t="s">
        <v>135</v>
      </c>
      <c r="G14" s="49" t="s">
        <v>141</v>
      </c>
      <c r="H14" s="49">
        <v>1.4383999999999999</v>
      </c>
      <c r="I14" s="49" t="s">
        <v>42</v>
      </c>
      <c r="J14" s="49" t="s">
        <v>42</v>
      </c>
      <c r="K14" s="49" t="s">
        <v>137</v>
      </c>
      <c r="L14" s="2"/>
      <c r="M14" s="49">
        <v>2</v>
      </c>
      <c r="N14" s="49">
        <v>7</v>
      </c>
      <c r="O14" s="49">
        <v>0.6</v>
      </c>
      <c r="P14" s="49">
        <v>0</v>
      </c>
      <c r="Q14" s="49">
        <v>0.35</v>
      </c>
      <c r="R14" s="49" t="s">
        <v>135</v>
      </c>
      <c r="S14" s="49" t="s">
        <v>141</v>
      </c>
      <c r="T14" s="49">
        <v>1.9986999999999999</v>
      </c>
      <c r="U14" s="49" t="s">
        <v>42</v>
      </c>
      <c r="V14" s="49" t="s">
        <v>42</v>
      </c>
      <c r="W14" s="49" t="s">
        <v>137</v>
      </c>
    </row>
    <row r="15" spans="1:23">
      <c r="A15" s="49">
        <v>1</v>
      </c>
      <c r="B15" s="49">
        <v>7</v>
      </c>
      <c r="C15" s="49">
        <v>0.7</v>
      </c>
      <c r="D15" s="49">
        <v>0.2</v>
      </c>
      <c r="E15" s="49">
        <v>0.42</v>
      </c>
      <c r="F15" s="49" t="s">
        <v>135</v>
      </c>
      <c r="G15" s="49" t="s">
        <v>141</v>
      </c>
      <c r="H15" s="49">
        <v>2.0554000000000001</v>
      </c>
      <c r="I15" s="49" t="s">
        <v>42</v>
      </c>
      <c r="J15" s="49" t="s">
        <v>42</v>
      </c>
      <c r="K15" s="49" t="s">
        <v>137</v>
      </c>
      <c r="L15" s="2"/>
      <c r="M15" s="49">
        <v>2</v>
      </c>
      <c r="N15" s="49">
        <v>7</v>
      </c>
      <c r="O15" s="49">
        <v>0.5</v>
      </c>
      <c r="P15" s="49">
        <v>0.25</v>
      </c>
      <c r="Q15" s="49">
        <v>0.42</v>
      </c>
      <c r="R15" s="49" t="s">
        <v>135</v>
      </c>
      <c r="S15" s="49" t="s">
        <v>141</v>
      </c>
      <c r="T15" s="49">
        <v>2.2829000000000002</v>
      </c>
      <c r="U15" s="49" t="s">
        <v>42</v>
      </c>
      <c r="V15" s="49" t="s">
        <v>42</v>
      </c>
      <c r="W15" s="49" t="s">
        <v>137</v>
      </c>
    </row>
    <row r="16" spans="1:23">
      <c r="A16" s="49">
        <v>1</v>
      </c>
      <c r="B16" s="49">
        <v>8</v>
      </c>
      <c r="C16" s="49">
        <v>0.55000000000000004</v>
      </c>
      <c r="D16" s="49">
        <v>-0.2</v>
      </c>
      <c r="E16" s="49">
        <v>0.35</v>
      </c>
      <c r="F16" s="49" t="s">
        <v>135</v>
      </c>
      <c r="G16" s="49" t="s">
        <v>141</v>
      </c>
      <c r="H16" s="49">
        <v>2.0470999999999999</v>
      </c>
      <c r="I16" s="49" t="s">
        <v>42</v>
      </c>
      <c r="J16" s="49" t="s">
        <v>42</v>
      </c>
      <c r="K16" s="49" t="s">
        <v>137</v>
      </c>
      <c r="L16" s="2"/>
      <c r="M16" s="49">
        <v>2</v>
      </c>
      <c r="N16" s="49">
        <v>8</v>
      </c>
      <c r="O16" s="49">
        <v>0.6</v>
      </c>
      <c r="P16" s="49">
        <v>0</v>
      </c>
      <c r="Q16" s="49">
        <v>0.35</v>
      </c>
      <c r="R16" s="49" t="s">
        <v>135</v>
      </c>
      <c r="S16" s="49" t="s">
        <v>141</v>
      </c>
      <c r="T16" s="49">
        <v>5.5041000000000002</v>
      </c>
      <c r="U16" s="49" t="s">
        <v>42</v>
      </c>
      <c r="V16" s="49" t="s">
        <v>42</v>
      </c>
      <c r="W16" s="49" t="s">
        <v>137</v>
      </c>
    </row>
    <row r="17" spans="1:23">
      <c r="A17" s="49">
        <v>1</v>
      </c>
      <c r="B17" s="49">
        <v>8</v>
      </c>
      <c r="C17" s="49">
        <v>0.7</v>
      </c>
      <c r="D17" s="49">
        <v>0.2</v>
      </c>
      <c r="E17" s="49">
        <v>0.42</v>
      </c>
      <c r="F17" s="49" t="s">
        <v>135</v>
      </c>
      <c r="G17" s="49" t="s">
        <v>141</v>
      </c>
      <c r="H17" s="49">
        <v>1.1754</v>
      </c>
      <c r="I17" s="49" t="s">
        <v>42</v>
      </c>
      <c r="J17" s="49" t="s">
        <v>42</v>
      </c>
      <c r="K17" s="49" t="s">
        <v>137</v>
      </c>
      <c r="L17" s="2"/>
      <c r="M17" s="49">
        <v>2</v>
      </c>
      <c r="N17" s="49">
        <v>8</v>
      </c>
      <c r="O17" s="49">
        <v>0.5</v>
      </c>
      <c r="P17" s="49">
        <v>0.25</v>
      </c>
      <c r="Q17" s="49">
        <v>0.42</v>
      </c>
      <c r="R17" s="49" t="s">
        <v>135</v>
      </c>
      <c r="S17" s="49" t="s">
        <v>141</v>
      </c>
      <c r="T17" s="49">
        <v>1.8036000000000001</v>
      </c>
      <c r="U17" s="49" t="s">
        <v>42</v>
      </c>
      <c r="V17" s="49" t="s">
        <v>42</v>
      </c>
      <c r="W17" s="49" t="s">
        <v>137</v>
      </c>
    </row>
    <row r="18" spans="1:23">
      <c r="A18" s="49">
        <v>1</v>
      </c>
      <c r="B18" s="49">
        <v>9</v>
      </c>
      <c r="C18" s="49">
        <v>0.55000000000000004</v>
      </c>
      <c r="D18" s="49">
        <v>-0.2</v>
      </c>
      <c r="E18" s="49">
        <v>0.35</v>
      </c>
      <c r="F18" s="49" t="s">
        <v>135</v>
      </c>
      <c r="G18" s="49" t="s">
        <v>141</v>
      </c>
      <c r="H18" s="49">
        <v>2.0297000000000001</v>
      </c>
      <c r="I18" s="49" t="s">
        <v>42</v>
      </c>
      <c r="J18" s="49" t="s">
        <v>42</v>
      </c>
      <c r="K18" s="49" t="s">
        <v>137</v>
      </c>
      <c r="L18" s="2"/>
      <c r="M18" s="49">
        <v>2</v>
      </c>
      <c r="N18" s="49">
        <v>9</v>
      </c>
      <c r="O18" s="49">
        <v>0.6</v>
      </c>
      <c r="P18" s="49">
        <v>0</v>
      </c>
      <c r="Q18" s="49">
        <v>0.35</v>
      </c>
      <c r="R18" s="49" t="s">
        <v>135</v>
      </c>
      <c r="S18" s="49" t="s">
        <v>141</v>
      </c>
      <c r="T18" s="49">
        <v>2.0487000000000002</v>
      </c>
      <c r="U18" s="49" t="s">
        <v>42</v>
      </c>
      <c r="V18" s="49" t="s">
        <v>42</v>
      </c>
      <c r="W18" s="49" t="s">
        <v>137</v>
      </c>
    </row>
    <row r="19" spans="1:23">
      <c r="A19" s="49">
        <v>1</v>
      </c>
      <c r="B19" s="49">
        <v>9</v>
      </c>
      <c r="C19" s="49">
        <v>0.7</v>
      </c>
      <c r="D19" s="49">
        <v>0.2</v>
      </c>
      <c r="E19" s="49">
        <v>0.42</v>
      </c>
      <c r="F19" s="49" t="s">
        <v>135</v>
      </c>
      <c r="G19" s="49" t="s">
        <v>141</v>
      </c>
      <c r="H19" s="49">
        <v>1.7967</v>
      </c>
      <c r="I19" s="49" t="s">
        <v>42</v>
      </c>
      <c r="J19" s="49" t="s">
        <v>42</v>
      </c>
      <c r="K19" s="49" t="s">
        <v>137</v>
      </c>
      <c r="L19" s="2"/>
      <c r="M19" s="49">
        <v>2</v>
      </c>
      <c r="N19" s="49">
        <v>9</v>
      </c>
      <c r="O19" s="49">
        <v>0.5</v>
      </c>
      <c r="P19" s="49">
        <v>0.25</v>
      </c>
      <c r="Q19" s="49">
        <v>0.42</v>
      </c>
      <c r="R19" s="49" t="s">
        <v>135</v>
      </c>
      <c r="S19" s="49" t="s">
        <v>141</v>
      </c>
      <c r="T19" s="49">
        <v>1.7471000000000001</v>
      </c>
      <c r="U19" s="49" t="s">
        <v>42</v>
      </c>
      <c r="V19" s="49" t="s">
        <v>42</v>
      </c>
      <c r="W19" s="49" t="s">
        <v>137</v>
      </c>
    </row>
    <row r="20" spans="1:23">
      <c r="A20" s="49">
        <v>1</v>
      </c>
      <c r="B20" s="49">
        <v>10</v>
      </c>
      <c r="C20" s="49">
        <v>0.55000000000000004</v>
      </c>
      <c r="D20" s="49">
        <v>-0.2</v>
      </c>
      <c r="E20" s="49">
        <v>0.35</v>
      </c>
      <c r="F20" s="49" t="s">
        <v>135</v>
      </c>
      <c r="G20" s="49" t="s">
        <v>141</v>
      </c>
      <c r="H20" s="49">
        <v>1.8663000000000001</v>
      </c>
      <c r="I20" s="49" t="s">
        <v>42</v>
      </c>
      <c r="J20" s="49" t="s">
        <v>42</v>
      </c>
      <c r="K20" s="49" t="s">
        <v>137</v>
      </c>
      <c r="L20" s="2"/>
      <c r="M20" s="49">
        <v>2</v>
      </c>
      <c r="N20" s="49">
        <v>10</v>
      </c>
      <c r="O20" s="49">
        <v>0.6</v>
      </c>
      <c r="P20" s="49">
        <v>0</v>
      </c>
      <c r="Q20" s="49">
        <v>0.35</v>
      </c>
      <c r="R20" s="49" t="s">
        <v>135</v>
      </c>
      <c r="S20" s="49" t="s">
        <v>141</v>
      </c>
      <c r="T20" s="49">
        <v>1.6930000000000001</v>
      </c>
      <c r="U20" s="49" t="s">
        <v>42</v>
      </c>
      <c r="V20" s="49" t="s">
        <v>42</v>
      </c>
      <c r="W20" s="49" t="s">
        <v>137</v>
      </c>
    </row>
    <row r="21" spans="1:23">
      <c r="A21" s="49">
        <v>1</v>
      </c>
      <c r="B21" s="49">
        <v>10</v>
      </c>
      <c r="C21" s="49">
        <v>0.7</v>
      </c>
      <c r="D21" s="49">
        <v>0.2</v>
      </c>
      <c r="E21" s="49">
        <v>0.42</v>
      </c>
      <c r="F21" s="49" t="s">
        <v>135</v>
      </c>
      <c r="G21" s="49" t="s">
        <v>141</v>
      </c>
      <c r="H21" s="49">
        <v>2.0234999999999999</v>
      </c>
      <c r="I21" s="49" t="s">
        <v>42</v>
      </c>
      <c r="J21" s="49" t="s">
        <v>42</v>
      </c>
      <c r="K21" s="49" t="s">
        <v>137</v>
      </c>
      <c r="L21" s="2"/>
      <c r="M21" s="49">
        <v>2</v>
      </c>
      <c r="N21" s="49">
        <v>10</v>
      </c>
      <c r="O21" s="49">
        <v>0.5</v>
      </c>
      <c r="P21" s="49">
        <v>0.25</v>
      </c>
      <c r="Q21" s="49">
        <v>0.42</v>
      </c>
      <c r="R21" s="49" t="s">
        <v>135</v>
      </c>
      <c r="S21" s="49" t="s">
        <v>141</v>
      </c>
      <c r="T21" s="49">
        <v>1.9956</v>
      </c>
      <c r="U21" s="49" t="s">
        <v>42</v>
      </c>
      <c r="V21" s="49" t="s">
        <v>42</v>
      </c>
      <c r="W21" s="49" t="s">
        <v>137</v>
      </c>
    </row>
    <row r="22" spans="1:23">
      <c r="A22" s="2"/>
      <c r="B22" s="2"/>
      <c r="C22" s="2"/>
      <c r="D22" s="2"/>
      <c r="E22" s="2"/>
      <c r="F22" s="2"/>
      <c r="G22" s="14" t="s">
        <v>138</v>
      </c>
      <c r="H22" s="14">
        <f>AVERAGE(H2:H21)</f>
        <v>1.878405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14" t="s">
        <v>138</v>
      </c>
      <c r="T22" s="14">
        <f>AVERAGE(T2:T21)</f>
        <v>2.221095</v>
      </c>
      <c r="U22" s="2"/>
      <c r="V22" s="2"/>
      <c r="W22" s="2"/>
    </row>
    <row r="23" spans="1:23">
      <c r="A23" s="71" t="s">
        <v>9</v>
      </c>
      <c r="B23" s="71" t="s">
        <v>126</v>
      </c>
      <c r="C23" s="71" t="s">
        <v>127</v>
      </c>
      <c r="D23" s="71" t="s">
        <v>128</v>
      </c>
      <c r="E23" s="71" t="s">
        <v>129</v>
      </c>
      <c r="F23" s="71" t="s">
        <v>139</v>
      </c>
      <c r="G23" s="71" t="s">
        <v>140</v>
      </c>
      <c r="H23" s="71" t="s">
        <v>132</v>
      </c>
      <c r="I23" s="71" t="s">
        <v>13</v>
      </c>
      <c r="J23" s="71" t="s">
        <v>133</v>
      </c>
      <c r="K23" s="71" t="s">
        <v>134</v>
      </c>
      <c r="L23" s="2"/>
      <c r="M23" s="71" t="s">
        <v>9</v>
      </c>
      <c r="N23" s="71" t="s">
        <v>126</v>
      </c>
      <c r="O23" s="71" t="s">
        <v>127</v>
      </c>
      <c r="P23" s="71" t="s">
        <v>128</v>
      </c>
      <c r="Q23" s="71" t="s">
        <v>129</v>
      </c>
      <c r="R23" s="71" t="s">
        <v>139</v>
      </c>
      <c r="S23" s="71" t="s">
        <v>140</v>
      </c>
      <c r="T23" s="71" t="s">
        <v>132</v>
      </c>
      <c r="U23" s="71" t="s">
        <v>13</v>
      </c>
      <c r="V23" s="71" t="s">
        <v>133</v>
      </c>
      <c r="W23" s="71" t="s">
        <v>134</v>
      </c>
    </row>
    <row r="24" spans="1:23">
      <c r="A24" s="49">
        <v>3</v>
      </c>
      <c r="B24" s="49">
        <v>1</v>
      </c>
      <c r="C24" s="49">
        <v>0.52</v>
      </c>
      <c r="D24" s="49">
        <v>0.25</v>
      </c>
      <c r="E24" s="49">
        <v>0.35</v>
      </c>
      <c r="F24" s="49" t="s">
        <v>135</v>
      </c>
      <c r="G24" s="49" t="s">
        <v>141</v>
      </c>
      <c r="H24" s="49">
        <v>1.8642000000000001</v>
      </c>
      <c r="I24" s="49" t="s">
        <v>42</v>
      </c>
      <c r="J24" s="49" t="s">
        <v>42</v>
      </c>
      <c r="K24" s="49" t="s">
        <v>137</v>
      </c>
      <c r="L24" s="2"/>
      <c r="M24" s="49">
        <v>4</v>
      </c>
      <c r="N24" s="49">
        <v>1</v>
      </c>
      <c r="O24" s="49">
        <v>0.7</v>
      </c>
      <c r="P24" s="49">
        <v>-0.25</v>
      </c>
      <c r="Q24" s="49">
        <v>0.35</v>
      </c>
      <c r="R24" s="49" t="s">
        <v>135</v>
      </c>
      <c r="S24" s="49" t="s">
        <v>141</v>
      </c>
      <c r="T24" s="49">
        <v>1.6856</v>
      </c>
      <c r="U24" s="49" t="s">
        <v>42</v>
      </c>
      <c r="V24" s="49" t="s">
        <v>42</v>
      </c>
      <c r="W24" s="49" t="s">
        <v>137</v>
      </c>
    </row>
    <row r="25" spans="1:23">
      <c r="A25" s="49">
        <v>3</v>
      </c>
      <c r="B25" s="49">
        <v>1</v>
      </c>
      <c r="C25" s="49">
        <v>0.72</v>
      </c>
      <c r="D25" s="49">
        <v>-0.2</v>
      </c>
      <c r="E25" s="49">
        <v>0.42</v>
      </c>
      <c r="F25" s="49" t="s">
        <v>135</v>
      </c>
      <c r="G25" s="49" t="s">
        <v>141</v>
      </c>
      <c r="H25" s="49">
        <v>1.6754</v>
      </c>
      <c r="I25" s="49" t="s">
        <v>42</v>
      </c>
      <c r="J25" s="49" t="s">
        <v>42</v>
      </c>
      <c r="K25" s="49" t="s">
        <v>137</v>
      </c>
      <c r="L25" s="2"/>
      <c r="M25" s="49">
        <v>4</v>
      </c>
      <c r="N25" s="49">
        <v>1</v>
      </c>
      <c r="O25" s="49">
        <v>0.52</v>
      </c>
      <c r="P25" s="49">
        <v>-0.25</v>
      </c>
      <c r="Q25" s="49">
        <v>0.42</v>
      </c>
      <c r="R25" s="49" t="s">
        <v>135</v>
      </c>
      <c r="S25" s="49" t="s">
        <v>141</v>
      </c>
      <c r="T25" s="49">
        <v>1.6775</v>
      </c>
      <c r="U25" s="49" t="s">
        <v>42</v>
      </c>
      <c r="V25" s="49" t="s">
        <v>42</v>
      </c>
      <c r="W25" s="49" t="s">
        <v>137</v>
      </c>
    </row>
    <row r="26" spans="1:23">
      <c r="A26" s="49">
        <v>3</v>
      </c>
      <c r="B26" s="49">
        <v>2</v>
      </c>
      <c r="C26" s="49">
        <v>0.52</v>
      </c>
      <c r="D26" s="49">
        <v>0.25</v>
      </c>
      <c r="E26" s="49">
        <v>0.35</v>
      </c>
      <c r="F26" s="49" t="s">
        <v>135</v>
      </c>
      <c r="G26" s="49" t="s">
        <v>141</v>
      </c>
      <c r="H26" s="49">
        <v>1.7282999999999999</v>
      </c>
      <c r="I26" s="49" t="s">
        <v>42</v>
      </c>
      <c r="J26" s="49" t="s">
        <v>42</v>
      </c>
      <c r="K26" s="49" t="s">
        <v>137</v>
      </c>
      <c r="L26" s="2"/>
      <c r="M26" s="49">
        <v>4</v>
      </c>
      <c r="N26" s="49">
        <v>2</v>
      </c>
      <c r="O26" s="49">
        <v>0.7</v>
      </c>
      <c r="P26" s="49">
        <v>-0.25</v>
      </c>
      <c r="Q26" s="49">
        <v>0.35</v>
      </c>
      <c r="R26" s="49" t="s">
        <v>135</v>
      </c>
      <c r="S26" s="49" t="s">
        <v>141</v>
      </c>
      <c r="T26" s="49">
        <v>1.6597999999999999</v>
      </c>
      <c r="U26" s="49" t="s">
        <v>42</v>
      </c>
      <c r="V26" s="49" t="s">
        <v>42</v>
      </c>
      <c r="W26" s="49" t="s">
        <v>137</v>
      </c>
    </row>
    <row r="27" spans="1:23">
      <c r="A27" s="49">
        <v>3</v>
      </c>
      <c r="B27" s="49">
        <v>2</v>
      </c>
      <c r="C27" s="49">
        <v>0.72</v>
      </c>
      <c r="D27" s="49">
        <v>-0.2</v>
      </c>
      <c r="E27" s="49">
        <v>0.42</v>
      </c>
      <c r="F27" s="49" t="s">
        <v>135</v>
      </c>
      <c r="G27" s="49" t="s">
        <v>141</v>
      </c>
      <c r="H27" s="49">
        <v>1.9629000000000001</v>
      </c>
      <c r="I27" s="49" t="s">
        <v>42</v>
      </c>
      <c r="J27" s="49" t="s">
        <v>42</v>
      </c>
      <c r="K27" s="49" t="s">
        <v>137</v>
      </c>
      <c r="L27" s="2"/>
      <c r="M27" s="49">
        <v>4</v>
      </c>
      <c r="N27" s="49">
        <v>2</v>
      </c>
      <c r="O27" s="49">
        <v>0.52</v>
      </c>
      <c r="P27" s="49">
        <v>-0.25</v>
      </c>
      <c r="Q27" s="49">
        <v>0.42</v>
      </c>
      <c r="R27" s="49" t="s">
        <v>135</v>
      </c>
      <c r="S27" s="49" t="s">
        <v>141</v>
      </c>
      <c r="T27" s="49">
        <v>1.4705999999999999</v>
      </c>
      <c r="U27" s="49" t="s">
        <v>42</v>
      </c>
      <c r="V27" s="49" t="s">
        <v>42</v>
      </c>
      <c r="W27" s="49" t="s">
        <v>137</v>
      </c>
    </row>
    <row r="28" spans="1:23">
      <c r="A28" s="49">
        <v>3</v>
      </c>
      <c r="B28" s="49">
        <v>3</v>
      </c>
      <c r="C28" s="49">
        <v>0.52</v>
      </c>
      <c r="D28" s="49">
        <v>0.25</v>
      </c>
      <c r="E28" s="49">
        <v>0.35</v>
      </c>
      <c r="F28" s="49" t="s">
        <v>135</v>
      </c>
      <c r="G28" s="49" t="s">
        <v>141</v>
      </c>
      <c r="H28" s="49">
        <v>2.6596000000000002</v>
      </c>
      <c r="I28" s="49" t="s">
        <v>42</v>
      </c>
      <c r="J28" s="49" t="s">
        <v>42</v>
      </c>
      <c r="K28" s="49" t="s">
        <v>137</v>
      </c>
      <c r="L28" s="2"/>
      <c r="M28" s="49">
        <v>4</v>
      </c>
      <c r="N28" s="49">
        <v>3</v>
      </c>
      <c r="O28" s="49">
        <v>0.7</v>
      </c>
      <c r="P28" s="49">
        <v>-0.25</v>
      </c>
      <c r="Q28" s="49">
        <v>0.35</v>
      </c>
      <c r="R28" s="49" t="s">
        <v>135</v>
      </c>
      <c r="S28" s="49" t="s">
        <v>141</v>
      </c>
      <c r="T28" s="49">
        <v>1.7114</v>
      </c>
      <c r="U28" s="49" t="s">
        <v>42</v>
      </c>
      <c r="V28" s="49" t="s">
        <v>42</v>
      </c>
      <c r="W28" s="49" t="s">
        <v>137</v>
      </c>
    </row>
    <row r="29" spans="1:23">
      <c r="A29" s="49">
        <v>3</v>
      </c>
      <c r="B29" s="49">
        <v>3</v>
      </c>
      <c r="C29" s="49">
        <v>0.72</v>
      </c>
      <c r="D29" s="49">
        <v>-0.2</v>
      </c>
      <c r="E29" s="49">
        <v>0.42</v>
      </c>
      <c r="F29" s="49" t="s">
        <v>135</v>
      </c>
      <c r="G29" s="49" t="s">
        <v>141</v>
      </c>
      <c r="H29" s="49">
        <v>1.8120000000000001</v>
      </c>
      <c r="I29" s="49" t="s">
        <v>42</v>
      </c>
      <c r="J29" s="49" t="s">
        <v>42</v>
      </c>
      <c r="K29" s="49" t="s">
        <v>137</v>
      </c>
      <c r="L29" s="2"/>
      <c r="M29" s="49">
        <v>4</v>
      </c>
      <c r="N29" s="49">
        <v>3</v>
      </c>
      <c r="O29" s="49">
        <v>0.52</v>
      </c>
      <c r="P29" s="49">
        <v>-0.25</v>
      </c>
      <c r="Q29" s="49">
        <v>0.42</v>
      </c>
      <c r="R29" s="49" t="s">
        <v>135</v>
      </c>
      <c r="S29" s="49" t="s">
        <v>141</v>
      </c>
      <c r="T29" s="49">
        <v>1.585</v>
      </c>
      <c r="U29" s="49" t="s">
        <v>42</v>
      </c>
      <c r="V29" s="49" t="s">
        <v>42</v>
      </c>
      <c r="W29" s="49" t="s">
        <v>137</v>
      </c>
    </row>
    <row r="30" spans="1:23">
      <c r="A30" s="49">
        <v>3</v>
      </c>
      <c r="B30" s="49">
        <v>4</v>
      </c>
      <c r="C30" s="49">
        <v>0.52</v>
      </c>
      <c r="D30" s="49">
        <v>0.25</v>
      </c>
      <c r="E30" s="49">
        <v>0.35</v>
      </c>
      <c r="F30" s="49" t="s">
        <v>135</v>
      </c>
      <c r="G30" s="49" t="s">
        <v>141</v>
      </c>
      <c r="H30" s="49">
        <v>1.8268</v>
      </c>
      <c r="I30" s="49" t="s">
        <v>42</v>
      </c>
      <c r="J30" s="49" t="s">
        <v>42</v>
      </c>
      <c r="K30" s="49" t="s">
        <v>137</v>
      </c>
      <c r="L30" s="2"/>
      <c r="M30" s="49">
        <v>4</v>
      </c>
      <c r="N30" s="49">
        <v>4</v>
      </c>
      <c r="O30" s="49">
        <v>0.7</v>
      </c>
      <c r="P30" s="49">
        <v>-0.25</v>
      </c>
      <c r="Q30" s="49">
        <v>0.35</v>
      </c>
      <c r="R30" s="49" t="s">
        <v>135</v>
      </c>
      <c r="S30" s="49" t="s">
        <v>141</v>
      </c>
      <c r="T30" s="49">
        <v>2.09</v>
      </c>
      <c r="U30" s="49" t="s">
        <v>42</v>
      </c>
      <c r="V30" s="49" t="s">
        <v>42</v>
      </c>
      <c r="W30" s="49" t="s">
        <v>137</v>
      </c>
    </row>
    <row r="31" spans="1:23">
      <c r="A31" s="49">
        <v>3</v>
      </c>
      <c r="B31" s="49">
        <v>4</v>
      </c>
      <c r="C31" s="49">
        <v>0.72</v>
      </c>
      <c r="D31" s="49">
        <v>-0.2</v>
      </c>
      <c r="E31" s="49">
        <v>0.42</v>
      </c>
      <c r="F31" s="49" t="s">
        <v>135</v>
      </c>
      <c r="G31" s="49" t="s">
        <v>141</v>
      </c>
      <c r="H31" s="49">
        <v>1.5857000000000001</v>
      </c>
      <c r="I31" s="49" t="s">
        <v>42</v>
      </c>
      <c r="J31" s="49" t="s">
        <v>42</v>
      </c>
      <c r="K31" s="49" t="s">
        <v>137</v>
      </c>
      <c r="L31" s="2"/>
      <c r="M31" s="49">
        <v>4</v>
      </c>
      <c r="N31" s="49">
        <v>4</v>
      </c>
      <c r="O31" s="49">
        <v>0.52</v>
      </c>
      <c r="P31" s="49">
        <v>-0.25</v>
      </c>
      <c r="Q31" s="49">
        <v>0.42</v>
      </c>
      <c r="R31" s="49" t="s">
        <v>135</v>
      </c>
      <c r="S31" s="49" t="s">
        <v>141</v>
      </c>
      <c r="T31" s="49">
        <v>2.9373</v>
      </c>
      <c r="U31" s="49" t="s">
        <v>42</v>
      </c>
      <c r="V31" s="49" t="s">
        <v>42</v>
      </c>
      <c r="W31" s="49" t="s">
        <v>137</v>
      </c>
    </row>
    <row r="32" spans="1:23">
      <c r="A32" s="49">
        <v>3</v>
      </c>
      <c r="B32" s="49">
        <v>5</v>
      </c>
      <c r="C32" s="49">
        <v>0.52</v>
      </c>
      <c r="D32" s="49">
        <v>0.25</v>
      </c>
      <c r="E32" s="49">
        <v>0.35</v>
      </c>
      <c r="F32" s="49" t="s">
        <v>135</v>
      </c>
      <c r="G32" s="49" t="s">
        <v>141</v>
      </c>
      <c r="H32" s="49">
        <v>2.2751999999999999</v>
      </c>
      <c r="I32" s="49" t="s">
        <v>42</v>
      </c>
      <c r="J32" s="49" t="s">
        <v>42</v>
      </c>
      <c r="K32" s="49" t="s">
        <v>137</v>
      </c>
      <c r="L32" s="2"/>
      <c r="M32" s="49">
        <v>4</v>
      </c>
      <c r="N32" s="49">
        <v>5</v>
      </c>
      <c r="O32" s="49">
        <v>0.7</v>
      </c>
      <c r="P32" s="49">
        <v>-0.25</v>
      </c>
      <c r="Q32" s="49">
        <v>0.35</v>
      </c>
      <c r="R32" s="49" t="s">
        <v>135</v>
      </c>
      <c r="S32" s="49" t="s">
        <v>141</v>
      </c>
      <c r="T32" s="49">
        <v>1.5385</v>
      </c>
      <c r="U32" s="49" t="s">
        <v>42</v>
      </c>
      <c r="V32" s="49" t="s">
        <v>42</v>
      </c>
      <c r="W32" s="49" t="s">
        <v>137</v>
      </c>
    </row>
    <row r="33" spans="1:23">
      <c r="A33" s="49">
        <v>3</v>
      </c>
      <c r="B33" s="49">
        <v>5</v>
      </c>
      <c r="C33" s="49">
        <v>0.72</v>
      </c>
      <c r="D33" s="49">
        <v>-0.2</v>
      </c>
      <c r="E33" s="49">
        <v>0.42</v>
      </c>
      <c r="F33" s="49" t="s">
        <v>135</v>
      </c>
      <c r="G33" s="49" t="s">
        <v>141</v>
      </c>
      <c r="H33" s="49">
        <v>1.6741999999999999</v>
      </c>
      <c r="I33" s="49" t="s">
        <v>42</v>
      </c>
      <c r="J33" s="49" t="s">
        <v>42</v>
      </c>
      <c r="K33" s="49" t="s">
        <v>137</v>
      </c>
      <c r="L33" s="2"/>
      <c r="M33" s="49">
        <v>4</v>
      </c>
      <c r="N33" s="49">
        <v>5</v>
      </c>
      <c r="O33" s="49">
        <v>0.52</v>
      </c>
      <c r="P33" s="49">
        <v>-0.25</v>
      </c>
      <c r="Q33" s="49">
        <v>0.42</v>
      </c>
      <c r="R33" s="49" t="s">
        <v>135</v>
      </c>
      <c r="S33" s="49" t="s">
        <v>141</v>
      </c>
      <c r="T33" s="49">
        <v>3.0162</v>
      </c>
      <c r="U33" s="49" t="s">
        <v>42</v>
      </c>
      <c r="V33" s="49" t="s">
        <v>42</v>
      </c>
      <c r="W33" s="49" t="s">
        <v>137</v>
      </c>
    </row>
    <row r="34" spans="1:23">
      <c r="A34" s="49">
        <v>3</v>
      </c>
      <c r="B34" s="49">
        <v>6</v>
      </c>
      <c r="C34" s="49">
        <v>0.52</v>
      </c>
      <c r="D34" s="49">
        <v>0.25</v>
      </c>
      <c r="E34" s="49">
        <v>0.35</v>
      </c>
      <c r="F34" s="49" t="s">
        <v>135</v>
      </c>
      <c r="G34" s="49" t="s">
        <v>141</v>
      </c>
      <c r="H34" s="49">
        <v>1.9295</v>
      </c>
      <c r="I34" s="49" t="s">
        <v>42</v>
      </c>
      <c r="J34" s="49" t="s">
        <v>42</v>
      </c>
      <c r="K34" s="49" t="s">
        <v>137</v>
      </c>
      <c r="L34" s="2"/>
      <c r="M34" s="49">
        <v>4</v>
      </c>
      <c r="N34" s="49">
        <v>6</v>
      </c>
      <c r="O34" s="49">
        <v>0.7</v>
      </c>
      <c r="P34" s="49">
        <v>-0.25</v>
      </c>
      <c r="Q34" s="49">
        <v>0.35</v>
      </c>
      <c r="R34" s="49" t="s">
        <v>135</v>
      </c>
      <c r="S34" s="49" t="s">
        <v>141</v>
      </c>
      <c r="T34" s="49">
        <v>1.8439000000000001</v>
      </c>
      <c r="U34" s="49" t="s">
        <v>42</v>
      </c>
      <c r="V34" s="49" t="s">
        <v>42</v>
      </c>
      <c r="W34" s="49" t="s">
        <v>137</v>
      </c>
    </row>
    <row r="35" spans="1:23">
      <c r="A35" s="49">
        <v>3</v>
      </c>
      <c r="B35" s="49">
        <v>6</v>
      </c>
      <c r="C35" s="49">
        <v>0.72</v>
      </c>
      <c r="D35" s="49">
        <v>-0.2</v>
      </c>
      <c r="E35" s="49">
        <v>0.42</v>
      </c>
      <c r="F35" s="49" t="s">
        <v>135</v>
      </c>
      <c r="G35" s="49" t="s">
        <v>141</v>
      </c>
      <c r="H35" s="49">
        <v>2.9300999999999999</v>
      </c>
      <c r="I35" s="49" t="s">
        <v>42</v>
      </c>
      <c r="J35" s="49" t="s">
        <v>42</v>
      </c>
      <c r="K35" s="49" t="s">
        <v>137</v>
      </c>
      <c r="L35" s="2"/>
      <c r="M35" s="49">
        <v>4</v>
      </c>
      <c r="N35" s="49">
        <v>6</v>
      </c>
      <c r="O35" s="49">
        <v>0.52</v>
      </c>
      <c r="P35" s="49">
        <v>-0.25</v>
      </c>
      <c r="Q35" s="49">
        <v>0.42</v>
      </c>
      <c r="R35" s="49" t="s">
        <v>135</v>
      </c>
      <c r="S35" s="49" t="s">
        <v>141</v>
      </c>
      <c r="T35" s="49">
        <v>1.7278</v>
      </c>
      <c r="U35" s="49" t="s">
        <v>42</v>
      </c>
      <c r="V35" s="49" t="s">
        <v>42</v>
      </c>
      <c r="W35" s="49" t="s">
        <v>137</v>
      </c>
    </row>
    <row r="36" spans="1:23">
      <c r="A36" s="49">
        <v>3</v>
      </c>
      <c r="B36" s="49">
        <v>7</v>
      </c>
      <c r="C36" s="49">
        <v>0.52</v>
      </c>
      <c r="D36" s="49">
        <v>0.25</v>
      </c>
      <c r="E36" s="49">
        <v>0.35</v>
      </c>
      <c r="F36" s="49" t="s">
        <v>135</v>
      </c>
      <c r="G36" s="49" t="s">
        <v>141</v>
      </c>
      <c r="H36" s="49">
        <v>2.0144000000000002</v>
      </c>
      <c r="I36" s="49" t="s">
        <v>42</v>
      </c>
      <c r="J36" s="49" t="s">
        <v>42</v>
      </c>
      <c r="K36" s="49" t="s">
        <v>137</v>
      </c>
      <c r="L36" s="2"/>
      <c r="M36" s="49">
        <v>4</v>
      </c>
      <c r="N36" s="49">
        <v>7</v>
      </c>
      <c r="O36" s="49">
        <v>0.7</v>
      </c>
      <c r="P36" s="49">
        <v>-0.25</v>
      </c>
      <c r="Q36" s="49">
        <v>0.35</v>
      </c>
      <c r="R36" s="49" t="s">
        <v>135</v>
      </c>
      <c r="S36" s="49" t="s">
        <v>141</v>
      </c>
      <c r="T36" s="49">
        <v>1.4045000000000001</v>
      </c>
      <c r="U36" s="49" t="s">
        <v>42</v>
      </c>
      <c r="V36" s="49" t="s">
        <v>42</v>
      </c>
      <c r="W36" s="49" t="s">
        <v>137</v>
      </c>
    </row>
    <row r="37" spans="1:23">
      <c r="A37" s="49">
        <v>3</v>
      </c>
      <c r="B37" s="49">
        <v>7</v>
      </c>
      <c r="C37" s="49">
        <v>0.72</v>
      </c>
      <c r="D37" s="49">
        <v>-0.2</v>
      </c>
      <c r="E37" s="49">
        <v>0.42</v>
      </c>
      <c r="F37" s="49" t="s">
        <v>135</v>
      </c>
      <c r="G37" s="49" t="s">
        <v>141</v>
      </c>
      <c r="H37" s="49">
        <v>1.7506999999999999</v>
      </c>
      <c r="I37" s="49" t="s">
        <v>42</v>
      </c>
      <c r="J37" s="49" t="s">
        <v>42</v>
      </c>
      <c r="K37" s="49" t="s">
        <v>137</v>
      </c>
      <c r="L37" s="2"/>
      <c r="M37" s="49">
        <v>4</v>
      </c>
      <c r="N37" s="49">
        <v>7</v>
      </c>
      <c r="O37" s="49">
        <v>0.52</v>
      </c>
      <c r="P37" s="49">
        <v>-0.25</v>
      </c>
      <c r="Q37" s="49">
        <v>0.42</v>
      </c>
      <c r="R37" s="49" t="s">
        <v>135</v>
      </c>
      <c r="S37" s="49" t="s">
        <v>141</v>
      </c>
      <c r="T37" s="49">
        <v>1.9314</v>
      </c>
      <c r="U37" s="49" t="s">
        <v>42</v>
      </c>
      <c r="V37" s="49" t="s">
        <v>42</v>
      </c>
      <c r="W37" s="49" t="s">
        <v>137</v>
      </c>
    </row>
    <row r="38" spans="1:23">
      <c r="A38" s="49">
        <v>3</v>
      </c>
      <c r="B38" s="49">
        <v>8</v>
      </c>
      <c r="C38" s="49">
        <v>0.52</v>
      </c>
      <c r="D38" s="49">
        <v>0.25</v>
      </c>
      <c r="E38" s="49">
        <v>0.35</v>
      </c>
      <c r="F38" s="49" t="s">
        <v>135</v>
      </c>
      <c r="G38" s="49" t="s">
        <v>141</v>
      </c>
      <c r="H38" s="49">
        <v>1.8058000000000001</v>
      </c>
      <c r="I38" s="49" t="s">
        <v>42</v>
      </c>
      <c r="J38" s="49" t="s">
        <v>42</v>
      </c>
      <c r="K38" s="49" t="s">
        <v>137</v>
      </c>
      <c r="L38" s="2"/>
      <c r="M38" s="49">
        <v>4</v>
      </c>
      <c r="N38" s="49">
        <v>8</v>
      </c>
      <c r="O38" s="49">
        <v>0.7</v>
      </c>
      <c r="P38" s="49">
        <v>-0.25</v>
      </c>
      <c r="Q38" s="49">
        <v>0.35</v>
      </c>
      <c r="R38" s="49" t="s">
        <v>135</v>
      </c>
      <c r="S38" s="49" t="s">
        <v>141</v>
      </c>
      <c r="T38" s="49">
        <v>1.7836000000000001</v>
      </c>
      <c r="U38" s="49" t="s">
        <v>42</v>
      </c>
      <c r="V38" s="49" t="s">
        <v>42</v>
      </c>
      <c r="W38" s="49" t="s">
        <v>137</v>
      </c>
    </row>
    <row r="39" spans="1:23">
      <c r="A39" s="49">
        <v>3</v>
      </c>
      <c r="B39" s="49">
        <v>8</v>
      </c>
      <c r="C39" s="49">
        <v>0.72</v>
      </c>
      <c r="D39" s="49">
        <v>-0.2</v>
      </c>
      <c r="E39" s="49">
        <v>0.42</v>
      </c>
      <c r="F39" s="49" t="s">
        <v>135</v>
      </c>
      <c r="G39" s="49" t="s">
        <v>141</v>
      </c>
      <c r="H39" s="49">
        <v>2.0169999999999999</v>
      </c>
      <c r="I39" s="49" t="s">
        <v>42</v>
      </c>
      <c r="J39" s="49" t="s">
        <v>42</v>
      </c>
      <c r="K39" s="49" t="s">
        <v>137</v>
      </c>
      <c r="L39" s="2"/>
      <c r="M39" s="49">
        <v>4</v>
      </c>
      <c r="N39" s="49">
        <v>8</v>
      </c>
      <c r="O39" s="49">
        <v>0.52</v>
      </c>
      <c r="P39" s="49">
        <v>-0.25</v>
      </c>
      <c r="Q39" s="49">
        <v>0.42</v>
      </c>
      <c r="R39" s="49" t="s">
        <v>135</v>
      </c>
      <c r="S39" s="49" t="s">
        <v>141</v>
      </c>
      <c r="T39" s="49">
        <v>2.387</v>
      </c>
      <c r="U39" s="49" t="s">
        <v>42</v>
      </c>
      <c r="V39" s="49" t="s">
        <v>42</v>
      </c>
      <c r="W39" s="49" t="s">
        <v>137</v>
      </c>
    </row>
    <row r="40" spans="1:23">
      <c r="A40" s="49">
        <v>3</v>
      </c>
      <c r="B40" s="49">
        <v>9</v>
      </c>
      <c r="C40" s="49">
        <v>0.52</v>
      </c>
      <c r="D40" s="49">
        <v>0.25</v>
      </c>
      <c r="E40" s="49">
        <v>0.35</v>
      </c>
      <c r="F40" s="49" t="s">
        <v>135</v>
      </c>
      <c r="G40" s="49" t="s">
        <v>141</v>
      </c>
      <c r="H40" s="49">
        <v>1.5528</v>
      </c>
      <c r="I40" s="49" t="s">
        <v>42</v>
      </c>
      <c r="J40" s="49" t="s">
        <v>42</v>
      </c>
      <c r="K40" s="49" t="s">
        <v>137</v>
      </c>
      <c r="L40" s="2"/>
      <c r="M40" s="49">
        <v>4</v>
      </c>
      <c r="N40" s="49">
        <v>9</v>
      </c>
      <c r="O40" s="49">
        <v>0.7</v>
      </c>
      <c r="P40" s="49">
        <v>-0.25</v>
      </c>
      <c r="Q40" s="49">
        <v>0.35</v>
      </c>
      <c r="R40" s="49" t="s">
        <v>135</v>
      </c>
      <c r="S40" s="49" t="s">
        <v>141</v>
      </c>
      <c r="T40" s="49">
        <v>2.0268000000000002</v>
      </c>
      <c r="U40" s="49" t="s">
        <v>42</v>
      </c>
      <c r="V40" s="49" t="s">
        <v>42</v>
      </c>
      <c r="W40" s="49" t="s">
        <v>137</v>
      </c>
    </row>
    <row r="41" spans="1:23">
      <c r="A41" s="49">
        <v>3</v>
      </c>
      <c r="B41" s="49">
        <v>9</v>
      </c>
      <c r="C41" s="49">
        <v>0.72</v>
      </c>
      <c r="D41" s="49">
        <v>-0.2</v>
      </c>
      <c r="E41" s="49">
        <v>0.42</v>
      </c>
      <c r="F41" s="49" t="s">
        <v>135</v>
      </c>
      <c r="G41" s="49" t="s">
        <v>141</v>
      </c>
      <c r="H41" s="49">
        <v>1.5351999999999999</v>
      </c>
      <c r="I41" s="49" t="s">
        <v>42</v>
      </c>
      <c r="J41" s="49" t="s">
        <v>42</v>
      </c>
      <c r="K41" s="49" t="s">
        <v>137</v>
      </c>
      <c r="L41" s="2"/>
      <c r="M41" s="49">
        <v>4</v>
      </c>
      <c r="N41" s="49">
        <v>9</v>
      </c>
      <c r="O41" s="49">
        <v>0.52</v>
      </c>
      <c r="P41" s="49">
        <v>-0.25</v>
      </c>
      <c r="Q41" s="49">
        <v>0.42</v>
      </c>
      <c r="R41" s="49" t="s">
        <v>135</v>
      </c>
      <c r="S41" s="49" t="s">
        <v>141</v>
      </c>
      <c r="T41" s="49">
        <v>2.0185</v>
      </c>
      <c r="U41" s="49" t="s">
        <v>42</v>
      </c>
      <c r="V41" s="49" t="s">
        <v>42</v>
      </c>
      <c r="W41" s="49" t="s">
        <v>137</v>
      </c>
    </row>
    <row r="42" spans="1:23">
      <c r="A42" s="49">
        <v>3</v>
      </c>
      <c r="B42" s="49">
        <v>10</v>
      </c>
      <c r="C42" s="49">
        <v>0.52</v>
      </c>
      <c r="D42" s="49">
        <v>0.25</v>
      </c>
      <c r="E42" s="49">
        <v>0.35</v>
      </c>
      <c r="F42" s="49" t="s">
        <v>135</v>
      </c>
      <c r="G42" s="49" t="s">
        <v>141</v>
      </c>
      <c r="H42" s="49">
        <v>2.0185</v>
      </c>
      <c r="I42" s="49" t="s">
        <v>42</v>
      </c>
      <c r="J42" s="49" t="s">
        <v>42</v>
      </c>
      <c r="K42" s="49" t="s">
        <v>137</v>
      </c>
      <c r="L42" s="2"/>
      <c r="M42" s="49">
        <v>4</v>
      </c>
      <c r="N42" s="49">
        <v>10</v>
      </c>
      <c r="O42" s="49">
        <v>0.7</v>
      </c>
      <c r="P42" s="49">
        <v>-0.25</v>
      </c>
      <c r="Q42" s="49">
        <v>0.35</v>
      </c>
      <c r="R42" s="49" t="s">
        <v>135</v>
      </c>
      <c r="S42" s="49" t="s">
        <v>141</v>
      </c>
      <c r="T42" s="49">
        <v>1.4686999999999999</v>
      </c>
      <c r="U42" s="49" t="s">
        <v>42</v>
      </c>
      <c r="V42" s="49" t="s">
        <v>42</v>
      </c>
      <c r="W42" s="49" t="s">
        <v>137</v>
      </c>
    </row>
    <row r="43" spans="1:23">
      <c r="A43" s="49">
        <v>3</v>
      </c>
      <c r="B43" s="49">
        <v>10</v>
      </c>
      <c r="C43" s="49">
        <v>0.72</v>
      </c>
      <c r="D43" s="49">
        <v>-0.2</v>
      </c>
      <c r="E43" s="49">
        <v>0.42</v>
      </c>
      <c r="F43" s="49" t="s">
        <v>135</v>
      </c>
      <c r="G43" s="49" t="s">
        <v>141</v>
      </c>
      <c r="H43" s="49">
        <v>2.1536</v>
      </c>
      <c r="I43" s="49" t="s">
        <v>42</v>
      </c>
      <c r="J43" s="49" t="s">
        <v>42</v>
      </c>
      <c r="K43" s="49" t="s">
        <v>137</v>
      </c>
      <c r="L43" s="2"/>
      <c r="M43" s="49">
        <v>4</v>
      </c>
      <c r="N43" s="49">
        <v>10</v>
      </c>
      <c r="O43" s="49">
        <v>0.52</v>
      </c>
      <c r="P43" s="49">
        <v>-0.25</v>
      </c>
      <c r="Q43" s="49">
        <v>0.42</v>
      </c>
      <c r="R43" s="49" t="s">
        <v>135</v>
      </c>
      <c r="S43" s="49" t="s">
        <v>141</v>
      </c>
      <c r="T43" s="49">
        <v>1.873</v>
      </c>
      <c r="U43" s="49" t="s">
        <v>42</v>
      </c>
      <c r="V43" s="49" t="s">
        <v>42</v>
      </c>
      <c r="W43" s="49" t="s">
        <v>137</v>
      </c>
    </row>
    <row r="44" spans="1:23">
      <c r="A44" s="2"/>
      <c r="B44" s="2"/>
      <c r="C44" s="2"/>
      <c r="D44" s="2"/>
      <c r="E44" s="2"/>
      <c r="F44" s="2"/>
      <c r="G44" s="14" t="s">
        <v>138</v>
      </c>
      <c r="H44" s="14">
        <f>AVERAGE(H24:H43)</f>
        <v>1.938595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14" t="s">
        <v>138</v>
      </c>
      <c r="T44" s="14">
        <f>AVERAGE(T24:T43)</f>
        <v>1.891855</v>
      </c>
      <c r="U44" s="2"/>
      <c r="V44" s="2"/>
      <c r="W44" s="2"/>
    </row>
    <row r="45" spans="1:23">
      <c r="A45" s="71" t="s">
        <v>9</v>
      </c>
      <c r="B45" s="71" t="s">
        <v>126</v>
      </c>
      <c r="C45" s="71" t="s">
        <v>127</v>
      </c>
      <c r="D45" s="71" t="s">
        <v>128</v>
      </c>
      <c r="E45" s="71" t="s">
        <v>129</v>
      </c>
      <c r="F45" s="71" t="s">
        <v>139</v>
      </c>
      <c r="G45" s="71" t="s">
        <v>140</v>
      </c>
      <c r="H45" s="71" t="s">
        <v>132</v>
      </c>
      <c r="I45" s="71" t="s">
        <v>13</v>
      </c>
      <c r="J45" s="71" t="s">
        <v>133</v>
      </c>
      <c r="K45" s="71" t="s">
        <v>134</v>
      </c>
      <c r="L45" s="2"/>
      <c r="M45" s="71" t="s">
        <v>9</v>
      </c>
      <c r="N45" s="71" t="s">
        <v>126</v>
      </c>
      <c r="O45" s="71" t="s">
        <v>127</v>
      </c>
      <c r="P45" s="71" t="s">
        <v>128</v>
      </c>
      <c r="Q45" s="71" t="s">
        <v>129</v>
      </c>
      <c r="R45" s="71" t="s">
        <v>139</v>
      </c>
      <c r="S45" s="71" t="s">
        <v>140</v>
      </c>
      <c r="T45" s="71" t="s">
        <v>132</v>
      </c>
      <c r="U45" s="71" t="s">
        <v>13</v>
      </c>
      <c r="V45" s="71" t="s">
        <v>133</v>
      </c>
      <c r="W45" s="71" t="s">
        <v>134</v>
      </c>
    </row>
    <row r="46" spans="1:23">
      <c r="A46" s="49">
        <v>5</v>
      </c>
      <c r="B46" s="49">
        <v>1</v>
      </c>
      <c r="C46" s="49">
        <v>0.62</v>
      </c>
      <c r="D46" s="49">
        <v>0.18</v>
      </c>
      <c r="E46" s="49">
        <v>0.35</v>
      </c>
      <c r="F46" s="49" t="s">
        <v>135</v>
      </c>
      <c r="G46" s="49" t="s">
        <v>141</v>
      </c>
      <c r="H46" s="49">
        <v>1.6365000000000001</v>
      </c>
      <c r="I46" s="49" t="s">
        <v>42</v>
      </c>
      <c r="J46" s="49" t="s">
        <v>42</v>
      </c>
      <c r="K46" s="49" t="s">
        <v>137</v>
      </c>
      <c r="L46" s="2"/>
      <c r="M46" s="49">
        <v>6</v>
      </c>
      <c r="N46" s="49">
        <v>1</v>
      </c>
      <c r="O46" s="49">
        <v>0.5</v>
      </c>
      <c r="P46" s="49">
        <v>-0.3</v>
      </c>
      <c r="Q46" s="49">
        <v>0.35</v>
      </c>
      <c r="R46" s="49" t="s">
        <v>135</v>
      </c>
      <c r="S46" s="49" t="s">
        <v>141</v>
      </c>
      <c r="T46" s="49">
        <v>1.7896000000000001</v>
      </c>
      <c r="U46" s="49" t="s">
        <v>42</v>
      </c>
      <c r="V46" s="49" t="s">
        <v>42</v>
      </c>
      <c r="W46" s="49" t="s">
        <v>137</v>
      </c>
    </row>
    <row r="47" spans="1:23">
      <c r="A47" s="49">
        <v>5</v>
      </c>
      <c r="B47" s="49">
        <v>1</v>
      </c>
      <c r="C47" s="49">
        <v>0.72</v>
      </c>
      <c r="D47" s="49">
        <v>0.28000000000000003</v>
      </c>
      <c r="E47" s="49">
        <v>0.42</v>
      </c>
      <c r="F47" s="49" t="s">
        <v>135</v>
      </c>
      <c r="G47" s="49" t="s">
        <v>141</v>
      </c>
      <c r="H47" s="49">
        <v>2.0520999999999998</v>
      </c>
      <c r="I47" s="49" t="s">
        <v>42</v>
      </c>
      <c r="J47" s="49" t="s">
        <v>42</v>
      </c>
      <c r="K47" s="49" t="s">
        <v>137</v>
      </c>
      <c r="L47" s="2"/>
      <c r="M47" s="49">
        <v>6</v>
      </c>
      <c r="N47" s="49">
        <v>1</v>
      </c>
      <c r="O47" s="49">
        <v>0.75</v>
      </c>
      <c r="P47" s="49">
        <v>0.1</v>
      </c>
      <c r="Q47" s="49">
        <v>0.42</v>
      </c>
      <c r="R47" s="49" t="s">
        <v>135</v>
      </c>
      <c r="S47" s="49" t="s">
        <v>141</v>
      </c>
      <c r="T47" s="49">
        <v>2.6116000000000001</v>
      </c>
      <c r="U47" s="49" t="s">
        <v>42</v>
      </c>
      <c r="V47" s="49" t="s">
        <v>42</v>
      </c>
      <c r="W47" s="49" t="s">
        <v>137</v>
      </c>
    </row>
    <row r="48" spans="1:23">
      <c r="A48" s="49">
        <v>5</v>
      </c>
      <c r="B48" s="49">
        <v>2</v>
      </c>
      <c r="C48" s="49">
        <v>0.62</v>
      </c>
      <c r="D48" s="49">
        <v>0.18</v>
      </c>
      <c r="E48" s="49">
        <v>0.35</v>
      </c>
      <c r="F48" s="49" t="s">
        <v>135</v>
      </c>
      <c r="G48" s="49" t="s">
        <v>141</v>
      </c>
      <c r="H48" s="49">
        <v>1.5466</v>
      </c>
      <c r="I48" s="49" t="s">
        <v>42</v>
      </c>
      <c r="J48" s="49" t="s">
        <v>42</v>
      </c>
      <c r="K48" s="49" t="s">
        <v>137</v>
      </c>
      <c r="L48" s="2"/>
      <c r="M48" s="49">
        <v>6</v>
      </c>
      <c r="N48" s="49">
        <v>2</v>
      </c>
      <c r="O48" s="49">
        <v>0.5</v>
      </c>
      <c r="P48" s="49">
        <v>-0.3</v>
      </c>
      <c r="Q48" s="49">
        <v>0.35</v>
      </c>
      <c r="R48" s="49" t="s">
        <v>135</v>
      </c>
      <c r="S48" s="49" t="s">
        <v>141</v>
      </c>
      <c r="T48" s="49">
        <v>1.9436</v>
      </c>
      <c r="U48" s="49" t="s">
        <v>42</v>
      </c>
      <c r="V48" s="49" t="s">
        <v>42</v>
      </c>
      <c r="W48" s="49" t="s">
        <v>137</v>
      </c>
    </row>
    <row r="49" spans="1:23">
      <c r="A49" s="49">
        <v>5</v>
      </c>
      <c r="B49" s="49">
        <v>2</v>
      </c>
      <c r="C49" s="49">
        <v>0.72</v>
      </c>
      <c r="D49" s="49">
        <v>0.28000000000000003</v>
      </c>
      <c r="E49" s="49">
        <v>0.42</v>
      </c>
      <c r="F49" s="49" t="s">
        <v>135</v>
      </c>
      <c r="G49" s="49" t="s">
        <v>141</v>
      </c>
      <c r="H49" s="49">
        <v>1.6193</v>
      </c>
      <c r="I49" s="49" t="s">
        <v>42</v>
      </c>
      <c r="J49" s="49" t="s">
        <v>42</v>
      </c>
      <c r="K49" s="49" t="s">
        <v>137</v>
      </c>
      <c r="L49" s="2"/>
      <c r="M49" s="49">
        <v>6</v>
      </c>
      <c r="N49" s="49">
        <v>2</v>
      </c>
      <c r="O49" s="49">
        <v>0.75</v>
      </c>
      <c r="P49" s="49">
        <v>0.1</v>
      </c>
      <c r="Q49" s="49">
        <v>0.42</v>
      </c>
      <c r="R49" s="49" t="s">
        <v>135</v>
      </c>
      <c r="S49" s="49" t="s">
        <v>141</v>
      </c>
      <c r="T49" s="49">
        <v>2.198</v>
      </c>
      <c r="U49" s="49" t="s">
        <v>42</v>
      </c>
      <c r="V49" s="49" t="s">
        <v>42</v>
      </c>
      <c r="W49" s="49" t="s">
        <v>137</v>
      </c>
    </row>
    <row r="50" spans="1:23">
      <c r="A50" s="49">
        <v>5</v>
      </c>
      <c r="B50" s="49">
        <v>3</v>
      </c>
      <c r="C50" s="49">
        <v>0.62</v>
      </c>
      <c r="D50" s="49">
        <v>0.18</v>
      </c>
      <c r="E50" s="49">
        <v>0.35</v>
      </c>
      <c r="F50" s="49" t="s">
        <v>135</v>
      </c>
      <c r="G50" s="49" t="s">
        <v>141</v>
      </c>
      <c r="H50" s="49">
        <v>2.8616999999999999</v>
      </c>
      <c r="I50" s="49" t="s">
        <v>42</v>
      </c>
      <c r="J50" s="49" t="s">
        <v>42</v>
      </c>
      <c r="K50" s="49" t="s">
        <v>137</v>
      </c>
      <c r="L50" s="2"/>
      <c r="M50" s="49">
        <v>6</v>
      </c>
      <c r="N50" s="49">
        <v>3</v>
      </c>
      <c r="O50" s="49">
        <v>0.5</v>
      </c>
      <c r="P50" s="49">
        <v>-0.3</v>
      </c>
      <c r="Q50" s="49">
        <v>0.35</v>
      </c>
      <c r="R50" s="49" t="s">
        <v>135</v>
      </c>
      <c r="S50" s="49" t="s">
        <v>141</v>
      </c>
      <c r="T50" s="49">
        <v>1.7622</v>
      </c>
      <c r="U50" s="49" t="s">
        <v>42</v>
      </c>
      <c r="V50" s="49" t="s">
        <v>42</v>
      </c>
      <c r="W50" s="49" t="s">
        <v>137</v>
      </c>
    </row>
    <row r="51" spans="1:23">
      <c r="A51" s="49">
        <v>5</v>
      </c>
      <c r="B51" s="49">
        <v>3</v>
      </c>
      <c r="C51" s="49">
        <v>0.72</v>
      </c>
      <c r="D51" s="49">
        <v>0.28000000000000003</v>
      </c>
      <c r="E51" s="49">
        <v>0.42</v>
      </c>
      <c r="F51" s="49" t="s">
        <v>135</v>
      </c>
      <c r="G51" s="49" t="s">
        <v>141</v>
      </c>
      <c r="H51" s="49">
        <v>2.9683000000000002</v>
      </c>
      <c r="I51" s="49" t="s">
        <v>42</v>
      </c>
      <c r="J51" s="49" t="s">
        <v>42</v>
      </c>
      <c r="K51" s="49" t="s">
        <v>137</v>
      </c>
      <c r="L51" s="2"/>
      <c r="M51" s="49">
        <v>6</v>
      </c>
      <c r="N51" s="49">
        <v>3</v>
      </c>
      <c r="O51" s="49">
        <v>0.75</v>
      </c>
      <c r="P51" s="49">
        <v>0.1</v>
      </c>
      <c r="Q51" s="49">
        <v>0.42</v>
      </c>
      <c r="R51" s="49" t="s">
        <v>135</v>
      </c>
      <c r="S51" s="49" t="s">
        <v>141</v>
      </c>
      <c r="T51" s="49">
        <v>2.1009000000000002</v>
      </c>
      <c r="U51" s="49" t="s">
        <v>42</v>
      </c>
      <c r="V51" s="49" t="s">
        <v>42</v>
      </c>
      <c r="W51" s="49" t="s">
        <v>137</v>
      </c>
    </row>
    <row r="52" spans="1:23">
      <c r="A52" s="49">
        <v>5</v>
      </c>
      <c r="B52" s="49">
        <v>4</v>
      </c>
      <c r="C52" s="49">
        <v>0.62</v>
      </c>
      <c r="D52" s="49">
        <v>0.18</v>
      </c>
      <c r="E52" s="49">
        <v>0.35</v>
      </c>
      <c r="F52" s="49" t="s">
        <v>135</v>
      </c>
      <c r="G52" s="49" t="s">
        <v>141</v>
      </c>
      <c r="H52" s="49">
        <v>1.8071999999999999</v>
      </c>
      <c r="I52" s="49" t="s">
        <v>42</v>
      </c>
      <c r="J52" s="49" t="s">
        <v>42</v>
      </c>
      <c r="K52" s="49" t="s">
        <v>137</v>
      </c>
      <c r="L52" s="2"/>
      <c r="M52" s="49">
        <v>6</v>
      </c>
      <c r="N52" s="49">
        <v>4</v>
      </c>
      <c r="O52" s="49">
        <v>0.5</v>
      </c>
      <c r="P52" s="49">
        <v>-0.3</v>
      </c>
      <c r="Q52" s="49">
        <v>0.35</v>
      </c>
      <c r="R52" s="49" t="s">
        <v>135</v>
      </c>
      <c r="S52" s="49" t="s">
        <v>141</v>
      </c>
      <c r="T52" s="49">
        <v>2.0564</v>
      </c>
      <c r="U52" s="49" t="s">
        <v>42</v>
      </c>
      <c r="V52" s="49" t="s">
        <v>42</v>
      </c>
      <c r="W52" s="49" t="s">
        <v>137</v>
      </c>
    </row>
    <row r="53" spans="1:23">
      <c r="A53" s="49">
        <v>5</v>
      </c>
      <c r="B53" s="49">
        <v>4</v>
      </c>
      <c r="C53" s="49">
        <v>0.72</v>
      </c>
      <c r="D53" s="49">
        <v>0.28000000000000003</v>
      </c>
      <c r="E53" s="49">
        <v>0.42</v>
      </c>
      <c r="F53" s="49" t="s">
        <v>135</v>
      </c>
      <c r="G53" s="49" t="s">
        <v>141</v>
      </c>
      <c r="H53" s="49">
        <v>1.9118999999999999</v>
      </c>
      <c r="I53" s="49" t="s">
        <v>42</v>
      </c>
      <c r="J53" s="49" t="s">
        <v>42</v>
      </c>
      <c r="K53" s="49" t="s">
        <v>137</v>
      </c>
      <c r="L53" s="2"/>
      <c r="M53" s="49">
        <v>6</v>
      </c>
      <c r="N53" s="49">
        <v>4</v>
      </c>
      <c r="O53" s="49">
        <v>0.75</v>
      </c>
      <c r="P53" s="49">
        <v>0.1</v>
      </c>
      <c r="Q53" s="49">
        <v>0.42</v>
      </c>
      <c r="R53" s="49" t="s">
        <v>135</v>
      </c>
      <c r="S53" s="49" t="s">
        <v>141</v>
      </c>
      <c r="T53" s="49">
        <v>2.2185000000000001</v>
      </c>
      <c r="U53" s="49" t="s">
        <v>42</v>
      </c>
      <c r="V53" s="49" t="s">
        <v>42</v>
      </c>
      <c r="W53" s="49" t="s">
        <v>137</v>
      </c>
    </row>
    <row r="54" spans="1:23">
      <c r="A54" s="49">
        <v>5</v>
      </c>
      <c r="B54" s="49">
        <v>5</v>
      </c>
      <c r="C54" s="49">
        <v>0.62</v>
      </c>
      <c r="D54" s="49">
        <v>0.18</v>
      </c>
      <c r="E54" s="49">
        <v>0.35</v>
      </c>
      <c r="F54" s="49" t="s">
        <v>135</v>
      </c>
      <c r="G54" s="49" t="s">
        <v>141</v>
      </c>
      <c r="H54" s="49">
        <v>1.9355</v>
      </c>
      <c r="I54" s="49" t="s">
        <v>42</v>
      </c>
      <c r="J54" s="49" t="s">
        <v>42</v>
      </c>
      <c r="K54" s="49" t="s">
        <v>137</v>
      </c>
      <c r="L54" s="2"/>
      <c r="M54" s="49">
        <v>6</v>
      </c>
      <c r="N54" s="49">
        <v>5</v>
      </c>
      <c r="O54" s="49">
        <v>0.5</v>
      </c>
      <c r="P54" s="49">
        <v>-0.3</v>
      </c>
      <c r="Q54" s="49">
        <v>0.35</v>
      </c>
      <c r="R54" s="49" t="s">
        <v>135</v>
      </c>
      <c r="S54" s="49" t="s">
        <v>141</v>
      </c>
      <c r="T54" s="49">
        <v>1.6860999999999999</v>
      </c>
      <c r="U54" s="49" t="s">
        <v>42</v>
      </c>
      <c r="V54" s="49" t="s">
        <v>42</v>
      </c>
      <c r="W54" s="49" t="s">
        <v>137</v>
      </c>
    </row>
    <row r="55" spans="1:23">
      <c r="A55" s="49">
        <v>5</v>
      </c>
      <c r="B55" s="49">
        <v>5</v>
      </c>
      <c r="C55" s="49">
        <v>0.72</v>
      </c>
      <c r="D55" s="49">
        <v>0.28000000000000003</v>
      </c>
      <c r="E55" s="49">
        <v>0.42</v>
      </c>
      <c r="F55" s="49" t="s">
        <v>135</v>
      </c>
      <c r="G55" s="49" t="s">
        <v>141</v>
      </c>
      <c r="H55" s="49">
        <v>2.7595000000000001</v>
      </c>
      <c r="I55" s="49" t="s">
        <v>42</v>
      </c>
      <c r="J55" s="49" t="s">
        <v>42</v>
      </c>
      <c r="K55" s="49" t="s">
        <v>137</v>
      </c>
      <c r="L55" s="2"/>
      <c r="M55" s="49">
        <v>6</v>
      </c>
      <c r="N55" s="49">
        <v>5</v>
      </c>
      <c r="O55" s="49">
        <v>0.75</v>
      </c>
      <c r="P55" s="49">
        <v>0.1</v>
      </c>
      <c r="Q55" s="49">
        <v>0.42</v>
      </c>
      <c r="R55" s="49" t="s">
        <v>135</v>
      </c>
      <c r="S55" s="49" t="s">
        <v>141</v>
      </c>
      <c r="T55" s="49">
        <v>3.1998000000000002</v>
      </c>
      <c r="U55" s="49" t="s">
        <v>42</v>
      </c>
      <c r="V55" s="49" t="s">
        <v>42</v>
      </c>
      <c r="W55" s="49" t="s">
        <v>137</v>
      </c>
    </row>
    <row r="56" spans="1:23">
      <c r="A56" s="49">
        <v>5</v>
      </c>
      <c r="B56" s="49">
        <v>6</v>
      </c>
      <c r="C56" s="49">
        <v>0.62</v>
      </c>
      <c r="D56" s="49">
        <v>0.18</v>
      </c>
      <c r="E56" s="49">
        <v>0.35</v>
      </c>
      <c r="F56" s="49" t="s">
        <v>135</v>
      </c>
      <c r="G56" s="49" t="s">
        <v>141</v>
      </c>
      <c r="H56" s="49">
        <v>1.9298</v>
      </c>
      <c r="I56" s="49" t="s">
        <v>42</v>
      </c>
      <c r="J56" s="49" t="s">
        <v>42</v>
      </c>
      <c r="K56" s="49" t="s">
        <v>137</v>
      </c>
      <c r="L56" s="2"/>
      <c r="M56" s="49">
        <v>6</v>
      </c>
      <c r="N56" s="49">
        <v>6</v>
      </c>
      <c r="O56" s="49">
        <v>0.5</v>
      </c>
      <c r="P56" s="49">
        <v>-0.3</v>
      </c>
      <c r="Q56" s="49">
        <v>0.35</v>
      </c>
      <c r="R56" s="49" t="s">
        <v>135</v>
      </c>
      <c r="S56" s="49" t="s">
        <v>141</v>
      </c>
      <c r="T56" s="49">
        <v>1.6476999999999999</v>
      </c>
      <c r="U56" s="49" t="s">
        <v>42</v>
      </c>
      <c r="V56" s="49" t="s">
        <v>42</v>
      </c>
      <c r="W56" s="49" t="s">
        <v>137</v>
      </c>
    </row>
    <row r="57" spans="1:23">
      <c r="A57" s="49">
        <v>5</v>
      </c>
      <c r="B57" s="49">
        <v>6</v>
      </c>
      <c r="C57" s="49">
        <v>0.72</v>
      </c>
      <c r="D57" s="49">
        <v>0.28000000000000003</v>
      </c>
      <c r="E57" s="49">
        <v>0.42</v>
      </c>
      <c r="F57" s="49" t="s">
        <v>135</v>
      </c>
      <c r="G57" s="49" t="s">
        <v>141</v>
      </c>
      <c r="H57" s="49">
        <v>1.9007000000000001</v>
      </c>
      <c r="I57" s="49" t="s">
        <v>42</v>
      </c>
      <c r="J57" s="49" t="s">
        <v>42</v>
      </c>
      <c r="K57" s="49" t="s">
        <v>137</v>
      </c>
      <c r="L57" s="2"/>
      <c r="M57" s="49">
        <v>6</v>
      </c>
      <c r="N57" s="49">
        <v>6</v>
      </c>
      <c r="O57" s="49">
        <v>0.75</v>
      </c>
      <c r="P57" s="49">
        <v>0.1</v>
      </c>
      <c r="Q57" s="49">
        <v>0.42</v>
      </c>
      <c r="R57" s="49" t="s">
        <v>135</v>
      </c>
      <c r="S57" s="49" t="s">
        <v>141</v>
      </c>
      <c r="T57" s="49">
        <v>1.8783000000000001</v>
      </c>
      <c r="U57" s="49" t="s">
        <v>42</v>
      </c>
      <c r="V57" s="49" t="s">
        <v>42</v>
      </c>
      <c r="W57" s="49" t="s">
        <v>137</v>
      </c>
    </row>
    <row r="58" spans="1:23">
      <c r="A58" s="49">
        <v>5</v>
      </c>
      <c r="B58" s="49">
        <v>7</v>
      </c>
      <c r="C58" s="49">
        <v>0.62</v>
      </c>
      <c r="D58" s="49">
        <v>0.18</v>
      </c>
      <c r="E58" s="49">
        <v>0.35</v>
      </c>
      <c r="F58" s="49" t="s">
        <v>135</v>
      </c>
      <c r="G58" s="49" t="s">
        <v>141</v>
      </c>
      <c r="H58" s="49">
        <v>2.2303999999999999</v>
      </c>
      <c r="I58" s="49" t="s">
        <v>42</v>
      </c>
      <c r="J58" s="49" t="s">
        <v>42</v>
      </c>
      <c r="K58" s="49" t="s">
        <v>137</v>
      </c>
      <c r="L58" s="2"/>
      <c r="M58" s="49">
        <v>6</v>
      </c>
      <c r="N58" s="49">
        <v>7</v>
      </c>
      <c r="O58" s="49">
        <v>0.5</v>
      </c>
      <c r="P58" s="49">
        <v>-0.3</v>
      </c>
      <c r="Q58" s="49">
        <v>0.35</v>
      </c>
      <c r="R58" s="49" t="s">
        <v>135</v>
      </c>
      <c r="S58" s="49" t="s">
        <v>141</v>
      </c>
      <c r="T58" s="49">
        <v>1.4751000000000001</v>
      </c>
      <c r="U58" s="49" t="s">
        <v>42</v>
      </c>
      <c r="V58" s="49" t="s">
        <v>42</v>
      </c>
      <c r="W58" s="49" t="s">
        <v>137</v>
      </c>
    </row>
    <row r="59" spans="1:23">
      <c r="A59" s="49">
        <v>5</v>
      </c>
      <c r="B59" s="49">
        <v>7</v>
      </c>
      <c r="C59" s="49">
        <v>0.72</v>
      </c>
      <c r="D59" s="49">
        <v>0.28000000000000003</v>
      </c>
      <c r="E59" s="49">
        <v>0.42</v>
      </c>
      <c r="F59" s="49" t="s">
        <v>135</v>
      </c>
      <c r="G59" s="49" t="s">
        <v>141</v>
      </c>
      <c r="H59" s="49">
        <v>1.9054</v>
      </c>
      <c r="I59" s="49" t="s">
        <v>42</v>
      </c>
      <c r="J59" s="49" t="s">
        <v>42</v>
      </c>
      <c r="K59" s="49" t="s">
        <v>137</v>
      </c>
      <c r="L59" s="2"/>
      <c r="M59" s="49">
        <v>6</v>
      </c>
      <c r="N59" s="49">
        <v>7</v>
      </c>
      <c r="O59" s="49">
        <v>0.75</v>
      </c>
      <c r="P59" s="49">
        <v>0.1</v>
      </c>
      <c r="Q59" s="49">
        <v>0.42</v>
      </c>
      <c r="R59" s="49" t="s">
        <v>135</v>
      </c>
      <c r="S59" s="49" t="s">
        <v>141</v>
      </c>
      <c r="T59" s="49">
        <v>1.4172</v>
      </c>
      <c r="U59" s="49" t="s">
        <v>42</v>
      </c>
      <c r="V59" s="49" t="s">
        <v>42</v>
      </c>
      <c r="W59" s="49" t="s">
        <v>137</v>
      </c>
    </row>
    <row r="60" spans="1:23">
      <c r="A60" s="49">
        <v>5</v>
      </c>
      <c r="B60" s="49">
        <v>8</v>
      </c>
      <c r="C60" s="49">
        <v>0.62</v>
      </c>
      <c r="D60" s="49">
        <v>0.18</v>
      </c>
      <c r="E60" s="49">
        <v>0.35</v>
      </c>
      <c r="F60" s="49" t="s">
        <v>135</v>
      </c>
      <c r="G60" s="49" t="s">
        <v>141</v>
      </c>
      <c r="H60" s="49">
        <v>1.7828999999999999</v>
      </c>
      <c r="I60" s="49" t="s">
        <v>42</v>
      </c>
      <c r="J60" s="49" t="s">
        <v>42</v>
      </c>
      <c r="K60" s="49" t="s">
        <v>137</v>
      </c>
      <c r="L60" s="2"/>
      <c r="M60" s="49">
        <v>6</v>
      </c>
      <c r="N60" s="49">
        <v>8</v>
      </c>
      <c r="O60" s="49">
        <v>0.5</v>
      </c>
      <c r="P60" s="49">
        <v>-0.3</v>
      </c>
      <c r="Q60" s="49">
        <v>0.35</v>
      </c>
      <c r="R60" s="49" t="s">
        <v>135</v>
      </c>
      <c r="S60" s="49" t="s">
        <v>141</v>
      </c>
      <c r="T60" s="49">
        <v>1.5621</v>
      </c>
      <c r="U60" s="49" t="s">
        <v>42</v>
      </c>
      <c r="V60" s="49" t="s">
        <v>42</v>
      </c>
      <c r="W60" s="49" t="s">
        <v>137</v>
      </c>
    </row>
    <row r="61" spans="1:23">
      <c r="A61" s="49">
        <v>5</v>
      </c>
      <c r="B61" s="49">
        <v>8</v>
      </c>
      <c r="C61" s="49">
        <v>0.72</v>
      </c>
      <c r="D61" s="49">
        <v>0.28000000000000003</v>
      </c>
      <c r="E61" s="49">
        <v>0.42</v>
      </c>
      <c r="F61" s="49" t="s">
        <v>135</v>
      </c>
      <c r="G61" s="49" t="s">
        <v>141</v>
      </c>
      <c r="H61" s="49">
        <v>2.5272000000000001</v>
      </c>
      <c r="I61" s="49" t="s">
        <v>42</v>
      </c>
      <c r="J61" s="49" t="s">
        <v>42</v>
      </c>
      <c r="K61" s="49" t="s">
        <v>137</v>
      </c>
      <c r="L61" s="2"/>
      <c r="M61" s="49">
        <v>6</v>
      </c>
      <c r="N61" s="49">
        <v>8</v>
      </c>
      <c r="O61" s="49">
        <v>0.75</v>
      </c>
      <c r="P61" s="49">
        <v>0.1</v>
      </c>
      <c r="Q61" s="49">
        <v>0.42</v>
      </c>
      <c r="R61" s="49" t="s">
        <v>135</v>
      </c>
      <c r="S61" s="49" t="s">
        <v>141</v>
      </c>
      <c r="T61" s="49">
        <v>1.621</v>
      </c>
      <c r="U61" s="49" t="s">
        <v>42</v>
      </c>
      <c r="V61" s="49" t="s">
        <v>42</v>
      </c>
      <c r="W61" s="49" t="s">
        <v>137</v>
      </c>
    </row>
    <row r="62" spans="1:23">
      <c r="A62" s="49">
        <v>5</v>
      </c>
      <c r="B62" s="49">
        <v>9</v>
      </c>
      <c r="C62" s="49">
        <v>0.62</v>
      </c>
      <c r="D62" s="49">
        <v>0.18</v>
      </c>
      <c r="E62" s="49">
        <v>0.35</v>
      </c>
      <c r="F62" s="49" t="s">
        <v>135</v>
      </c>
      <c r="G62" s="49" t="s">
        <v>141</v>
      </c>
      <c r="H62" s="49">
        <v>1.8046</v>
      </c>
      <c r="I62" s="49" t="s">
        <v>42</v>
      </c>
      <c r="J62" s="49" t="s">
        <v>42</v>
      </c>
      <c r="K62" s="49" t="s">
        <v>137</v>
      </c>
      <c r="L62" s="2"/>
      <c r="M62" s="49">
        <v>6</v>
      </c>
      <c r="N62" s="49">
        <v>9</v>
      </c>
      <c r="O62" s="49">
        <v>0.5</v>
      </c>
      <c r="P62" s="49">
        <v>-0.3</v>
      </c>
      <c r="Q62" s="49">
        <v>0.35</v>
      </c>
      <c r="R62" s="49" t="s">
        <v>135</v>
      </c>
      <c r="S62" s="49" t="s">
        <v>141</v>
      </c>
      <c r="T62" s="49">
        <v>1.7722</v>
      </c>
      <c r="U62" s="49" t="s">
        <v>42</v>
      </c>
      <c r="V62" s="49" t="s">
        <v>42</v>
      </c>
      <c r="W62" s="49" t="s">
        <v>137</v>
      </c>
    </row>
    <row r="63" spans="1:23">
      <c r="A63" s="49">
        <v>5</v>
      </c>
      <c r="B63" s="49">
        <v>9</v>
      </c>
      <c r="C63" s="49">
        <v>0.72</v>
      </c>
      <c r="D63" s="49">
        <v>0.28000000000000003</v>
      </c>
      <c r="E63" s="49">
        <v>0.42</v>
      </c>
      <c r="F63" s="49" t="s">
        <v>135</v>
      </c>
      <c r="G63" s="49" t="s">
        <v>141</v>
      </c>
      <c r="H63" s="49">
        <v>1.7679</v>
      </c>
      <c r="I63" s="49" t="s">
        <v>42</v>
      </c>
      <c r="J63" s="49" t="s">
        <v>42</v>
      </c>
      <c r="K63" s="49" t="s">
        <v>137</v>
      </c>
      <c r="L63" s="2"/>
      <c r="M63" s="49">
        <v>6</v>
      </c>
      <c r="N63" s="49">
        <v>9</v>
      </c>
      <c r="O63" s="49">
        <v>0.75</v>
      </c>
      <c r="P63" s="49">
        <v>0.1</v>
      </c>
      <c r="Q63" s="49">
        <v>0.42</v>
      </c>
      <c r="R63" s="49" t="s">
        <v>135</v>
      </c>
      <c r="S63" s="49" t="s">
        <v>141</v>
      </c>
      <c r="T63" s="49">
        <v>2.1665000000000001</v>
      </c>
      <c r="U63" s="49" t="s">
        <v>42</v>
      </c>
      <c r="V63" s="49" t="s">
        <v>42</v>
      </c>
      <c r="W63" s="49" t="s">
        <v>137</v>
      </c>
    </row>
    <row r="64" spans="1:23">
      <c r="A64" s="49">
        <v>5</v>
      </c>
      <c r="B64" s="49">
        <v>10</v>
      </c>
      <c r="C64" s="49">
        <v>0.62</v>
      </c>
      <c r="D64" s="49">
        <v>0.18</v>
      </c>
      <c r="E64" s="49">
        <v>0.35</v>
      </c>
      <c r="F64" s="49" t="s">
        <v>135</v>
      </c>
      <c r="G64" s="49" t="s">
        <v>141</v>
      </c>
      <c r="H64" s="49">
        <v>1.7862</v>
      </c>
      <c r="I64" s="49" t="s">
        <v>42</v>
      </c>
      <c r="J64" s="49" t="s">
        <v>42</v>
      </c>
      <c r="K64" s="49" t="s">
        <v>137</v>
      </c>
      <c r="L64" s="2"/>
      <c r="M64" s="49">
        <v>6</v>
      </c>
      <c r="N64" s="49">
        <v>10</v>
      </c>
      <c r="O64" s="49">
        <v>0.5</v>
      </c>
      <c r="P64" s="49">
        <v>-0.3</v>
      </c>
      <c r="Q64" s="49">
        <v>0.35</v>
      </c>
      <c r="R64" s="49" t="s">
        <v>135</v>
      </c>
      <c r="S64" s="49" t="s">
        <v>141</v>
      </c>
      <c r="T64" s="49">
        <v>1.8127</v>
      </c>
      <c r="U64" s="49" t="s">
        <v>42</v>
      </c>
      <c r="V64" s="49" t="s">
        <v>42</v>
      </c>
      <c r="W64" s="49" t="s">
        <v>137</v>
      </c>
    </row>
    <row r="65" spans="1:23">
      <c r="A65" s="49">
        <v>5</v>
      </c>
      <c r="B65" s="49">
        <v>10</v>
      </c>
      <c r="C65" s="49">
        <v>0.72</v>
      </c>
      <c r="D65" s="49">
        <v>0.28000000000000003</v>
      </c>
      <c r="E65" s="49">
        <v>0.42</v>
      </c>
      <c r="F65" s="49" t="s">
        <v>135</v>
      </c>
      <c r="G65" s="49" t="s">
        <v>141</v>
      </c>
      <c r="H65" s="49">
        <v>1.4440999999999999</v>
      </c>
      <c r="I65" s="49" t="s">
        <v>42</v>
      </c>
      <c r="J65" s="49" t="s">
        <v>42</v>
      </c>
      <c r="K65" s="49" t="s">
        <v>137</v>
      </c>
      <c r="L65" s="2"/>
      <c r="M65" s="49">
        <v>6</v>
      </c>
      <c r="N65" s="49">
        <v>10</v>
      </c>
      <c r="O65" s="49">
        <v>0.75</v>
      </c>
      <c r="P65" s="49">
        <v>0.1</v>
      </c>
      <c r="Q65" s="49">
        <v>0.42</v>
      </c>
      <c r="R65" s="49" t="s">
        <v>135</v>
      </c>
      <c r="S65" s="49" t="s">
        <v>141</v>
      </c>
      <c r="T65" s="49">
        <v>1.5605</v>
      </c>
      <c r="U65" s="49" t="s">
        <v>42</v>
      </c>
      <c r="V65" s="49" t="s">
        <v>42</v>
      </c>
      <c r="W65" s="49" t="s">
        <v>137</v>
      </c>
    </row>
    <row r="66" spans="1:23">
      <c r="A66" s="49"/>
      <c r="B66" s="49"/>
      <c r="C66" s="49"/>
      <c r="D66" s="49"/>
      <c r="E66" s="49"/>
      <c r="F66" s="49"/>
      <c r="G66" s="16" t="s">
        <v>138</v>
      </c>
      <c r="H66" s="16">
        <f>AVERAGE(H46:H65)</f>
        <v>2.00889</v>
      </c>
      <c r="I66" s="49"/>
      <c r="J66" s="49"/>
      <c r="K66" s="49"/>
      <c r="L66" s="2"/>
      <c r="M66" s="2"/>
      <c r="N66" s="2"/>
      <c r="O66" s="2"/>
      <c r="P66" s="2"/>
      <c r="Q66" s="2"/>
      <c r="R66" s="2"/>
      <c r="S66" s="14" t="s">
        <v>138</v>
      </c>
      <c r="T66" s="14">
        <f>AVERAGE(T46:T65)</f>
        <v>1.924</v>
      </c>
      <c r="U66" s="2"/>
      <c r="V66" s="2"/>
      <c r="W66" s="2"/>
    </row>
    <row r="67" spans="1:23">
      <c r="A67" s="71" t="s">
        <v>9</v>
      </c>
      <c r="B67" s="71" t="s">
        <v>126</v>
      </c>
      <c r="C67" s="71" t="s">
        <v>127</v>
      </c>
      <c r="D67" s="71" t="s">
        <v>128</v>
      </c>
      <c r="E67" s="71" t="s">
        <v>129</v>
      </c>
      <c r="F67" s="71" t="s">
        <v>139</v>
      </c>
      <c r="G67" s="71" t="s">
        <v>140</v>
      </c>
      <c r="H67" s="71" t="s">
        <v>132</v>
      </c>
      <c r="I67" s="71" t="s">
        <v>13</v>
      </c>
      <c r="J67" s="71" t="s">
        <v>133</v>
      </c>
      <c r="K67" s="71" t="s">
        <v>134</v>
      </c>
      <c r="L67" s="2"/>
      <c r="M67" s="71" t="s">
        <v>9</v>
      </c>
      <c r="N67" s="71" t="s">
        <v>126</v>
      </c>
      <c r="O67" s="71" t="s">
        <v>127</v>
      </c>
      <c r="P67" s="71" t="s">
        <v>128</v>
      </c>
      <c r="Q67" s="71" t="s">
        <v>129</v>
      </c>
      <c r="R67" s="71" t="s">
        <v>139</v>
      </c>
      <c r="S67" s="71" t="s">
        <v>140</v>
      </c>
      <c r="T67" s="71" t="s">
        <v>132</v>
      </c>
      <c r="U67" s="71" t="s">
        <v>13</v>
      </c>
      <c r="V67" s="71" t="s">
        <v>133</v>
      </c>
      <c r="W67" s="71" t="s">
        <v>134</v>
      </c>
    </row>
    <row r="68" spans="1:23">
      <c r="A68" s="49">
        <v>7</v>
      </c>
      <c r="B68" s="49">
        <v>1</v>
      </c>
      <c r="C68" s="49">
        <v>0.75</v>
      </c>
      <c r="D68" s="49">
        <v>-0.1</v>
      </c>
      <c r="E68" s="49">
        <v>0.35</v>
      </c>
      <c r="F68" s="49" t="s">
        <v>135</v>
      </c>
      <c r="G68" s="49" t="s">
        <v>141</v>
      </c>
      <c r="H68" s="49">
        <v>1.7071000000000001</v>
      </c>
      <c r="I68" s="49" t="s">
        <v>42</v>
      </c>
      <c r="J68" s="49" t="s">
        <v>42</v>
      </c>
      <c r="K68" s="49" t="s">
        <v>137</v>
      </c>
      <c r="L68" s="2"/>
      <c r="M68" s="49">
        <v>8</v>
      </c>
      <c r="N68" s="49">
        <v>1</v>
      </c>
      <c r="O68" s="49">
        <v>0.55000000000000004</v>
      </c>
      <c r="P68" s="49">
        <v>0.3</v>
      </c>
      <c r="Q68" s="49">
        <v>0.35</v>
      </c>
      <c r="R68" s="49" t="s">
        <v>135</v>
      </c>
      <c r="S68" s="49" t="s">
        <v>141</v>
      </c>
      <c r="T68" s="49">
        <v>1.3293999999999999</v>
      </c>
      <c r="U68" s="49" t="s">
        <v>42</v>
      </c>
      <c r="V68" s="49" t="s">
        <v>42</v>
      </c>
      <c r="W68" s="49" t="s">
        <v>137</v>
      </c>
    </row>
    <row r="69" spans="1:23">
      <c r="A69" s="49">
        <v>7</v>
      </c>
      <c r="B69" s="49">
        <v>1</v>
      </c>
      <c r="C69" s="49">
        <v>0.5</v>
      </c>
      <c r="D69" s="49">
        <v>0.3</v>
      </c>
      <c r="E69" s="49">
        <v>0.42</v>
      </c>
      <c r="F69" s="49" t="s">
        <v>135</v>
      </c>
      <c r="G69" s="49" t="s">
        <v>141</v>
      </c>
      <c r="H69" s="49">
        <v>1.9329000000000001</v>
      </c>
      <c r="I69" s="49" t="s">
        <v>42</v>
      </c>
      <c r="J69" s="49" t="s">
        <v>42</v>
      </c>
      <c r="K69" s="49" t="s">
        <v>137</v>
      </c>
      <c r="L69" s="2"/>
      <c r="M69" s="49">
        <v>8</v>
      </c>
      <c r="N69" s="49">
        <v>1</v>
      </c>
      <c r="O69" s="49">
        <v>0.75</v>
      </c>
      <c r="P69" s="49">
        <v>-0.25</v>
      </c>
      <c r="Q69" s="49">
        <v>0.42</v>
      </c>
      <c r="R69" s="49" t="s">
        <v>135</v>
      </c>
      <c r="S69" s="49" t="s">
        <v>141</v>
      </c>
      <c r="T69" s="49">
        <v>1.5965</v>
      </c>
      <c r="U69" s="49" t="s">
        <v>42</v>
      </c>
      <c r="V69" s="49" t="s">
        <v>42</v>
      </c>
      <c r="W69" s="49" t="s">
        <v>137</v>
      </c>
    </row>
    <row r="70" spans="1:23">
      <c r="A70" s="49">
        <v>7</v>
      </c>
      <c r="B70" s="49">
        <v>2</v>
      </c>
      <c r="C70" s="49">
        <v>0.75</v>
      </c>
      <c r="D70" s="49">
        <v>-0.1</v>
      </c>
      <c r="E70" s="49">
        <v>0.35</v>
      </c>
      <c r="F70" s="49" t="s">
        <v>135</v>
      </c>
      <c r="G70" s="49" t="s">
        <v>141</v>
      </c>
      <c r="H70" s="49">
        <v>2.0617999999999999</v>
      </c>
      <c r="I70" s="49" t="s">
        <v>42</v>
      </c>
      <c r="J70" s="49" t="s">
        <v>42</v>
      </c>
      <c r="K70" s="49" t="s">
        <v>137</v>
      </c>
      <c r="L70" s="2"/>
      <c r="M70" s="49">
        <v>8</v>
      </c>
      <c r="N70" s="49">
        <v>2</v>
      </c>
      <c r="O70" s="49">
        <v>0.55000000000000004</v>
      </c>
      <c r="P70" s="49">
        <v>0.3</v>
      </c>
      <c r="Q70" s="49">
        <v>0.35</v>
      </c>
      <c r="R70" s="49" t="s">
        <v>135</v>
      </c>
      <c r="S70" s="49" t="s">
        <v>141</v>
      </c>
      <c r="T70" s="49">
        <v>1.8069999999999999</v>
      </c>
      <c r="U70" s="49" t="s">
        <v>42</v>
      </c>
      <c r="V70" s="49" t="s">
        <v>42</v>
      </c>
      <c r="W70" s="49" t="s">
        <v>137</v>
      </c>
    </row>
    <row r="71" spans="1:23">
      <c r="A71" s="49">
        <v>7</v>
      </c>
      <c r="B71" s="49">
        <v>2</v>
      </c>
      <c r="C71" s="49">
        <v>0.5</v>
      </c>
      <c r="D71" s="49">
        <v>0.3</v>
      </c>
      <c r="E71" s="49">
        <v>0.42</v>
      </c>
      <c r="F71" s="49" t="s">
        <v>135</v>
      </c>
      <c r="G71" s="49" t="s">
        <v>141</v>
      </c>
      <c r="H71" s="49">
        <v>1.8331999999999999</v>
      </c>
      <c r="I71" s="49" t="s">
        <v>42</v>
      </c>
      <c r="J71" s="49" t="s">
        <v>42</v>
      </c>
      <c r="K71" s="49" t="s">
        <v>137</v>
      </c>
      <c r="L71" s="2"/>
      <c r="M71" s="49">
        <v>8</v>
      </c>
      <c r="N71" s="49">
        <v>2</v>
      </c>
      <c r="O71" s="49">
        <v>0.75</v>
      </c>
      <c r="P71" s="49">
        <v>-0.25</v>
      </c>
      <c r="Q71" s="49">
        <v>0.42</v>
      </c>
      <c r="R71" s="49" t="s">
        <v>135</v>
      </c>
      <c r="S71" s="49" t="s">
        <v>141</v>
      </c>
      <c r="T71" s="49">
        <v>1.94</v>
      </c>
      <c r="U71" s="49" t="s">
        <v>42</v>
      </c>
      <c r="V71" s="49" t="s">
        <v>42</v>
      </c>
      <c r="W71" s="49" t="s">
        <v>137</v>
      </c>
    </row>
    <row r="72" spans="1:23">
      <c r="A72" s="49">
        <v>7</v>
      </c>
      <c r="B72" s="49">
        <v>3</v>
      </c>
      <c r="C72" s="49">
        <v>0.75</v>
      </c>
      <c r="D72" s="49">
        <v>-0.1</v>
      </c>
      <c r="E72" s="49">
        <v>0.35</v>
      </c>
      <c r="F72" s="49" t="s">
        <v>135</v>
      </c>
      <c r="G72" s="49" t="s">
        <v>141</v>
      </c>
      <c r="H72" s="49">
        <v>1.4419999999999999</v>
      </c>
      <c r="I72" s="49" t="s">
        <v>42</v>
      </c>
      <c r="J72" s="49" t="s">
        <v>42</v>
      </c>
      <c r="K72" s="49" t="s">
        <v>137</v>
      </c>
      <c r="L72" s="2"/>
      <c r="M72" s="49">
        <v>8</v>
      </c>
      <c r="N72" s="49">
        <v>3</v>
      </c>
      <c r="O72" s="49">
        <v>0.55000000000000004</v>
      </c>
      <c r="P72" s="49">
        <v>0.3</v>
      </c>
      <c r="Q72" s="49">
        <v>0.35</v>
      </c>
      <c r="R72" s="49" t="s">
        <v>135</v>
      </c>
      <c r="S72" s="49" t="s">
        <v>141</v>
      </c>
      <c r="T72" s="49">
        <v>2.1501000000000001</v>
      </c>
      <c r="U72" s="49" t="s">
        <v>42</v>
      </c>
      <c r="V72" s="49" t="s">
        <v>42</v>
      </c>
      <c r="W72" s="49" t="s">
        <v>137</v>
      </c>
    </row>
    <row r="73" spans="1:23">
      <c r="A73" s="49">
        <v>7</v>
      </c>
      <c r="B73" s="49">
        <v>3</v>
      </c>
      <c r="C73" s="49">
        <v>0.5</v>
      </c>
      <c r="D73" s="49">
        <v>0.3</v>
      </c>
      <c r="E73" s="49">
        <v>0.42</v>
      </c>
      <c r="F73" s="49" t="s">
        <v>135</v>
      </c>
      <c r="G73" s="49" t="s">
        <v>141</v>
      </c>
      <c r="H73" s="49">
        <v>2.4388000000000001</v>
      </c>
      <c r="I73" s="49" t="s">
        <v>42</v>
      </c>
      <c r="J73" s="49" t="s">
        <v>42</v>
      </c>
      <c r="K73" s="49" t="s">
        <v>137</v>
      </c>
      <c r="L73" s="2"/>
      <c r="M73" s="49">
        <v>8</v>
      </c>
      <c r="N73" s="49">
        <v>3</v>
      </c>
      <c r="O73" s="49">
        <v>0.75</v>
      </c>
      <c r="P73" s="49">
        <v>-0.25</v>
      </c>
      <c r="Q73" s="49">
        <v>0.42</v>
      </c>
      <c r="R73" s="49" t="s">
        <v>135</v>
      </c>
      <c r="S73" s="49" t="s">
        <v>141</v>
      </c>
      <c r="T73" s="49">
        <v>2.1265000000000001</v>
      </c>
      <c r="U73" s="49" t="s">
        <v>42</v>
      </c>
      <c r="V73" s="49" t="s">
        <v>42</v>
      </c>
      <c r="W73" s="49" t="s">
        <v>137</v>
      </c>
    </row>
    <row r="74" spans="1:23">
      <c r="A74" s="49">
        <v>7</v>
      </c>
      <c r="B74" s="49">
        <v>4</v>
      </c>
      <c r="C74" s="49">
        <v>0.75</v>
      </c>
      <c r="D74" s="49">
        <v>-0.1</v>
      </c>
      <c r="E74" s="49">
        <v>0.35</v>
      </c>
      <c r="F74" s="49" t="s">
        <v>135</v>
      </c>
      <c r="G74" s="49" t="s">
        <v>141</v>
      </c>
      <c r="H74" s="49">
        <v>1.6195999999999999</v>
      </c>
      <c r="I74" s="49" t="s">
        <v>42</v>
      </c>
      <c r="J74" s="49" t="s">
        <v>42</v>
      </c>
      <c r="K74" s="49" t="s">
        <v>137</v>
      </c>
      <c r="L74" s="2"/>
      <c r="M74" s="49">
        <v>8</v>
      </c>
      <c r="N74" s="49">
        <v>4</v>
      </c>
      <c r="O74" s="49">
        <v>0.55000000000000004</v>
      </c>
      <c r="P74" s="49">
        <v>0.3</v>
      </c>
      <c r="Q74" s="49">
        <v>0.35</v>
      </c>
      <c r="R74" s="49" t="s">
        <v>135</v>
      </c>
      <c r="S74" s="49" t="s">
        <v>141</v>
      </c>
      <c r="T74" s="49">
        <v>2.7037</v>
      </c>
      <c r="U74" s="49" t="s">
        <v>42</v>
      </c>
      <c r="V74" s="49" t="s">
        <v>42</v>
      </c>
      <c r="W74" s="49" t="s">
        <v>137</v>
      </c>
    </row>
    <row r="75" spans="1:23">
      <c r="A75" s="49">
        <v>7</v>
      </c>
      <c r="B75" s="49">
        <v>4</v>
      </c>
      <c r="C75" s="49">
        <v>0.5</v>
      </c>
      <c r="D75" s="49">
        <v>0.3</v>
      </c>
      <c r="E75" s="49">
        <v>0.42</v>
      </c>
      <c r="F75" s="49" t="s">
        <v>135</v>
      </c>
      <c r="G75" s="49" t="s">
        <v>141</v>
      </c>
      <c r="H75" s="49">
        <v>2.3296000000000001</v>
      </c>
      <c r="I75" s="49" t="s">
        <v>42</v>
      </c>
      <c r="J75" s="49" t="s">
        <v>42</v>
      </c>
      <c r="K75" s="49" t="s">
        <v>137</v>
      </c>
      <c r="L75" s="2"/>
      <c r="M75" s="49">
        <v>8</v>
      </c>
      <c r="N75" s="49">
        <v>4</v>
      </c>
      <c r="O75" s="49">
        <v>0.75</v>
      </c>
      <c r="P75" s="49">
        <v>-0.25</v>
      </c>
      <c r="Q75" s="49">
        <v>0.42</v>
      </c>
      <c r="R75" s="49" t="s">
        <v>135</v>
      </c>
      <c r="S75" s="49" t="s">
        <v>141</v>
      </c>
      <c r="T75" s="49">
        <v>2.4032</v>
      </c>
      <c r="U75" s="49" t="s">
        <v>42</v>
      </c>
      <c r="V75" s="49" t="s">
        <v>42</v>
      </c>
      <c r="W75" s="49" t="s">
        <v>137</v>
      </c>
    </row>
    <row r="76" spans="1:23">
      <c r="A76" s="49">
        <v>7</v>
      </c>
      <c r="B76" s="49">
        <v>5</v>
      </c>
      <c r="C76" s="49">
        <v>0.75</v>
      </c>
      <c r="D76" s="49">
        <v>-0.1</v>
      </c>
      <c r="E76" s="49">
        <v>0.35</v>
      </c>
      <c r="F76" s="49" t="s">
        <v>135</v>
      </c>
      <c r="G76" s="49" t="s">
        <v>141</v>
      </c>
      <c r="H76" s="49">
        <v>1.6029</v>
      </c>
      <c r="I76" s="49" t="s">
        <v>42</v>
      </c>
      <c r="J76" s="49" t="s">
        <v>42</v>
      </c>
      <c r="K76" s="49" t="s">
        <v>137</v>
      </c>
      <c r="L76" s="2"/>
      <c r="M76" s="49">
        <v>8</v>
      </c>
      <c r="N76" s="49">
        <v>5</v>
      </c>
      <c r="O76" s="49">
        <v>0.55000000000000004</v>
      </c>
      <c r="P76" s="49">
        <v>0.3</v>
      </c>
      <c r="Q76" s="49">
        <v>0.35</v>
      </c>
      <c r="R76" s="49" t="s">
        <v>135</v>
      </c>
      <c r="S76" s="49" t="s">
        <v>141</v>
      </c>
      <c r="T76" s="49">
        <v>1.6677</v>
      </c>
      <c r="U76" s="49" t="s">
        <v>42</v>
      </c>
      <c r="V76" s="49" t="s">
        <v>42</v>
      </c>
      <c r="W76" s="49" t="s">
        <v>137</v>
      </c>
    </row>
    <row r="77" spans="1:23">
      <c r="A77" s="49">
        <v>7</v>
      </c>
      <c r="B77" s="49">
        <v>5</v>
      </c>
      <c r="C77" s="49">
        <v>0.5</v>
      </c>
      <c r="D77" s="49">
        <v>0.3</v>
      </c>
      <c r="E77" s="49">
        <v>0.42</v>
      </c>
      <c r="F77" s="49" t="s">
        <v>135</v>
      </c>
      <c r="G77" s="49" t="s">
        <v>141</v>
      </c>
      <c r="H77" s="49">
        <v>1.9593</v>
      </c>
      <c r="I77" s="49" t="s">
        <v>42</v>
      </c>
      <c r="J77" s="49" t="s">
        <v>42</v>
      </c>
      <c r="K77" s="49" t="s">
        <v>137</v>
      </c>
      <c r="L77" s="2"/>
      <c r="M77" s="49">
        <v>8</v>
      </c>
      <c r="N77" s="49">
        <v>5</v>
      </c>
      <c r="O77" s="49">
        <v>0.75</v>
      </c>
      <c r="P77" s="49">
        <v>-0.25</v>
      </c>
      <c r="Q77" s="49">
        <v>0.42</v>
      </c>
      <c r="R77" s="49" t="s">
        <v>135</v>
      </c>
      <c r="S77" s="49" t="s">
        <v>141</v>
      </c>
      <c r="T77" s="49">
        <v>1.9726999999999999</v>
      </c>
      <c r="U77" s="49" t="s">
        <v>42</v>
      </c>
      <c r="V77" s="49" t="s">
        <v>42</v>
      </c>
      <c r="W77" s="49" t="s">
        <v>137</v>
      </c>
    </row>
    <row r="78" spans="1:23">
      <c r="A78" s="49">
        <v>7</v>
      </c>
      <c r="B78" s="49">
        <v>6</v>
      </c>
      <c r="C78" s="49">
        <v>0.75</v>
      </c>
      <c r="D78" s="49">
        <v>-0.1</v>
      </c>
      <c r="E78" s="49">
        <v>0.35</v>
      </c>
      <c r="F78" s="49" t="s">
        <v>135</v>
      </c>
      <c r="G78" s="49" t="s">
        <v>141</v>
      </c>
      <c r="H78" s="49">
        <v>1.8685</v>
      </c>
      <c r="I78" s="49" t="s">
        <v>42</v>
      </c>
      <c r="J78" s="49" t="s">
        <v>42</v>
      </c>
      <c r="K78" s="49" t="s">
        <v>137</v>
      </c>
      <c r="L78" s="2"/>
      <c r="M78" s="49">
        <v>8</v>
      </c>
      <c r="N78" s="49">
        <v>6</v>
      </c>
      <c r="O78" s="49">
        <v>0.55000000000000004</v>
      </c>
      <c r="P78" s="49">
        <v>0.3</v>
      </c>
      <c r="Q78" s="49">
        <v>0.35</v>
      </c>
      <c r="R78" s="49" t="s">
        <v>135</v>
      </c>
      <c r="S78" s="49" t="s">
        <v>141</v>
      </c>
      <c r="T78" s="49">
        <v>1.8339000000000001</v>
      </c>
      <c r="U78" s="49" t="s">
        <v>42</v>
      </c>
      <c r="V78" s="49" t="s">
        <v>42</v>
      </c>
      <c r="W78" s="49" t="s">
        <v>137</v>
      </c>
    </row>
    <row r="79" spans="1:23">
      <c r="A79" s="49">
        <v>7</v>
      </c>
      <c r="B79" s="49">
        <v>6</v>
      </c>
      <c r="C79" s="49">
        <v>0.5</v>
      </c>
      <c r="D79" s="49">
        <v>0.3</v>
      </c>
      <c r="E79" s="49">
        <v>0.42</v>
      </c>
      <c r="F79" s="49" t="s">
        <v>135</v>
      </c>
      <c r="G79" s="49" t="s">
        <v>141</v>
      </c>
      <c r="H79" s="49">
        <v>1.6359999999999999</v>
      </c>
      <c r="I79" s="49" t="s">
        <v>42</v>
      </c>
      <c r="J79" s="49" t="s">
        <v>42</v>
      </c>
      <c r="K79" s="49" t="s">
        <v>137</v>
      </c>
      <c r="L79" s="2"/>
      <c r="M79" s="49">
        <v>8</v>
      </c>
      <c r="N79" s="49">
        <v>6</v>
      </c>
      <c r="O79" s="49">
        <v>0.75</v>
      </c>
      <c r="P79" s="49">
        <v>-0.25</v>
      </c>
      <c r="Q79" s="49">
        <v>0.42</v>
      </c>
      <c r="R79" s="49" t="s">
        <v>135</v>
      </c>
      <c r="S79" s="49" t="s">
        <v>141</v>
      </c>
      <c r="T79" s="49">
        <v>2.3603000000000001</v>
      </c>
      <c r="U79" s="49" t="s">
        <v>42</v>
      </c>
      <c r="V79" s="49" t="s">
        <v>42</v>
      </c>
      <c r="W79" s="49" t="s">
        <v>137</v>
      </c>
    </row>
    <row r="80" spans="1:23">
      <c r="A80" s="49">
        <v>7</v>
      </c>
      <c r="B80" s="49">
        <v>7</v>
      </c>
      <c r="C80" s="49">
        <v>0.75</v>
      </c>
      <c r="D80" s="49">
        <v>-0.1</v>
      </c>
      <c r="E80" s="49">
        <v>0.35</v>
      </c>
      <c r="F80" s="49" t="s">
        <v>135</v>
      </c>
      <c r="G80" s="49" t="s">
        <v>141</v>
      </c>
      <c r="H80" s="49">
        <v>1.44</v>
      </c>
      <c r="I80" s="49" t="s">
        <v>42</v>
      </c>
      <c r="J80" s="49" t="s">
        <v>42</v>
      </c>
      <c r="K80" s="49" t="s">
        <v>137</v>
      </c>
      <c r="L80" s="2"/>
      <c r="M80" s="49">
        <v>8</v>
      </c>
      <c r="N80" s="49">
        <v>7</v>
      </c>
      <c r="O80" s="49">
        <v>0.55000000000000004</v>
      </c>
      <c r="P80" s="49">
        <v>0.3</v>
      </c>
      <c r="Q80" s="49">
        <v>0.35</v>
      </c>
      <c r="R80" s="49" t="s">
        <v>135</v>
      </c>
      <c r="S80" s="49" t="s">
        <v>141</v>
      </c>
      <c r="T80" s="49">
        <v>1.9824999999999999</v>
      </c>
      <c r="U80" s="49" t="s">
        <v>42</v>
      </c>
      <c r="V80" s="49" t="s">
        <v>42</v>
      </c>
      <c r="W80" s="49" t="s">
        <v>137</v>
      </c>
    </row>
    <row r="81" spans="1:23">
      <c r="A81" s="49">
        <v>7</v>
      </c>
      <c r="B81" s="49">
        <v>7</v>
      </c>
      <c r="C81" s="49">
        <v>0.5</v>
      </c>
      <c r="D81" s="49">
        <v>0.3</v>
      </c>
      <c r="E81" s="49">
        <v>0.42</v>
      </c>
      <c r="F81" s="49" t="s">
        <v>135</v>
      </c>
      <c r="G81" s="49" t="s">
        <v>141</v>
      </c>
      <c r="H81" s="49">
        <v>1.9779</v>
      </c>
      <c r="I81" s="49" t="s">
        <v>42</v>
      </c>
      <c r="J81" s="49" t="s">
        <v>42</v>
      </c>
      <c r="K81" s="49" t="s">
        <v>137</v>
      </c>
      <c r="L81" s="2"/>
      <c r="M81" s="49">
        <v>8</v>
      </c>
      <c r="N81" s="49">
        <v>7</v>
      </c>
      <c r="O81" s="49">
        <v>0.75</v>
      </c>
      <c r="P81" s="49">
        <v>-0.25</v>
      </c>
      <c r="Q81" s="49">
        <v>0.42</v>
      </c>
      <c r="R81" s="49" t="s">
        <v>135</v>
      </c>
      <c r="S81" s="49" t="s">
        <v>141</v>
      </c>
      <c r="T81" s="49">
        <v>2.0129999999999999</v>
      </c>
      <c r="U81" s="49" t="s">
        <v>42</v>
      </c>
      <c r="V81" s="49" t="s">
        <v>42</v>
      </c>
      <c r="W81" s="49" t="s">
        <v>137</v>
      </c>
    </row>
    <row r="82" spans="1:23">
      <c r="A82" s="49">
        <v>7</v>
      </c>
      <c r="B82" s="49">
        <v>8</v>
      </c>
      <c r="C82" s="49">
        <v>0.75</v>
      </c>
      <c r="D82" s="49">
        <v>-0.1</v>
      </c>
      <c r="E82" s="49">
        <v>0.35</v>
      </c>
      <c r="F82" s="49" t="s">
        <v>135</v>
      </c>
      <c r="G82" s="49" t="s">
        <v>141</v>
      </c>
      <c r="H82" s="49">
        <v>1.5775999999999999</v>
      </c>
      <c r="I82" s="49" t="s">
        <v>42</v>
      </c>
      <c r="J82" s="49" t="s">
        <v>42</v>
      </c>
      <c r="K82" s="49" t="s">
        <v>137</v>
      </c>
      <c r="L82" s="2"/>
      <c r="M82" s="49">
        <v>8</v>
      </c>
      <c r="N82" s="49">
        <v>8</v>
      </c>
      <c r="O82" s="49">
        <v>0.55000000000000004</v>
      </c>
      <c r="P82" s="49">
        <v>0.3</v>
      </c>
      <c r="Q82" s="49">
        <v>0.35</v>
      </c>
      <c r="R82" s="49" t="s">
        <v>135</v>
      </c>
      <c r="S82" s="49" t="s">
        <v>141</v>
      </c>
      <c r="T82" s="49">
        <v>2.0709</v>
      </c>
      <c r="U82" s="49" t="s">
        <v>42</v>
      </c>
      <c r="V82" s="49" t="s">
        <v>42</v>
      </c>
      <c r="W82" s="49" t="s">
        <v>137</v>
      </c>
    </row>
    <row r="83" spans="1:23">
      <c r="A83" s="49">
        <v>7</v>
      </c>
      <c r="B83" s="49">
        <v>8</v>
      </c>
      <c r="C83" s="49">
        <v>0.5</v>
      </c>
      <c r="D83" s="49">
        <v>0.3</v>
      </c>
      <c r="E83" s="49">
        <v>0.42</v>
      </c>
      <c r="F83" s="49" t="s">
        <v>135</v>
      </c>
      <c r="G83" s="49" t="s">
        <v>141</v>
      </c>
      <c r="H83" s="49">
        <v>1.3441000000000001</v>
      </c>
      <c r="I83" s="49" t="s">
        <v>42</v>
      </c>
      <c r="J83" s="49" t="s">
        <v>42</v>
      </c>
      <c r="K83" s="49" t="s">
        <v>137</v>
      </c>
      <c r="L83" s="2"/>
      <c r="M83" s="49">
        <v>8</v>
      </c>
      <c r="N83" s="49">
        <v>8</v>
      </c>
      <c r="O83" s="49">
        <v>0.75</v>
      </c>
      <c r="P83" s="49">
        <v>-0.25</v>
      </c>
      <c r="Q83" s="49">
        <v>0.42</v>
      </c>
      <c r="R83" s="49" t="s">
        <v>135</v>
      </c>
      <c r="S83" s="49" t="s">
        <v>141</v>
      </c>
      <c r="T83" s="49">
        <v>1.6689000000000001</v>
      </c>
      <c r="U83" s="49" t="s">
        <v>42</v>
      </c>
      <c r="V83" s="49" t="s">
        <v>42</v>
      </c>
      <c r="W83" s="49" t="s">
        <v>137</v>
      </c>
    </row>
    <row r="84" spans="1:23">
      <c r="A84" s="49">
        <v>7</v>
      </c>
      <c r="B84" s="49">
        <v>9</v>
      </c>
      <c r="C84" s="49">
        <v>0.75</v>
      </c>
      <c r="D84" s="49">
        <v>-0.1</v>
      </c>
      <c r="E84" s="49">
        <v>0.35</v>
      </c>
      <c r="F84" s="49" t="s">
        <v>135</v>
      </c>
      <c r="G84" s="49" t="s">
        <v>141</v>
      </c>
      <c r="H84" s="49">
        <v>1.4472</v>
      </c>
      <c r="I84" s="49" t="s">
        <v>42</v>
      </c>
      <c r="J84" s="49" t="s">
        <v>42</v>
      </c>
      <c r="K84" s="49" t="s">
        <v>137</v>
      </c>
      <c r="L84" s="2"/>
      <c r="M84" s="49">
        <v>8</v>
      </c>
      <c r="N84" s="49">
        <v>9</v>
      </c>
      <c r="O84" s="49">
        <v>0.55000000000000004</v>
      </c>
      <c r="P84" s="49">
        <v>0.3</v>
      </c>
      <c r="Q84" s="49">
        <v>0.35</v>
      </c>
      <c r="R84" s="49" t="s">
        <v>135</v>
      </c>
      <c r="S84" s="49" t="s">
        <v>141</v>
      </c>
      <c r="T84" s="49">
        <v>2.0076999999999998</v>
      </c>
      <c r="U84" s="49" t="s">
        <v>42</v>
      </c>
      <c r="V84" s="49" t="s">
        <v>42</v>
      </c>
      <c r="W84" s="49" t="s">
        <v>137</v>
      </c>
    </row>
    <row r="85" spans="1:23">
      <c r="A85" s="49">
        <v>7</v>
      </c>
      <c r="B85" s="49">
        <v>9</v>
      </c>
      <c r="C85" s="49">
        <v>0.5</v>
      </c>
      <c r="D85" s="49">
        <v>0.3</v>
      </c>
      <c r="E85" s="49">
        <v>0.42</v>
      </c>
      <c r="F85" s="49" t="s">
        <v>135</v>
      </c>
      <c r="G85" s="49" t="s">
        <v>141</v>
      </c>
      <c r="H85" s="49">
        <v>1.5048999999999999</v>
      </c>
      <c r="I85" s="49" t="s">
        <v>42</v>
      </c>
      <c r="J85" s="49" t="s">
        <v>42</v>
      </c>
      <c r="K85" s="49" t="s">
        <v>137</v>
      </c>
      <c r="L85" s="2"/>
      <c r="M85" s="49">
        <v>8</v>
      </c>
      <c r="N85" s="49">
        <v>9</v>
      </c>
      <c r="O85" s="49">
        <v>0.75</v>
      </c>
      <c r="P85" s="49">
        <v>-0.25</v>
      </c>
      <c r="Q85" s="49">
        <v>0.42</v>
      </c>
      <c r="R85" s="49" t="s">
        <v>135</v>
      </c>
      <c r="S85" s="49" t="s">
        <v>141</v>
      </c>
      <c r="T85" s="49">
        <v>2.2907000000000002</v>
      </c>
      <c r="U85" s="49" t="s">
        <v>42</v>
      </c>
      <c r="V85" s="49" t="s">
        <v>42</v>
      </c>
      <c r="W85" s="49" t="s">
        <v>137</v>
      </c>
    </row>
    <row r="86" spans="1:23">
      <c r="A86" s="49">
        <v>7</v>
      </c>
      <c r="B86" s="49">
        <v>10</v>
      </c>
      <c r="C86" s="49">
        <v>0.75</v>
      </c>
      <c r="D86" s="49">
        <v>-0.1</v>
      </c>
      <c r="E86" s="49">
        <v>0.35</v>
      </c>
      <c r="F86" s="49" t="s">
        <v>135</v>
      </c>
      <c r="G86" s="49" t="s">
        <v>141</v>
      </c>
      <c r="H86" s="49">
        <v>1.7024999999999999</v>
      </c>
      <c r="I86" s="49" t="s">
        <v>42</v>
      </c>
      <c r="J86" s="49" t="s">
        <v>42</v>
      </c>
      <c r="K86" s="49" t="s">
        <v>137</v>
      </c>
      <c r="L86" s="2"/>
      <c r="M86" s="49">
        <v>8</v>
      </c>
      <c r="N86" s="49">
        <v>10</v>
      </c>
      <c r="O86" s="49">
        <v>0.55000000000000004</v>
      </c>
      <c r="P86" s="49">
        <v>0.3</v>
      </c>
      <c r="Q86" s="49">
        <v>0.35</v>
      </c>
      <c r="R86" s="49" t="s">
        <v>135</v>
      </c>
      <c r="S86" s="49" t="s">
        <v>141</v>
      </c>
      <c r="T86" s="49">
        <v>2.0985999999999998</v>
      </c>
      <c r="U86" s="49" t="s">
        <v>42</v>
      </c>
      <c r="V86" s="49" t="s">
        <v>42</v>
      </c>
      <c r="W86" s="49" t="s">
        <v>137</v>
      </c>
    </row>
    <row r="87" spans="1:23">
      <c r="A87" s="49">
        <v>7</v>
      </c>
      <c r="B87" s="49">
        <v>10</v>
      </c>
      <c r="C87" s="49">
        <v>0.5</v>
      </c>
      <c r="D87" s="49">
        <v>0.3</v>
      </c>
      <c r="E87" s="49">
        <v>0.42</v>
      </c>
      <c r="F87" s="49" t="s">
        <v>135</v>
      </c>
      <c r="G87" s="49" t="s">
        <v>141</v>
      </c>
      <c r="H87" s="49">
        <v>1.6167</v>
      </c>
      <c r="I87" s="49" t="s">
        <v>42</v>
      </c>
      <c r="J87" s="49" t="s">
        <v>42</v>
      </c>
      <c r="K87" s="49" t="s">
        <v>137</v>
      </c>
      <c r="L87" s="2"/>
      <c r="M87" s="49">
        <v>8</v>
      </c>
      <c r="N87" s="49">
        <v>10</v>
      </c>
      <c r="O87" s="49">
        <v>0.75</v>
      </c>
      <c r="P87" s="49">
        <v>-0.25</v>
      </c>
      <c r="Q87" s="49">
        <v>0.42</v>
      </c>
      <c r="R87" s="49" t="s">
        <v>135</v>
      </c>
      <c r="S87" s="49" t="s">
        <v>141</v>
      </c>
      <c r="T87" s="49">
        <v>1.5535000000000001</v>
      </c>
      <c r="U87" s="49" t="s">
        <v>42</v>
      </c>
      <c r="V87" s="49" t="s">
        <v>42</v>
      </c>
      <c r="W87" s="49" t="s">
        <v>137</v>
      </c>
    </row>
    <row r="88" spans="1:23">
      <c r="A88" s="2"/>
      <c r="B88" s="2"/>
      <c r="C88" s="2"/>
      <c r="D88" s="2"/>
      <c r="E88" s="2"/>
      <c r="F88" s="2"/>
      <c r="G88" s="14" t="s">
        <v>138</v>
      </c>
      <c r="H88" s="14">
        <f>AVERAGE(H68:H87)</f>
        <v>1.75213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14" t="s">
        <v>138</v>
      </c>
      <c r="T88" s="14">
        <f>AVERAGE(T68:T87)</f>
        <v>1.97884</v>
      </c>
      <c r="U88" s="2"/>
      <c r="V88" s="2"/>
      <c r="W88" s="2"/>
    </row>
    <row r="89" spans="1:23">
      <c r="A89" s="71" t="s">
        <v>9</v>
      </c>
      <c r="B89" s="71" t="s">
        <v>126</v>
      </c>
      <c r="C89" s="71" t="s">
        <v>127</v>
      </c>
      <c r="D89" s="71" t="s">
        <v>128</v>
      </c>
      <c r="E89" s="71" t="s">
        <v>129</v>
      </c>
      <c r="F89" s="71" t="s">
        <v>139</v>
      </c>
      <c r="G89" s="71" t="s">
        <v>140</v>
      </c>
      <c r="H89" s="71" t="s">
        <v>132</v>
      </c>
      <c r="I89" s="71" t="s">
        <v>13</v>
      </c>
      <c r="J89" s="71" t="s">
        <v>133</v>
      </c>
      <c r="K89" s="71" t="s">
        <v>134</v>
      </c>
      <c r="L89" s="2"/>
      <c r="M89" s="71" t="s">
        <v>9</v>
      </c>
      <c r="N89" s="71" t="s">
        <v>126</v>
      </c>
      <c r="O89" s="71" t="s">
        <v>127</v>
      </c>
      <c r="P89" s="71" t="s">
        <v>128</v>
      </c>
      <c r="Q89" s="71" t="s">
        <v>129</v>
      </c>
      <c r="R89" s="71" t="s">
        <v>139</v>
      </c>
      <c r="S89" s="71" t="s">
        <v>140</v>
      </c>
      <c r="T89" s="71" t="s">
        <v>132</v>
      </c>
      <c r="U89" s="71" t="s">
        <v>13</v>
      </c>
      <c r="V89" s="71" t="s">
        <v>133</v>
      </c>
      <c r="W89" s="71" t="s">
        <v>134</v>
      </c>
    </row>
    <row r="90" spans="1:23">
      <c r="A90" s="49">
        <v>9</v>
      </c>
      <c r="B90" s="49">
        <v>1</v>
      </c>
      <c r="C90" s="49">
        <v>0.5</v>
      </c>
      <c r="D90" s="49">
        <v>-0.3</v>
      </c>
      <c r="E90" s="49">
        <v>0.35</v>
      </c>
      <c r="F90" s="49" t="s">
        <v>135</v>
      </c>
      <c r="G90" s="49" t="s">
        <v>141</v>
      </c>
      <c r="H90" s="49">
        <v>2.3788999999999998</v>
      </c>
      <c r="I90" s="49" t="s">
        <v>42</v>
      </c>
      <c r="J90" s="49" t="s">
        <v>42</v>
      </c>
      <c r="K90" s="49" t="s">
        <v>137</v>
      </c>
      <c r="L90" s="2"/>
      <c r="M90" s="49">
        <v>10</v>
      </c>
      <c r="N90" s="49">
        <v>1</v>
      </c>
      <c r="O90" s="49">
        <v>0.75</v>
      </c>
      <c r="P90" s="49">
        <v>0.3</v>
      </c>
      <c r="Q90" s="49">
        <v>0.35</v>
      </c>
      <c r="R90" s="49" t="s">
        <v>135</v>
      </c>
      <c r="S90" s="49" t="s">
        <v>141</v>
      </c>
      <c r="T90" s="49">
        <v>3.1375999999999999</v>
      </c>
      <c r="U90" s="49" t="s">
        <v>42</v>
      </c>
      <c r="V90" s="49" t="s">
        <v>42</v>
      </c>
      <c r="W90" s="49" t="s">
        <v>137</v>
      </c>
    </row>
    <row r="91" spans="1:23">
      <c r="A91" s="49">
        <v>9</v>
      </c>
      <c r="B91" s="49">
        <v>1</v>
      </c>
      <c r="C91" s="49">
        <v>0.75</v>
      </c>
      <c r="D91" s="49">
        <v>0.3</v>
      </c>
      <c r="E91" s="49">
        <v>0.42</v>
      </c>
      <c r="F91" s="49" t="s">
        <v>135</v>
      </c>
      <c r="G91" s="49" t="s">
        <v>141</v>
      </c>
      <c r="H91" s="49">
        <v>2.2444999999999999</v>
      </c>
      <c r="I91" s="49" t="s">
        <v>42</v>
      </c>
      <c r="J91" s="49" t="s">
        <v>42</v>
      </c>
      <c r="K91" s="49" t="s">
        <v>137</v>
      </c>
      <c r="L91" s="2"/>
      <c r="M91" s="49">
        <v>10</v>
      </c>
      <c r="N91" s="49">
        <v>1</v>
      </c>
      <c r="O91" s="49">
        <v>0.5</v>
      </c>
      <c r="P91" s="49">
        <v>-0.3</v>
      </c>
      <c r="Q91" s="49">
        <v>0.42</v>
      </c>
      <c r="R91" s="49" t="s">
        <v>135</v>
      </c>
      <c r="S91" s="49" t="s">
        <v>141</v>
      </c>
      <c r="T91" s="49">
        <v>1.8649</v>
      </c>
      <c r="U91" s="49" t="s">
        <v>42</v>
      </c>
      <c r="V91" s="49" t="s">
        <v>42</v>
      </c>
      <c r="W91" s="49" t="s">
        <v>137</v>
      </c>
    </row>
    <row r="92" spans="1:23">
      <c r="A92" s="49">
        <v>9</v>
      </c>
      <c r="B92" s="49">
        <v>2</v>
      </c>
      <c r="C92" s="49">
        <v>0.5</v>
      </c>
      <c r="D92" s="49">
        <v>-0.3</v>
      </c>
      <c r="E92" s="49">
        <v>0.35</v>
      </c>
      <c r="F92" s="49" t="s">
        <v>135</v>
      </c>
      <c r="G92" s="49" t="s">
        <v>141</v>
      </c>
      <c r="H92" s="49">
        <v>1.879</v>
      </c>
      <c r="I92" s="49" t="s">
        <v>42</v>
      </c>
      <c r="J92" s="49" t="s">
        <v>42</v>
      </c>
      <c r="K92" s="49" t="s">
        <v>137</v>
      </c>
      <c r="L92" s="2"/>
      <c r="M92" s="49">
        <v>10</v>
      </c>
      <c r="N92" s="49">
        <v>2</v>
      </c>
      <c r="O92" s="49">
        <v>0.75</v>
      </c>
      <c r="P92" s="49">
        <v>0.3</v>
      </c>
      <c r="Q92" s="49">
        <v>0.35</v>
      </c>
      <c r="R92" s="49" t="s">
        <v>135</v>
      </c>
      <c r="S92" s="49" t="s">
        <v>141</v>
      </c>
      <c r="T92" s="49">
        <v>2.0777999999999999</v>
      </c>
      <c r="U92" s="49" t="s">
        <v>42</v>
      </c>
      <c r="V92" s="49" t="s">
        <v>42</v>
      </c>
      <c r="W92" s="49" t="s">
        <v>137</v>
      </c>
    </row>
    <row r="93" spans="1:23">
      <c r="A93" s="49">
        <v>9</v>
      </c>
      <c r="B93" s="49">
        <v>2</v>
      </c>
      <c r="C93" s="49">
        <v>0.75</v>
      </c>
      <c r="D93" s="49">
        <v>0.3</v>
      </c>
      <c r="E93" s="49">
        <v>0.42</v>
      </c>
      <c r="F93" s="49" t="s">
        <v>135</v>
      </c>
      <c r="G93" s="49" t="s">
        <v>141</v>
      </c>
      <c r="H93" s="49">
        <v>1.9621999999999999</v>
      </c>
      <c r="I93" s="49" t="s">
        <v>42</v>
      </c>
      <c r="J93" s="49" t="s">
        <v>42</v>
      </c>
      <c r="K93" s="49" t="s">
        <v>137</v>
      </c>
      <c r="L93" s="2"/>
      <c r="M93" s="49">
        <v>10</v>
      </c>
      <c r="N93" s="49">
        <v>2</v>
      </c>
      <c r="O93" s="49">
        <v>0.5</v>
      </c>
      <c r="P93" s="49">
        <v>-0.3</v>
      </c>
      <c r="Q93" s="49">
        <v>0.42</v>
      </c>
      <c r="R93" s="49" t="s">
        <v>135</v>
      </c>
      <c r="S93" s="49" t="s">
        <v>141</v>
      </c>
      <c r="T93" s="49">
        <v>1.8723000000000001</v>
      </c>
      <c r="U93" s="49" t="s">
        <v>42</v>
      </c>
      <c r="V93" s="49" t="s">
        <v>42</v>
      </c>
      <c r="W93" s="49" t="s">
        <v>137</v>
      </c>
    </row>
    <row r="94" spans="1:23">
      <c r="A94" s="49">
        <v>9</v>
      </c>
      <c r="B94" s="49">
        <v>3</v>
      </c>
      <c r="C94" s="49">
        <v>0.5</v>
      </c>
      <c r="D94" s="49">
        <v>-0.3</v>
      </c>
      <c r="E94" s="49">
        <v>0.35</v>
      </c>
      <c r="F94" s="49" t="s">
        <v>135</v>
      </c>
      <c r="G94" s="49" t="s">
        <v>141</v>
      </c>
      <c r="H94" s="49">
        <v>2.1793999999999998</v>
      </c>
      <c r="I94" s="49" t="s">
        <v>42</v>
      </c>
      <c r="J94" s="49" t="s">
        <v>42</v>
      </c>
      <c r="K94" s="49" t="s">
        <v>137</v>
      </c>
      <c r="L94" s="2"/>
      <c r="M94" s="49">
        <v>10</v>
      </c>
      <c r="N94" s="49">
        <v>3</v>
      </c>
      <c r="O94" s="49">
        <v>0.75</v>
      </c>
      <c r="P94" s="49">
        <v>0.3</v>
      </c>
      <c r="Q94" s="49">
        <v>0.35</v>
      </c>
      <c r="R94" s="49" t="s">
        <v>135</v>
      </c>
      <c r="S94" s="49" t="s">
        <v>141</v>
      </c>
      <c r="T94" s="49">
        <v>1.8653999999999999</v>
      </c>
      <c r="U94" s="49" t="s">
        <v>42</v>
      </c>
      <c r="V94" s="49" t="s">
        <v>42</v>
      </c>
      <c r="W94" s="49" t="s">
        <v>137</v>
      </c>
    </row>
    <row r="95" spans="1:23">
      <c r="A95" s="49">
        <v>9</v>
      </c>
      <c r="B95" s="49">
        <v>3</v>
      </c>
      <c r="C95" s="49">
        <v>0.75</v>
      </c>
      <c r="D95" s="49">
        <v>0.3</v>
      </c>
      <c r="E95" s="49">
        <v>0.42</v>
      </c>
      <c r="F95" s="49" t="s">
        <v>135</v>
      </c>
      <c r="G95" s="49" t="s">
        <v>141</v>
      </c>
      <c r="H95" s="49">
        <v>1.5740000000000001</v>
      </c>
      <c r="I95" s="49" t="s">
        <v>42</v>
      </c>
      <c r="J95" s="49" t="s">
        <v>42</v>
      </c>
      <c r="K95" s="49" t="s">
        <v>137</v>
      </c>
      <c r="L95" s="2"/>
      <c r="M95" s="49">
        <v>10</v>
      </c>
      <c r="N95" s="49">
        <v>3</v>
      </c>
      <c r="O95" s="49">
        <v>0.5</v>
      </c>
      <c r="P95" s="49">
        <v>-0.3</v>
      </c>
      <c r="Q95" s="49">
        <v>0.42</v>
      </c>
      <c r="R95" s="49" t="s">
        <v>135</v>
      </c>
      <c r="S95" s="49" t="s">
        <v>141</v>
      </c>
      <c r="T95" s="49">
        <v>2.9664000000000001</v>
      </c>
      <c r="U95" s="49" t="s">
        <v>42</v>
      </c>
      <c r="V95" s="49" t="s">
        <v>42</v>
      </c>
      <c r="W95" s="49" t="s">
        <v>137</v>
      </c>
    </row>
    <row r="96" spans="1:23">
      <c r="A96" s="49">
        <v>9</v>
      </c>
      <c r="B96" s="49">
        <v>4</v>
      </c>
      <c r="C96" s="49">
        <v>0.5</v>
      </c>
      <c r="D96" s="49">
        <v>-0.3</v>
      </c>
      <c r="E96" s="49">
        <v>0.35</v>
      </c>
      <c r="F96" s="49" t="s">
        <v>135</v>
      </c>
      <c r="G96" s="49" t="s">
        <v>141</v>
      </c>
      <c r="H96" s="49">
        <v>1.7141999999999999</v>
      </c>
      <c r="I96" s="49" t="s">
        <v>42</v>
      </c>
      <c r="J96" s="49" t="s">
        <v>42</v>
      </c>
      <c r="K96" s="49" t="s">
        <v>137</v>
      </c>
      <c r="L96" s="2"/>
      <c r="M96" s="49">
        <v>10</v>
      </c>
      <c r="N96" s="49">
        <v>4</v>
      </c>
      <c r="O96" s="49">
        <v>0.75</v>
      </c>
      <c r="P96" s="49">
        <v>0.3</v>
      </c>
      <c r="Q96" s="49">
        <v>0.35</v>
      </c>
      <c r="R96" s="49" t="s">
        <v>135</v>
      </c>
      <c r="S96" s="49" t="s">
        <v>141</v>
      </c>
      <c r="T96" s="49">
        <v>2.0215999999999998</v>
      </c>
      <c r="U96" s="49" t="s">
        <v>42</v>
      </c>
      <c r="V96" s="49" t="s">
        <v>42</v>
      </c>
      <c r="W96" s="49" t="s">
        <v>137</v>
      </c>
    </row>
    <row r="97" spans="1:23">
      <c r="A97" s="49">
        <v>9</v>
      </c>
      <c r="B97" s="49">
        <v>4</v>
      </c>
      <c r="C97" s="49">
        <v>0.75</v>
      </c>
      <c r="D97" s="49">
        <v>0.3</v>
      </c>
      <c r="E97" s="49">
        <v>0.42</v>
      </c>
      <c r="F97" s="49" t="s">
        <v>135</v>
      </c>
      <c r="G97" s="49" t="s">
        <v>141</v>
      </c>
      <c r="H97" s="49">
        <v>2.1551</v>
      </c>
      <c r="I97" s="49" t="s">
        <v>42</v>
      </c>
      <c r="J97" s="49" t="s">
        <v>42</v>
      </c>
      <c r="K97" s="49" t="s">
        <v>137</v>
      </c>
      <c r="L97" s="2"/>
      <c r="M97" s="49">
        <v>10</v>
      </c>
      <c r="N97" s="49">
        <v>4</v>
      </c>
      <c r="O97" s="49">
        <v>0.5</v>
      </c>
      <c r="P97" s="49">
        <v>-0.3</v>
      </c>
      <c r="Q97" s="49">
        <v>0.42</v>
      </c>
      <c r="R97" s="49" t="s">
        <v>135</v>
      </c>
      <c r="S97" s="49" t="s">
        <v>141</v>
      </c>
      <c r="T97" s="49">
        <v>2.2898000000000001</v>
      </c>
      <c r="U97" s="49" t="s">
        <v>42</v>
      </c>
      <c r="V97" s="49" t="s">
        <v>42</v>
      </c>
      <c r="W97" s="49" t="s">
        <v>137</v>
      </c>
    </row>
    <row r="98" spans="1:23">
      <c r="A98" s="49">
        <v>9</v>
      </c>
      <c r="B98" s="49">
        <v>5</v>
      </c>
      <c r="C98" s="49">
        <v>0.5</v>
      </c>
      <c r="D98" s="49">
        <v>-0.3</v>
      </c>
      <c r="E98" s="49">
        <v>0.35</v>
      </c>
      <c r="F98" s="49" t="s">
        <v>135</v>
      </c>
      <c r="G98" s="49" t="s">
        <v>141</v>
      </c>
      <c r="H98" s="49">
        <v>2.4319000000000002</v>
      </c>
      <c r="I98" s="49" t="s">
        <v>42</v>
      </c>
      <c r="J98" s="49" t="s">
        <v>42</v>
      </c>
      <c r="K98" s="49" t="s">
        <v>137</v>
      </c>
      <c r="L98" s="2"/>
      <c r="M98" s="49">
        <v>10</v>
      </c>
      <c r="N98" s="49">
        <v>5</v>
      </c>
      <c r="O98" s="49">
        <v>0.75</v>
      </c>
      <c r="P98" s="49">
        <v>0.3</v>
      </c>
      <c r="Q98" s="49">
        <v>0.35</v>
      </c>
      <c r="R98" s="49" t="s">
        <v>135</v>
      </c>
      <c r="S98" s="49" t="s">
        <v>141</v>
      </c>
      <c r="T98" s="49">
        <v>1.8856999999999999</v>
      </c>
      <c r="U98" s="49" t="s">
        <v>42</v>
      </c>
      <c r="V98" s="49" t="s">
        <v>42</v>
      </c>
      <c r="W98" s="49" t="s">
        <v>137</v>
      </c>
    </row>
    <row r="99" spans="1:23">
      <c r="A99" s="49">
        <v>9</v>
      </c>
      <c r="B99" s="49">
        <v>5</v>
      </c>
      <c r="C99" s="49">
        <v>0.75</v>
      </c>
      <c r="D99" s="49">
        <v>0.3</v>
      </c>
      <c r="E99" s="49">
        <v>0.42</v>
      </c>
      <c r="F99" s="49" t="s">
        <v>135</v>
      </c>
      <c r="G99" s="49" t="s">
        <v>141</v>
      </c>
      <c r="H99" s="49">
        <v>1.9182999999999999</v>
      </c>
      <c r="I99" s="49" t="s">
        <v>42</v>
      </c>
      <c r="J99" s="49" t="s">
        <v>42</v>
      </c>
      <c r="K99" s="49" t="s">
        <v>137</v>
      </c>
      <c r="L99" s="2"/>
      <c r="M99" s="49">
        <v>10</v>
      </c>
      <c r="N99" s="49">
        <v>5</v>
      </c>
      <c r="O99" s="49">
        <v>0.5</v>
      </c>
      <c r="P99" s="49">
        <v>-0.3</v>
      </c>
      <c r="Q99" s="49">
        <v>0.42</v>
      </c>
      <c r="R99" s="49" t="s">
        <v>135</v>
      </c>
      <c r="S99" s="49" t="s">
        <v>141</v>
      </c>
      <c r="T99" s="49">
        <v>4.9717000000000002</v>
      </c>
      <c r="U99" s="49" t="s">
        <v>42</v>
      </c>
      <c r="V99" s="49" t="s">
        <v>42</v>
      </c>
      <c r="W99" s="49" t="s">
        <v>137</v>
      </c>
    </row>
    <row r="100" spans="1:23">
      <c r="A100" s="49">
        <v>9</v>
      </c>
      <c r="B100" s="49">
        <v>6</v>
      </c>
      <c r="C100" s="49">
        <v>0.5</v>
      </c>
      <c r="D100" s="49">
        <v>-0.3</v>
      </c>
      <c r="E100" s="49">
        <v>0.35</v>
      </c>
      <c r="F100" s="49" t="s">
        <v>135</v>
      </c>
      <c r="G100" s="49" t="s">
        <v>141</v>
      </c>
      <c r="H100" s="49">
        <v>2.0491999999999999</v>
      </c>
      <c r="I100" s="49" t="s">
        <v>42</v>
      </c>
      <c r="J100" s="49" t="s">
        <v>42</v>
      </c>
      <c r="K100" s="49" t="s">
        <v>137</v>
      </c>
      <c r="L100" s="2"/>
      <c r="M100" s="49">
        <v>10</v>
      </c>
      <c r="N100" s="49">
        <v>6</v>
      </c>
      <c r="O100" s="49">
        <v>0.75</v>
      </c>
      <c r="P100" s="49">
        <v>0.3</v>
      </c>
      <c r="Q100" s="49">
        <v>0.35</v>
      </c>
      <c r="R100" s="49" t="s">
        <v>135</v>
      </c>
      <c r="S100" s="49" t="s">
        <v>141</v>
      </c>
      <c r="T100" s="49">
        <v>7.6417999999999999</v>
      </c>
      <c r="U100" s="49" t="s">
        <v>42</v>
      </c>
      <c r="V100" s="49" t="s">
        <v>42</v>
      </c>
      <c r="W100" s="49" t="s">
        <v>137</v>
      </c>
    </row>
    <row r="101" spans="1:23">
      <c r="A101" s="49">
        <v>9</v>
      </c>
      <c r="B101" s="49">
        <v>6</v>
      </c>
      <c r="C101" s="49">
        <v>0.75</v>
      </c>
      <c r="D101" s="49">
        <v>0.3</v>
      </c>
      <c r="E101" s="49">
        <v>0.42</v>
      </c>
      <c r="F101" s="49" t="s">
        <v>135</v>
      </c>
      <c r="G101" s="49" t="s">
        <v>141</v>
      </c>
      <c r="H101" s="49">
        <v>2.2046999999999999</v>
      </c>
      <c r="I101" s="49" t="s">
        <v>42</v>
      </c>
      <c r="J101" s="49" t="s">
        <v>42</v>
      </c>
      <c r="K101" s="49" t="s">
        <v>137</v>
      </c>
      <c r="L101" s="2"/>
      <c r="M101" s="49">
        <v>10</v>
      </c>
      <c r="N101" s="49">
        <v>6</v>
      </c>
      <c r="O101" s="49">
        <v>0.5</v>
      </c>
      <c r="P101" s="49">
        <v>-0.3</v>
      </c>
      <c r="Q101" s="49">
        <v>0.42</v>
      </c>
      <c r="R101" s="49" t="s">
        <v>135</v>
      </c>
      <c r="S101" s="49" t="s">
        <v>141</v>
      </c>
      <c r="T101" s="49">
        <v>1.7817000000000001</v>
      </c>
      <c r="U101" s="49" t="s">
        <v>42</v>
      </c>
      <c r="V101" s="49" t="s">
        <v>42</v>
      </c>
      <c r="W101" s="49" t="s">
        <v>137</v>
      </c>
    </row>
    <row r="102" spans="1:23">
      <c r="A102" s="49">
        <v>9</v>
      </c>
      <c r="B102" s="49">
        <v>7</v>
      </c>
      <c r="C102" s="49">
        <v>0.5</v>
      </c>
      <c r="D102" s="49">
        <v>-0.3</v>
      </c>
      <c r="E102" s="49">
        <v>0.35</v>
      </c>
      <c r="F102" s="49" t="s">
        <v>135</v>
      </c>
      <c r="G102" s="49" t="s">
        <v>141</v>
      </c>
      <c r="H102" s="49">
        <v>2.2564000000000002</v>
      </c>
      <c r="I102" s="49" t="s">
        <v>42</v>
      </c>
      <c r="J102" s="49" t="s">
        <v>42</v>
      </c>
      <c r="K102" s="49" t="s">
        <v>137</v>
      </c>
      <c r="L102" s="2"/>
      <c r="M102" s="49">
        <v>10</v>
      </c>
      <c r="N102" s="49">
        <v>7</v>
      </c>
      <c r="O102" s="49">
        <v>0.75</v>
      </c>
      <c r="P102" s="49">
        <v>0.3</v>
      </c>
      <c r="Q102" s="49">
        <v>0.35</v>
      </c>
      <c r="R102" s="49" t="s">
        <v>135</v>
      </c>
      <c r="S102" s="49" t="s">
        <v>141</v>
      </c>
      <c r="T102" s="49">
        <v>1.8536999999999999</v>
      </c>
      <c r="U102" s="49" t="s">
        <v>42</v>
      </c>
      <c r="V102" s="49" t="s">
        <v>42</v>
      </c>
      <c r="W102" s="49" t="s">
        <v>137</v>
      </c>
    </row>
    <row r="103" spans="1:23">
      <c r="A103" s="49">
        <v>9</v>
      </c>
      <c r="B103" s="49">
        <v>7</v>
      </c>
      <c r="C103" s="49">
        <v>0.75</v>
      </c>
      <c r="D103" s="49">
        <v>0.3</v>
      </c>
      <c r="E103" s="49">
        <v>0.42</v>
      </c>
      <c r="F103" s="49" t="s">
        <v>135</v>
      </c>
      <c r="G103" s="49" t="s">
        <v>141</v>
      </c>
      <c r="H103" s="49">
        <v>2.3180999999999998</v>
      </c>
      <c r="I103" s="49" t="s">
        <v>42</v>
      </c>
      <c r="J103" s="49" t="s">
        <v>42</v>
      </c>
      <c r="K103" s="49" t="s">
        <v>137</v>
      </c>
      <c r="L103" s="2"/>
      <c r="M103" s="49">
        <v>10</v>
      </c>
      <c r="N103" s="49">
        <v>7</v>
      </c>
      <c r="O103" s="49">
        <v>0.5</v>
      </c>
      <c r="P103" s="49">
        <v>-0.3</v>
      </c>
      <c r="Q103" s="49">
        <v>0.42</v>
      </c>
      <c r="R103" s="49" t="s">
        <v>135</v>
      </c>
      <c r="S103" s="49" t="s">
        <v>141</v>
      </c>
      <c r="T103" s="49">
        <v>2.4359000000000002</v>
      </c>
      <c r="U103" s="49" t="s">
        <v>42</v>
      </c>
      <c r="V103" s="49" t="s">
        <v>42</v>
      </c>
      <c r="W103" s="49" t="s">
        <v>137</v>
      </c>
    </row>
    <row r="104" spans="1:23">
      <c r="A104" s="49">
        <v>9</v>
      </c>
      <c r="B104" s="49">
        <v>8</v>
      </c>
      <c r="C104" s="49">
        <v>0.5</v>
      </c>
      <c r="D104" s="49">
        <v>-0.3</v>
      </c>
      <c r="E104" s="49">
        <v>0.35</v>
      </c>
      <c r="F104" s="49" t="s">
        <v>135</v>
      </c>
      <c r="G104" s="49" t="s">
        <v>141</v>
      </c>
      <c r="H104" s="49">
        <v>2.4493</v>
      </c>
      <c r="I104" s="49" t="s">
        <v>42</v>
      </c>
      <c r="J104" s="49" t="s">
        <v>42</v>
      </c>
      <c r="K104" s="49" t="s">
        <v>137</v>
      </c>
      <c r="L104" s="2"/>
      <c r="M104" s="49">
        <v>10</v>
      </c>
      <c r="N104" s="49">
        <v>8</v>
      </c>
      <c r="O104" s="49">
        <v>0.75</v>
      </c>
      <c r="P104" s="49">
        <v>0.3</v>
      </c>
      <c r="Q104" s="49">
        <v>0.35</v>
      </c>
      <c r="R104" s="49" t="s">
        <v>135</v>
      </c>
      <c r="S104" s="49" t="s">
        <v>141</v>
      </c>
      <c r="T104" s="49">
        <v>2.2261000000000002</v>
      </c>
      <c r="U104" s="49" t="s">
        <v>42</v>
      </c>
      <c r="V104" s="49" t="s">
        <v>42</v>
      </c>
      <c r="W104" s="49" t="s">
        <v>137</v>
      </c>
    </row>
    <row r="105" spans="1:23">
      <c r="A105" s="49">
        <v>9</v>
      </c>
      <c r="B105" s="49">
        <v>8</v>
      </c>
      <c r="C105" s="49">
        <v>0.75</v>
      </c>
      <c r="D105" s="49">
        <v>0.3</v>
      </c>
      <c r="E105" s="49">
        <v>0.42</v>
      </c>
      <c r="F105" s="49" t="s">
        <v>135</v>
      </c>
      <c r="G105" s="49" t="s">
        <v>141</v>
      </c>
      <c r="H105" s="49">
        <v>2.2075</v>
      </c>
      <c r="I105" s="49" t="s">
        <v>42</v>
      </c>
      <c r="J105" s="49" t="s">
        <v>42</v>
      </c>
      <c r="K105" s="49" t="s">
        <v>137</v>
      </c>
      <c r="L105" s="2"/>
      <c r="M105" s="49">
        <v>10</v>
      </c>
      <c r="N105" s="49">
        <v>8</v>
      </c>
      <c r="O105" s="49">
        <v>0.5</v>
      </c>
      <c r="P105" s="49">
        <v>-0.3</v>
      </c>
      <c r="Q105" s="49">
        <v>0.42</v>
      </c>
      <c r="R105" s="49" t="s">
        <v>135</v>
      </c>
      <c r="S105" s="49" t="s">
        <v>141</v>
      </c>
      <c r="T105" s="49">
        <v>2.0072000000000001</v>
      </c>
      <c r="U105" s="49" t="s">
        <v>42</v>
      </c>
      <c r="V105" s="49" t="s">
        <v>42</v>
      </c>
      <c r="W105" s="49" t="s">
        <v>137</v>
      </c>
    </row>
    <row r="106" spans="1:23">
      <c r="A106" s="49">
        <v>9</v>
      </c>
      <c r="B106" s="49">
        <v>9</v>
      </c>
      <c r="C106" s="49">
        <v>0.5</v>
      </c>
      <c r="D106" s="49">
        <v>-0.3</v>
      </c>
      <c r="E106" s="49">
        <v>0.35</v>
      </c>
      <c r="F106" s="49" t="s">
        <v>135</v>
      </c>
      <c r="G106" s="49" t="s">
        <v>141</v>
      </c>
      <c r="H106" s="49">
        <v>2.0747</v>
      </c>
      <c r="I106" s="49" t="s">
        <v>42</v>
      </c>
      <c r="J106" s="49" t="s">
        <v>42</v>
      </c>
      <c r="K106" s="49" t="s">
        <v>137</v>
      </c>
      <c r="L106" s="2"/>
      <c r="M106" s="49">
        <v>10</v>
      </c>
      <c r="N106" s="49">
        <v>9</v>
      </c>
      <c r="O106" s="49">
        <v>0.75</v>
      </c>
      <c r="P106" s="49">
        <v>0.3</v>
      </c>
      <c r="Q106" s="49">
        <v>0.35</v>
      </c>
      <c r="R106" s="49" t="s">
        <v>135</v>
      </c>
      <c r="S106" s="49" t="s">
        <v>141</v>
      </c>
      <c r="T106" s="49">
        <v>1.8052999999999999</v>
      </c>
      <c r="U106" s="49" t="s">
        <v>42</v>
      </c>
      <c r="V106" s="49" t="s">
        <v>42</v>
      </c>
      <c r="W106" s="49" t="s">
        <v>137</v>
      </c>
    </row>
    <row r="107" spans="1:23">
      <c r="A107" s="49">
        <v>9</v>
      </c>
      <c r="B107" s="49">
        <v>9</v>
      </c>
      <c r="C107" s="49">
        <v>0.75</v>
      </c>
      <c r="D107" s="49">
        <v>0.3</v>
      </c>
      <c r="E107" s="49">
        <v>0.42</v>
      </c>
      <c r="F107" s="49" t="s">
        <v>135</v>
      </c>
      <c r="G107" s="49" t="s">
        <v>141</v>
      </c>
      <c r="H107" s="49">
        <v>2.0590000000000002</v>
      </c>
      <c r="I107" s="49" t="s">
        <v>42</v>
      </c>
      <c r="J107" s="49" t="s">
        <v>42</v>
      </c>
      <c r="K107" s="49" t="s">
        <v>137</v>
      </c>
      <c r="L107" s="2"/>
      <c r="M107" s="49">
        <v>10</v>
      </c>
      <c r="N107" s="49">
        <v>9</v>
      </c>
      <c r="O107" s="49">
        <v>0.5</v>
      </c>
      <c r="P107" s="49">
        <v>-0.3</v>
      </c>
      <c r="Q107" s="49">
        <v>0.42</v>
      </c>
      <c r="R107" s="49" t="s">
        <v>135</v>
      </c>
      <c r="S107" s="49" t="s">
        <v>141</v>
      </c>
      <c r="T107" s="49">
        <v>1.621</v>
      </c>
      <c r="U107" s="49" t="s">
        <v>42</v>
      </c>
      <c r="V107" s="49" t="s">
        <v>42</v>
      </c>
      <c r="W107" s="49" t="s">
        <v>137</v>
      </c>
    </row>
    <row r="108" spans="1:23">
      <c r="A108" s="49">
        <v>9</v>
      </c>
      <c r="B108" s="49">
        <v>10</v>
      </c>
      <c r="C108" s="49">
        <v>0.5</v>
      </c>
      <c r="D108" s="49">
        <v>-0.3</v>
      </c>
      <c r="E108" s="49">
        <v>0.35</v>
      </c>
      <c r="F108" s="49" t="s">
        <v>135</v>
      </c>
      <c r="G108" s="49" t="s">
        <v>141</v>
      </c>
      <c r="H108" s="49">
        <v>1.7228000000000001</v>
      </c>
      <c r="I108" s="49" t="s">
        <v>42</v>
      </c>
      <c r="J108" s="49" t="s">
        <v>42</v>
      </c>
      <c r="K108" s="49" t="s">
        <v>137</v>
      </c>
      <c r="L108" s="2"/>
      <c r="M108" s="49">
        <v>10</v>
      </c>
      <c r="N108" s="49">
        <v>10</v>
      </c>
      <c r="O108" s="49">
        <v>0.75</v>
      </c>
      <c r="P108" s="49">
        <v>0.3</v>
      </c>
      <c r="Q108" s="49">
        <v>0.35</v>
      </c>
      <c r="R108" s="49" t="s">
        <v>135</v>
      </c>
      <c r="S108" s="49" t="s">
        <v>141</v>
      </c>
      <c r="T108" s="49">
        <v>2.4521000000000002</v>
      </c>
      <c r="U108" s="49" t="s">
        <v>42</v>
      </c>
      <c r="V108" s="49" t="s">
        <v>42</v>
      </c>
      <c r="W108" s="49" t="s">
        <v>137</v>
      </c>
    </row>
    <row r="109" spans="1:23">
      <c r="A109" s="49">
        <v>9</v>
      </c>
      <c r="B109" s="49">
        <v>10</v>
      </c>
      <c r="C109" s="49">
        <v>0.75</v>
      </c>
      <c r="D109" s="49">
        <v>0.3</v>
      </c>
      <c r="E109" s="49">
        <v>0.42</v>
      </c>
      <c r="F109" s="49" t="s">
        <v>135</v>
      </c>
      <c r="G109" s="49" t="s">
        <v>141</v>
      </c>
      <c r="H109" s="49">
        <v>2.4449999999999998</v>
      </c>
      <c r="I109" s="49" t="s">
        <v>42</v>
      </c>
      <c r="J109" s="49" t="s">
        <v>42</v>
      </c>
      <c r="K109" s="49" t="s">
        <v>137</v>
      </c>
      <c r="L109" s="2"/>
      <c r="M109" s="49">
        <v>10</v>
      </c>
      <c r="N109" s="49">
        <v>10</v>
      </c>
      <c r="O109" s="49">
        <v>0.5</v>
      </c>
      <c r="P109" s="49">
        <v>-0.3</v>
      </c>
      <c r="Q109" s="49">
        <v>0.42</v>
      </c>
      <c r="R109" s="49" t="s">
        <v>135</v>
      </c>
      <c r="S109" s="49" t="s">
        <v>141</v>
      </c>
      <c r="T109" s="49">
        <v>2.1541000000000001</v>
      </c>
      <c r="U109" s="49" t="s">
        <v>42</v>
      </c>
      <c r="V109" s="49" t="s">
        <v>42</v>
      </c>
      <c r="W109" s="49" t="s">
        <v>137</v>
      </c>
    </row>
    <row r="110" spans="1:23">
      <c r="G110" s="14" t="s">
        <v>138</v>
      </c>
      <c r="H110" s="14">
        <f>AVERAGE(H90:H109)</f>
        <v>2.11121</v>
      </c>
      <c r="S110" s="14" t="s">
        <v>138</v>
      </c>
      <c r="T110" s="14">
        <f>AVERAGE(T90:T109)</f>
        <v>2.546605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42"/>
  <sheetViews>
    <sheetView workbookViewId="0">
      <selection sqref="A1:AI1"/>
    </sheetView>
  </sheetViews>
  <sheetFormatPr defaultRowHeight="13.8"/>
  <cols>
    <col min="1" max="1" width="7.5" customWidth="1"/>
    <col min="2" max="2" width="9.69921875" customWidth="1"/>
    <col min="3" max="3" width="7.3984375" customWidth="1"/>
    <col min="4" max="4" width="5.69921875" customWidth="1"/>
    <col min="5" max="5" width="7" customWidth="1"/>
    <col min="6" max="6" width="7.19921875" customWidth="1"/>
    <col min="7" max="7" width="8.3984375" customWidth="1"/>
    <col min="8" max="8" width="7.19921875" customWidth="1"/>
    <col min="9" max="9" width="9" customWidth="1"/>
    <col min="10" max="10" width="7.69921875" customWidth="1"/>
    <col min="11" max="12" width="7.5" customWidth="1"/>
    <col min="13" max="13" width="8.3984375" style="11" customWidth="1"/>
    <col min="14" max="14" width="7.5" style="11" customWidth="1"/>
    <col min="15" max="15" width="8.3984375" style="11" customWidth="1"/>
    <col min="16" max="16" width="7.3984375" style="11" customWidth="1"/>
    <col min="17" max="18" width="7.5" style="11" customWidth="1"/>
    <col min="19" max="28" width="7.69921875" customWidth="1"/>
    <col min="29" max="29" width="12.3984375" customWidth="1"/>
    <col min="30" max="30" width="9.09765625" customWidth="1"/>
    <col min="31" max="31" width="8.8984375" customWidth="1"/>
    <col min="32" max="32" width="14.69921875" customWidth="1"/>
    <col min="33" max="33" width="22.19921875" customWidth="1"/>
    <col min="34" max="34" width="8.09765625" customWidth="1"/>
    <col min="35" max="35" width="9.8984375" customWidth="1"/>
  </cols>
  <sheetData>
    <row r="1" spans="1:36" s="2" customFormat="1">
      <c r="A1" s="112" t="s">
        <v>142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6"/>
    </row>
    <row r="2" spans="1:36" s="2" customFormat="1" ht="16.350000000000001" customHeight="1">
      <c r="A2" s="107" t="s">
        <v>126</v>
      </c>
      <c r="B2" s="107" t="s">
        <v>143</v>
      </c>
      <c r="C2" s="107" t="s">
        <v>144</v>
      </c>
      <c r="D2" s="107" t="s">
        <v>145</v>
      </c>
      <c r="E2" s="107" t="s">
        <v>146</v>
      </c>
      <c r="F2" s="107" t="s">
        <v>147</v>
      </c>
      <c r="G2" s="106"/>
      <c r="H2" s="107" t="s">
        <v>148</v>
      </c>
      <c r="I2" s="106"/>
      <c r="J2" s="107" t="s">
        <v>149</v>
      </c>
      <c r="K2" s="106"/>
      <c r="L2" s="114" t="s">
        <v>150</v>
      </c>
      <c r="M2" s="106"/>
      <c r="N2" s="114" t="s">
        <v>151</v>
      </c>
      <c r="O2" s="106"/>
      <c r="P2" s="114" t="s">
        <v>152</v>
      </c>
      <c r="Q2" s="106"/>
      <c r="R2" s="107" t="s">
        <v>153</v>
      </c>
      <c r="S2" s="106"/>
      <c r="T2" s="107" t="s">
        <v>154</v>
      </c>
      <c r="U2" s="106"/>
      <c r="V2" s="107" t="s">
        <v>155</v>
      </c>
      <c r="W2" s="106"/>
      <c r="X2" s="107" t="s">
        <v>156</v>
      </c>
      <c r="Y2" s="106"/>
      <c r="Z2" s="107" t="s">
        <v>157</v>
      </c>
      <c r="AA2" s="106"/>
      <c r="AB2" s="107" t="s">
        <v>158</v>
      </c>
      <c r="AC2" s="106"/>
      <c r="AD2" s="107" t="s">
        <v>159</v>
      </c>
      <c r="AE2" s="106"/>
      <c r="AF2" s="107" t="s">
        <v>160</v>
      </c>
      <c r="AG2" s="107" t="s">
        <v>161</v>
      </c>
      <c r="AH2" s="107" t="s">
        <v>162</v>
      </c>
      <c r="AI2" s="107" t="s">
        <v>163</v>
      </c>
    </row>
    <row r="3" spans="1:36" s="2" customFormat="1" ht="16.350000000000001" customHeight="1">
      <c r="A3" s="111"/>
      <c r="B3" s="111"/>
      <c r="C3" s="111"/>
      <c r="D3" s="111"/>
      <c r="E3" s="111"/>
      <c r="F3" s="47" t="s">
        <v>164</v>
      </c>
      <c r="G3" s="72" t="s">
        <v>165</v>
      </c>
      <c r="H3" s="47" t="s">
        <v>164</v>
      </c>
      <c r="I3" s="72" t="s">
        <v>165</v>
      </c>
      <c r="J3" s="47" t="s">
        <v>164</v>
      </c>
      <c r="K3" s="72" t="s">
        <v>165</v>
      </c>
      <c r="L3" s="47" t="s">
        <v>164</v>
      </c>
      <c r="M3" s="72" t="s">
        <v>165</v>
      </c>
      <c r="N3" s="47" t="s">
        <v>164</v>
      </c>
      <c r="O3" s="72" t="s">
        <v>165</v>
      </c>
      <c r="P3" s="47" t="s">
        <v>164</v>
      </c>
      <c r="Q3" s="72" t="s">
        <v>165</v>
      </c>
      <c r="R3" s="47" t="s">
        <v>164</v>
      </c>
      <c r="S3" s="72" t="s">
        <v>165</v>
      </c>
      <c r="T3" s="47" t="s">
        <v>164</v>
      </c>
      <c r="U3" s="72" t="s">
        <v>165</v>
      </c>
      <c r="V3" s="47" t="s">
        <v>164</v>
      </c>
      <c r="W3" s="72" t="s">
        <v>165</v>
      </c>
      <c r="X3" s="47" t="s">
        <v>164</v>
      </c>
      <c r="Y3" s="72" t="s">
        <v>165</v>
      </c>
      <c r="Z3" s="72" t="s">
        <v>165</v>
      </c>
      <c r="AA3" s="47" t="s">
        <v>164</v>
      </c>
      <c r="AB3" s="72" t="s">
        <v>165</v>
      </c>
      <c r="AC3" s="47" t="s">
        <v>164</v>
      </c>
      <c r="AD3" s="72" t="s">
        <v>165</v>
      </c>
      <c r="AE3" s="47" t="s">
        <v>164</v>
      </c>
      <c r="AF3" s="111"/>
      <c r="AG3" s="111"/>
      <c r="AH3" s="111"/>
      <c r="AI3" s="111"/>
    </row>
    <row r="4" spans="1:36">
      <c r="A4" s="49">
        <v>1</v>
      </c>
      <c r="B4" s="49" t="s">
        <v>166</v>
      </c>
      <c r="C4" s="49">
        <v>0.55000000000000004</v>
      </c>
      <c r="D4" s="49">
        <v>-0.2</v>
      </c>
      <c r="E4" s="49">
        <v>0.35</v>
      </c>
      <c r="F4" s="48">
        <v>0.55030000000000001</v>
      </c>
      <c r="G4" s="48">
        <v>0.54990000000000006</v>
      </c>
      <c r="H4" s="48">
        <v>-0.19939999999999999</v>
      </c>
      <c r="I4" s="48">
        <v>-0.20039999999999999</v>
      </c>
      <c r="J4" s="48">
        <v>0.39989999999999998</v>
      </c>
      <c r="K4" s="48">
        <v>0.35</v>
      </c>
      <c r="L4" s="48">
        <f t="shared" ref="L4:L23" si="0">ABS(F4-C4)*1000</f>
        <v>0.299999999999967</v>
      </c>
      <c r="M4" s="48">
        <f t="shared" ref="M4:M23" si="1">ABS(G4-C4)*1000</f>
        <v>0.099999999999989</v>
      </c>
      <c r="N4" s="48">
        <f t="shared" ref="N4:N23" si="2">ABS(H4-D4)*1000</f>
        <v>0.600000000000017</v>
      </c>
      <c r="O4" s="48">
        <f t="shared" ref="O4:O23" si="3">ABS(I4-D4)*1000</f>
        <v>0.399999999999984</v>
      </c>
      <c r="P4" s="48">
        <f t="shared" ref="P4:P23" si="4">ABS(J4-E4)*1000</f>
        <v>49.9</v>
      </c>
      <c r="Q4" s="48">
        <f t="shared" ref="Q4:Q23" si="5">ABS(K4-E4)*1000</f>
        <v>0</v>
      </c>
      <c r="R4" s="48">
        <f t="shared" ref="R4:R23" si="6">SQRT(SUMSQ(L4,N4,P4))</f>
        <v>49.9045088143346</v>
      </c>
      <c r="S4" s="48">
        <f t="shared" ref="S4:S23" si="7">SQRT(SUMSQ(M4,O4,Q4))</f>
        <v>0.412310562561748</v>
      </c>
      <c r="T4" s="113">
        <f t="shared" ref="T4:Y4" si="8">_xlfn.STDEV.S(F4:F23)</f>
        <v>0.0769605305540307</v>
      </c>
      <c r="U4" s="113">
        <f t="shared" si="8"/>
        <v>0.0769443098337328</v>
      </c>
      <c r="V4" s="113">
        <f t="shared" si="8"/>
        <v>0.20485821643787</v>
      </c>
      <c r="W4" s="113">
        <f t="shared" si="8"/>
        <v>0.205252630664595</v>
      </c>
      <c r="X4" s="113">
        <f t="shared" si="8"/>
        <v>0.0360222632182991</v>
      </c>
      <c r="Y4" s="113">
        <f t="shared" si="8"/>
        <v>0.0358393403369743</v>
      </c>
      <c r="Z4" s="48">
        <v>0.54990000000000006</v>
      </c>
      <c r="AA4" s="48">
        <v>0.55679999999999996</v>
      </c>
      <c r="AB4" s="48">
        <v>5.7747999999999999</v>
      </c>
      <c r="AC4" s="48">
        <v>8.6632999999999996</v>
      </c>
      <c r="AD4" s="48">
        <f t="shared" ref="AD4:AD23" si="9">AB4+Z4</f>
        <v>6.3247</v>
      </c>
      <c r="AE4" s="48">
        <f t="shared" ref="AE4:AE23" si="10">AC4+AA4</f>
        <v>9.2201</v>
      </c>
      <c r="AF4" s="49" t="s">
        <v>167</v>
      </c>
      <c r="AG4" s="49" t="s">
        <v>168</v>
      </c>
      <c r="AH4" s="49">
        <v>1</v>
      </c>
      <c r="AI4" s="49" t="s">
        <v>137</v>
      </c>
      <c r="AJ4" s="2"/>
    </row>
    <row r="5" spans="1:36">
      <c r="A5" s="49">
        <v>1</v>
      </c>
      <c r="B5" s="49" t="s">
        <v>169</v>
      </c>
      <c r="C5" s="49">
        <v>0.7</v>
      </c>
      <c r="D5" s="49">
        <v>0.2</v>
      </c>
      <c r="E5" s="49">
        <v>0.42</v>
      </c>
      <c r="F5" s="48">
        <v>0.7</v>
      </c>
      <c r="G5" s="48">
        <v>0.70009999999999994</v>
      </c>
      <c r="H5" s="48">
        <v>0.19850000000000001</v>
      </c>
      <c r="I5" s="48">
        <v>0.20030000000000001</v>
      </c>
      <c r="J5" s="48">
        <v>0.47039999999999998</v>
      </c>
      <c r="K5" s="48">
        <v>0.41980000000000001</v>
      </c>
      <c r="L5" s="48">
        <f t="shared" si="0"/>
        <v>0</v>
      </c>
      <c r="M5" s="48">
        <f t="shared" si="1"/>
        <v>0.099999999999989</v>
      </c>
      <c r="N5" s="48">
        <f t="shared" si="2"/>
        <v>1.5</v>
      </c>
      <c r="O5" s="48">
        <f t="shared" si="3"/>
        <v>0.299999999999995</v>
      </c>
      <c r="P5" s="48">
        <f t="shared" si="4"/>
        <v>50.4</v>
      </c>
      <c r="Q5" s="48">
        <f t="shared" si="5"/>
        <v>0.199999999999978</v>
      </c>
      <c r="R5" s="48">
        <f t="shared" si="6"/>
        <v>50.422316487841</v>
      </c>
      <c r="S5" s="48">
        <f t="shared" si="7"/>
        <v>0.374165738677375</v>
      </c>
      <c r="T5" s="110"/>
      <c r="U5" s="110"/>
      <c r="V5" s="110"/>
      <c r="W5" s="110"/>
      <c r="X5" s="110"/>
      <c r="Y5" s="110"/>
      <c r="Z5" s="48">
        <v>0.53769999999999996</v>
      </c>
      <c r="AA5" s="48">
        <v>0.54520000000000002</v>
      </c>
      <c r="AB5" s="48">
        <v>7.0453000000000001</v>
      </c>
      <c r="AC5" s="48">
        <v>8.9175000000000004</v>
      </c>
      <c r="AD5" s="48">
        <f t="shared" si="9"/>
        <v>7.583</v>
      </c>
      <c r="AE5" s="48">
        <f t="shared" si="10"/>
        <v>9.4627</v>
      </c>
      <c r="AF5" s="49" t="s">
        <v>167</v>
      </c>
      <c r="AG5" s="49" t="s">
        <v>168</v>
      </c>
      <c r="AH5" s="49">
        <v>1</v>
      </c>
      <c r="AI5" s="49" t="s">
        <v>137</v>
      </c>
      <c r="AJ5" s="2"/>
    </row>
    <row r="6" spans="1:36">
      <c r="A6" s="49">
        <v>2</v>
      </c>
      <c r="B6" s="49" t="s">
        <v>166</v>
      </c>
      <c r="C6" s="49">
        <v>0.55000000000000004</v>
      </c>
      <c r="D6" s="49">
        <v>-0.2</v>
      </c>
      <c r="E6" s="49">
        <v>0.35</v>
      </c>
      <c r="F6" s="48">
        <v>0.54949999999999999</v>
      </c>
      <c r="G6" s="48">
        <v>0.55030000000000001</v>
      </c>
      <c r="H6" s="48">
        <v>-0.20069999999999999</v>
      </c>
      <c r="I6" s="48">
        <v>-0.20050000000000001</v>
      </c>
      <c r="J6" s="48">
        <v>0.40039999999999998</v>
      </c>
      <c r="K6" s="48">
        <v>0.34960000000000002</v>
      </c>
      <c r="L6" s="48">
        <f t="shared" si="0"/>
        <v>0.500000000000056</v>
      </c>
      <c r="M6" s="48">
        <f t="shared" si="1"/>
        <v>0.299999999999967</v>
      </c>
      <c r="N6" s="48">
        <f t="shared" si="2"/>
        <v>0.699999999999978</v>
      </c>
      <c r="O6" s="48">
        <f t="shared" si="3"/>
        <v>0.5</v>
      </c>
      <c r="P6" s="48">
        <f t="shared" si="4"/>
        <v>50.4</v>
      </c>
      <c r="Q6" s="48">
        <f t="shared" si="5"/>
        <v>0.399999999999956</v>
      </c>
      <c r="R6" s="48">
        <f t="shared" si="6"/>
        <v>50.407340735254</v>
      </c>
      <c r="S6" s="48">
        <f t="shared" si="7"/>
        <v>0.707106781186509</v>
      </c>
      <c r="T6" s="110"/>
      <c r="U6" s="110"/>
      <c r="V6" s="110"/>
      <c r="W6" s="110"/>
      <c r="X6" s="110"/>
      <c r="Y6" s="110"/>
      <c r="Z6" s="48">
        <v>0.54759999999999998</v>
      </c>
      <c r="AA6" s="48">
        <v>0.53969999999999996</v>
      </c>
      <c r="AB6" s="48">
        <v>7.0446999999999997</v>
      </c>
      <c r="AC6" s="48">
        <v>8.3767999999999994</v>
      </c>
      <c r="AD6" s="48">
        <f t="shared" si="9"/>
        <v>7.5923</v>
      </c>
      <c r="AE6" s="48">
        <f t="shared" si="10"/>
        <v>8.9165</v>
      </c>
      <c r="AF6" s="49" t="s">
        <v>167</v>
      </c>
      <c r="AG6" s="49" t="s">
        <v>168</v>
      </c>
      <c r="AH6" s="49">
        <v>1</v>
      </c>
      <c r="AI6" s="49" t="s">
        <v>137</v>
      </c>
      <c r="AJ6" s="2"/>
    </row>
    <row r="7" spans="1:36">
      <c r="A7" s="49">
        <v>2</v>
      </c>
      <c r="B7" s="49" t="s">
        <v>169</v>
      </c>
      <c r="C7" s="49">
        <v>0.7</v>
      </c>
      <c r="D7" s="49">
        <v>0.2</v>
      </c>
      <c r="E7" s="49">
        <v>0.42</v>
      </c>
      <c r="F7" s="48">
        <v>0.70069999999999999</v>
      </c>
      <c r="G7" s="48">
        <v>0.70050000000000001</v>
      </c>
      <c r="H7" s="48">
        <v>0.19900000000000001</v>
      </c>
      <c r="I7" s="48">
        <v>0.20039999999999999</v>
      </c>
      <c r="J7" s="48">
        <v>0.47010000000000002</v>
      </c>
      <c r="K7" s="48">
        <v>0.4204</v>
      </c>
      <c r="L7" s="48">
        <f t="shared" si="0"/>
        <v>0.700000000000034</v>
      </c>
      <c r="M7" s="48">
        <f t="shared" si="1"/>
        <v>0.500000000000056</v>
      </c>
      <c r="N7" s="48">
        <f t="shared" si="2"/>
        <v>1</v>
      </c>
      <c r="O7" s="48">
        <f t="shared" si="3"/>
        <v>0.399999999999984</v>
      </c>
      <c r="P7" s="48">
        <f t="shared" si="4"/>
        <v>50.1</v>
      </c>
      <c r="Q7" s="48">
        <f t="shared" si="5"/>
        <v>0.400000000000011</v>
      </c>
      <c r="R7" s="48">
        <f t="shared" si="6"/>
        <v>50.1148680533034</v>
      </c>
      <c r="S7" s="48">
        <f t="shared" si="7"/>
        <v>0.754983443527109</v>
      </c>
      <c r="T7" s="110"/>
      <c r="U7" s="110"/>
      <c r="V7" s="110"/>
      <c r="W7" s="110"/>
      <c r="X7" s="110"/>
      <c r="Y7" s="110"/>
      <c r="Z7" s="48">
        <v>0.54662999999999995</v>
      </c>
      <c r="AA7" s="48">
        <v>0.52869999999999995</v>
      </c>
      <c r="AB7" s="48">
        <v>7.0579000000000001</v>
      </c>
      <c r="AC7" s="48">
        <v>7.2565</v>
      </c>
      <c r="AD7" s="48">
        <f t="shared" si="9"/>
        <v>7.60453</v>
      </c>
      <c r="AE7" s="48">
        <f t="shared" si="10"/>
        <v>7.7852</v>
      </c>
      <c r="AF7" s="49" t="s">
        <v>167</v>
      </c>
      <c r="AG7" s="49" t="s">
        <v>168</v>
      </c>
      <c r="AH7" s="49">
        <v>1</v>
      </c>
      <c r="AI7" s="49" t="s">
        <v>137</v>
      </c>
      <c r="AJ7" s="2"/>
    </row>
    <row r="8" spans="1:36">
      <c r="A8" s="49">
        <v>3</v>
      </c>
      <c r="B8" s="49" t="s">
        <v>166</v>
      </c>
      <c r="C8" s="49">
        <v>0.55000000000000004</v>
      </c>
      <c r="D8" s="49">
        <v>-0.2</v>
      </c>
      <c r="E8" s="49">
        <v>0.35</v>
      </c>
      <c r="F8" s="48">
        <v>0.54969999999999997</v>
      </c>
      <c r="G8" s="48">
        <v>0.5494</v>
      </c>
      <c r="H8" s="48">
        <v>-0.1996</v>
      </c>
      <c r="I8" s="48">
        <v>-0.19950000000000001</v>
      </c>
      <c r="J8" s="48">
        <v>0.40039999999999998</v>
      </c>
      <c r="K8" s="48">
        <v>0.35039999999999999</v>
      </c>
      <c r="L8" s="48">
        <f t="shared" si="0"/>
        <v>0.300000000000078</v>
      </c>
      <c r="M8" s="48">
        <f t="shared" si="1"/>
        <v>0.600000000000045</v>
      </c>
      <c r="N8" s="48">
        <f t="shared" si="2"/>
        <v>0.400000000000011</v>
      </c>
      <c r="O8" s="48">
        <f t="shared" si="3"/>
        <v>0.5</v>
      </c>
      <c r="P8" s="48">
        <f t="shared" si="4"/>
        <v>50.4</v>
      </c>
      <c r="Q8" s="48">
        <f t="shared" si="5"/>
        <v>0.400000000000011</v>
      </c>
      <c r="R8" s="48">
        <f t="shared" si="6"/>
        <v>50.4024800977095</v>
      </c>
      <c r="S8" s="48">
        <f t="shared" si="7"/>
        <v>0.877496438739248</v>
      </c>
      <c r="T8" s="110"/>
      <c r="U8" s="110"/>
      <c r="V8" s="110"/>
      <c r="W8" s="110"/>
      <c r="X8" s="110"/>
      <c r="Y8" s="110"/>
      <c r="Z8" s="48">
        <v>0.55059999999999998</v>
      </c>
      <c r="AA8" s="48">
        <v>0.52580000000000005</v>
      </c>
      <c r="AB8" s="48">
        <v>7.0635000000000003</v>
      </c>
      <c r="AC8" s="48">
        <v>8.7324999999999999</v>
      </c>
      <c r="AD8" s="48">
        <f t="shared" si="9"/>
        <v>7.6141</v>
      </c>
      <c r="AE8" s="48">
        <f t="shared" si="10"/>
        <v>9.2583</v>
      </c>
      <c r="AF8" s="49" t="s">
        <v>167</v>
      </c>
      <c r="AG8" s="49" t="s">
        <v>168</v>
      </c>
      <c r="AH8" s="49">
        <v>1</v>
      </c>
      <c r="AI8" s="49" t="s">
        <v>137</v>
      </c>
      <c r="AJ8" s="2"/>
    </row>
    <row r="9" spans="1:36">
      <c r="A9" s="49">
        <v>3</v>
      </c>
      <c r="B9" s="49" t="s">
        <v>169</v>
      </c>
      <c r="C9" s="49">
        <v>0.7</v>
      </c>
      <c r="D9" s="49">
        <v>0.2</v>
      </c>
      <c r="E9" s="49">
        <v>0.42</v>
      </c>
      <c r="F9" s="48">
        <v>0.70099999999999996</v>
      </c>
      <c r="G9" s="48">
        <v>0.70020000000000004</v>
      </c>
      <c r="H9" s="48">
        <v>0.19919999999999999</v>
      </c>
      <c r="I9" s="48">
        <v>0.1996</v>
      </c>
      <c r="J9" s="48">
        <v>0.47020000000000001</v>
      </c>
      <c r="K9" s="48">
        <v>0.4204</v>
      </c>
      <c r="L9" s="48">
        <f t="shared" si="0"/>
        <v>1</v>
      </c>
      <c r="M9" s="48">
        <f t="shared" si="1"/>
        <v>0.200000000000089</v>
      </c>
      <c r="N9" s="48">
        <f t="shared" si="2"/>
        <v>0.800000000000023</v>
      </c>
      <c r="O9" s="48">
        <f t="shared" si="3"/>
        <v>0.400000000000011</v>
      </c>
      <c r="P9" s="48">
        <f t="shared" si="4"/>
        <v>50.2</v>
      </c>
      <c r="Q9" s="48">
        <f t="shared" si="5"/>
        <v>0.400000000000011</v>
      </c>
      <c r="R9" s="48">
        <f t="shared" si="6"/>
        <v>50.2163320046377</v>
      </c>
      <c r="S9" s="48">
        <f t="shared" si="7"/>
        <v>0.600000000000045</v>
      </c>
      <c r="T9" s="110"/>
      <c r="U9" s="110"/>
      <c r="V9" s="110"/>
      <c r="W9" s="110"/>
      <c r="X9" s="110"/>
      <c r="Y9" s="110"/>
      <c r="Z9" s="48">
        <v>0.60240000000000005</v>
      </c>
      <c r="AA9" s="48">
        <v>0.54790000000000005</v>
      </c>
      <c r="AB9" s="48">
        <v>7.0442999999999998</v>
      </c>
      <c r="AC9" s="48">
        <v>9.6723999999999997</v>
      </c>
      <c r="AD9" s="48">
        <f t="shared" si="9"/>
        <v>7.6467</v>
      </c>
      <c r="AE9" s="48">
        <f t="shared" si="10"/>
        <v>10.2203</v>
      </c>
      <c r="AF9" s="49" t="s">
        <v>167</v>
      </c>
      <c r="AG9" s="49" t="s">
        <v>168</v>
      </c>
      <c r="AH9" s="49">
        <v>1</v>
      </c>
      <c r="AI9" s="49" t="s">
        <v>137</v>
      </c>
      <c r="AJ9" s="2"/>
    </row>
    <row r="10" spans="1:36">
      <c r="A10" s="49">
        <v>4</v>
      </c>
      <c r="B10" s="49" t="s">
        <v>166</v>
      </c>
      <c r="C10" s="49">
        <v>0.55000000000000004</v>
      </c>
      <c r="D10" s="49">
        <v>-0.2</v>
      </c>
      <c r="E10" s="49">
        <v>0.35</v>
      </c>
      <c r="F10" s="48">
        <v>0.54969999999999997</v>
      </c>
      <c r="G10" s="48">
        <v>0.54959999999999998</v>
      </c>
      <c r="H10" s="48">
        <v>-0.20050000000000001</v>
      </c>
      <c r="I10" s="48">
        <v>-0.19950000000000001</v>
      </c>
      <c r="J10" s="48">
        <v>0.3992</v>
      </c>
      <c r="K10" s="48">
        <v>0.35039999999999999</v>
      </c>
      <c r="L10" s="48">
        <f t="shared" si="0"/>
        <v>0.300000000000078</v>
      </c>
      <c r="M10" s="48">
        <f t="shared" si="1"/>
        <v>0.400000000000067</v>
      </c>
      <c r="N10" s="48">
        <f t="shared" si="2"/>
        <v>0.5</v>
      </c>
      <c r="O10" s="48">
        <f t="shared" si="3"/>
        <v>0.5</v>
      </c>
      <c r="P10" s="48">
        <f t="shared" si="4"/>
        <v>49.2</v>
      </c>
      <c r="Q10" s="48">
        <f t="shared" si="5"/>
        <v>0.400000000000011</v>
      </c>
      <c r="R10" s="48">
        <f t="shared" si="6"/>
        <v>49.2034551632302</v>
      </c>
      <c r="S10" s="48">
        <f t="shared" si="7"/>
        <v>0.754983443527117</v>
      </c>
      <c r="T10" s="110"/>
      <c r="U10" s="110"/>
      <c r="V10" s="110"/>
      <c r="W10" s="110"/>
      <c r="X10" s="110"/>
      <c r="Y10" s="110"/>
      <c r="Z10" s="48">
        <v>0.55059999999999998</v>
      </c>
      <c r="AA10" s="48">
        <v>0.53590000000000004</v>
      </c>
      <c r="AB10" s="48">
        <v>7.0635000000000003</v>
      </c>
      <c r="AC10" s="48">
        <v>8.8218999999999994</v>
      </c>
      <c r="AD10" s="48">
        <f t="shared" si="9"/>
        <v>7.6141</v>
      </c>
      <c r="AE10" s="48">
        <f t="shared" si="10"/>
        <v>9.3578</v>
      </c>
      <c r="AF10" s="49" t="s">
        <v>167</v>
      </c>
      <c r="AG10" s="49" t="s">
        <v>168</v>
      </c>
      <c r="AH10" s="49">
        <v>1</v>
      </c>
      <c r="AI10" s="49" t="s">
        <v>137</v>
      </c>
      <c r="AJ10" s="2"/>
    </row>
    <row r="11" spans="1:36">
      <c r="A11" s="49">
        <v>4</v>
      </c>
      <c r="B11" s="49" t="s">
        <v>169</v>
      </c>
      <c r="C11" s="49">
        <v>0.7</v>
      </c>
      <c r="D11" s="49">
        <v>0.2</v>
      </c>
      <c r="E11" s="49">
        <v>0.42</v>
      </c>
      <c r="F11" s="48">
        <v>0.69889999999999997</v>
      </c>
      <c r="G11" s="48">
        <v>0.70020000000000004</v>
      </c>
      <c r="H11" s="48">
        <v>0.1996</v>
      </c>
      <c r="I11" s="48">
        <v>0.1996</v>
      </c>
      <c r="J11" s="48">
        <v>0.4698</v>
      </c>
      <c r="K11" s="48">
        <v>0.4204</v>
      </c>
      <c r="L11" s="48">
        <f t="shared" si="0"/>
        <v>1.09999999999999</v>
      </c>
      <c r="M11" s="48">
        <f t="shared" si="1"/>
        <v>0.200000000000089</v>
      </c>
      <c r="N11" s="48">
        <f t="shared" si="2"/>
        <v>0.400000000000011</v>
      </c>
      <c r="O11" s="48">
        <f t="shared" si="3"/>
        <v>0.400000000000011</v>
      </c>
      <c r="P11" s="48">
        <f t="shared" si="4"/>
        <v>49.8</v>
      </c>
      <c r="Q11" s="48">
        <f t="shared" si="5"/>
        <v>0.400000000000011</v>
      </c>
      <c r="R11" s="48">
        <f t="shared" si="6"/>
        <v>49.8137531210006</v>
      </c>
      <c r="S11" s="48">
        <f t="shared" si="7"/>
        <v>0.600000000000045</v>
      </c>
      <c r="T11" s="110"/>
      <c r="U11" s="110"/>
      <c r="V11" s="110"/>
      <c r="W11" s="110"/>
      <c r="X11" s="110"/>
      <c r="Y11" s="110"/>
      <c r="Z11" s="48">
        <v>0.60240000000000005</v>
      </c>
      <c r="AA11" s="48">
        <v>0.43309999999999998</v>
      </c>
      <c r="AB11" s="48">
        <v>7.0442999999999998</v>
      </c>
      <c r="AC11" s="48">
        <v>7.2138</v>
      </c>
      <c r="AD11" s="48">
        <f t="shared" si="9"/>
        <v>7.6467</v>
      </c>
      <c r="AE11" s="48">
        <f t="shared" si="10"/>
        <v>7.6469</v>
      </c>
      <c r="AF11" s="49" t="s">
        <v>167</v>
      </c>
      <c r="AG11" s="49" t="s">
        <v>168</v>
      </c>
      <c r="AH11" s="49">
        <v>1</v>
      </c>
      <c r="AI11" s="49" t="s">
        <v>137</v>
      </c>
      <c r="AJ11" s="2"/>
    </row>
    <row r="12" spans="1:36">
      <c r="A12" s="49">
        <v>5</v>
      </c>
      <c r="B12" s="49" t="s">
        <v>166</v>
      </c>
      <c r="C12" s="49">
        <v>0.55000000000000004</v>
      </c>
      <c r="D12" s="49">
        <v>-0.2</v>
      </c>
      <c r="E12" s="49">
        <v>0.35</v>
      </c>
      <c r="F12" s="48">
        <v>0.54949999999999999</v>
      </c>
      <c r="G12" s="48">
        <v>0.55030000000000001</v>
      </c>
      <c r="H12" s="48">
        <v>-0.20080000000000001</v>
      </c>
      <c r="I12" s="48">
        <v>-0.20080000000000001</v>
      </c>
      <c r="J12" s="48">
        <v>0.4012</v>
      </c>
      <c r="K12" s="48">
        <v>0.34960000000000002</v>
      </c>
      <c r="L12" s="48">
        <f t="shared" si="0"/>
        <v>0.500000000000056</v>
      </c>
      <c r="M12" s="48">
        <f t="shared" si="1"/>
        <v>0.299999999999967</v>
      </c>
      <c r="N12" s="48">
        <f t="shared" si="2"/>
        <v>0.799999999999995</v>
      </c>
      <c r="O12" s="48">
        <f t="shared" si="3"/>
        <v>0.799999999999995</v>
      </c>
      <c r="P12" s="48">
        <f t="shared" si="4"/>
        <v>51.2</v>
      </c>
      <c r="Q12" s="48">
        <f t="shared" si="5"/>
        <v>0.399999999999956</v>
      </c>
      <c r="R12" s="48">
        <f t="shared" si="6"/>
        <v>51.2086906686746</v>
      </c>
      <c r="S12" s="48">
        <f t="shared" si="7"/>
        <v>0.943398113205627</v>
      </c>
      <c r="T12" s="110"/>
      <c r="U12" s="110"/>
      <c r="V12" s="110"/>
      <c r="W12" s="110"/>
      <c r="X12" s="110"/>
      <c r="Y12" s="110"/>
      <c r="Z12" s="48">
        <v>0.53380000000000005</v>
      </c>
      <c r="AA12" s="48">
        <v>0.54039999999999999</v>
      </c>
      <c r="AB12" s="48">
        <v>7.0511999999999997</v>
      </c>
      <c r="AC12" s="48">
        <v>8.3638999999999992</v>
      </c>
      <c r="AD12" s="48">
        <f t="shared" si="9"/>
        <v>7.585</v>
      </c>
      <c r="AE12" s="48">
        <f t="shared" si="10"/>
        <v>8.9043</v>
      </c>
      <c r="AF12" s="49" t="s">
        <v>167</v>
      </c>
      <c r="AG12" s="49" t="s">
        <v>168</v>
      </c>
      <c r="AH12" s="49">
        <v>1</v>
      </c>
      <c r="AI12" s="49" t="s">
        <v>137</v>
      </c>
      <c r="AJ12" s="2"/>
    </row>
    <row r="13" spans="1:36">
      <c r="A13" s="49">
        <v>5</v>
      </c>
      <c r="B13" s="49" t="s">
        <v>169</v>
      </c>
      <c r="C13" s="49">
        <v>0.7</v>
      </c>
      <c r="D13" s="49">
        <v>0.2</v>
      </c>
      <c r="E13" s="49">
        <v>0.42</v>
      </c>
      <c r="F13" s="48">
        <v>0.70009999999999994</v>
      </c>
      <c r="G13" s="48">
        <v>0.6996</v>
      </c>
      <c r="H13" s="48">
        <v>0.19889999999999999</v>
      </c>
      <c r="I13" s="48">
        <v>0.2006</v>
      </c>
      <c r="J13" s="48">
        <v>0.47089999999999999</v>
      </c>
      <c r="K13" s="48">
        <v>0.42009999999999997</v>
      </c>
      <c r="L13" s="48">
        <f t="shared" si="0"/>
        <v>0.099999999999989</v>
      </c>
      <c r="M13" s="48">
        <f t="shared" si="1"/>
        <v>0.399999999999956</v>
      </c>
      <c r="N13" s="48">
        <f t="shared" si="2"/>
        <v>1.10000000000002</v>
      </c>
      <c r="O13" s="48">
        <f t="shared" si="3"/>
        <v>0.599999999999989</v>
      </c>
      <c r="P13" s="48">
        <f t="shared" si="4"/>
        <v>50.9</v>
      </c>
      <c r="Q13" s="48">
        <f t="shared" si="5"/>
        <v>0.099999999999989</v>
      </c>
      <c r="R13" s="48">
        <f t="shared" si="6"/>
        <v>50.9119828724044</v>
      </c>
      <c r="S13" s="48">
        <f t="shared" si="7"/>
        <v>0.728010988928017</v>
      </c>
      <c r="T13" s="110"/>
      <c r="U13" s="110"/>
      <c r="V13" s="110"/>
      <c r="W13" s="110"/>
      <c r="X13" s="110"/>
      <c r="Y13" s="110"/>
      <c r="Z13" s="48">
        <v>0.6472</v>
      </c>
      <c r="AA13" s="48">
        <v>0.52839999999999998</v>
      </c>
      <c r="AB13" s="48">
        <v>7.0461</v>
      </c>
      <c r="AC13" s="48">
        <v>7.2702999999999998</v>
      </c>
      <c r="AD13" s="48">
        <f t="shared" si="9"/>
        <v>7.6933</v>
      </c>
      <c r="AE13" s="48">
        <f t="shared" si="10"/>
        <v>7.7987</v>
      </c>
      <c r="AF13" s="49" t="s">
        <v>167</v>
      </c>
      <c r="AG13" s="49" t="s">
        <v>168</v>
      </c>
      <c r="AH13" s="49">
        <v>1</v>
      </c>
      <c r="AI13" s="49" t="s">
        <v>137</v>
      </c>
      <c r="AJ13" s="2"/>
    </row>
    <row r="14" spans="1:36">
      <c r="A14" s="49">
        <v>6</v>
      </c>
      <c r="B14" s="49" t="s">
        <v>166</v>
      </c>
      <c r="C14" s="49">
        <v>0.55000000000000004</v>
      </c>
      <c r="D14" s="49">
        <v>-0.2</v>
      </c>
      <c r="E14" s="49">
        <v>0.35</v>
      </c>
      <c r="F14" s="48">
        <v>0.55000000000000004</v>
      </c>
      <c r="G14" s="48">
        <v>0.54990000000000006</v>
      </c>
      <c r="H14" s="48">
        <v>-0.19939999999999999</v>
      </c>
      <c r="I14" s="48">
        <v>-0.20069999999999999</v>
      </c>
      <c r="J14" s="48">
        <v>0.40039999999999998</v>
      </c>
      <c r="K14" s="48">
        <v>0.35010000000000002</v>
      </c>
      <c r="L14" s="48">
        <f t="shared" si="0"/>
        <v>0</v>
      </c>
      <c r="M14" s="48">
        <f t="shared" si="1"/>
        <v>0.099999999999989</v>
      </c>
      <c r="N14" s="48">
        <f t="shared" si="2"/>
        <v>0.600000000000017</v>
      </c>
      <c r="O14" s="48">
        <f t="shared" si="3"/>
        <v>0.699999999999978</v>
      </c>
      <c r="P14" s="48">
        <f t="shared" si="4"/>
        <v>50.4</v>
      </c>
      <c r="Q14" s="48">
        <f t="shared" si="5"/>
        <v>0.100000000000045</v>
      </c>
      <c r="R14" s="48">
        <f t="shared" si="6"/>
        <v>50.4035713020417</v>
      </c>
      <c r="S14" s="48">
        <f t="shared" si="7"/>
        <v>0.714142842854269</v>
      </c>
      <c r="T14" s="110"/>
      <c r="U14" s="110"/>
      <c r="V14" s="110"/>
      <c r="W14" s="110"/>
      <c r="X14" s="110"/>
      <c r="Y14" s="110"/>
      <c r="Z14" s="48">
        <v>0.54510000000000003</v>
      </c>
      <c r="AA14" s="48">
        <v>0.55800000000000005</v>
      </c>
      <c r="AB14" s="48">
        <v>7.0570000000000004</v>
      </c>
      <c r="AC14" s="48">
        <v>9.6507000000000005</v>
      </c>
      <c r="AD14" s="48">
        <f t="shared" si="9"/>
        <v>7.6021</v>
      </c>
      <c r="AE14" s="48">
        <f t="shared" si="10"/>
        <v>10.2087</v>
      </c>
      <c r="AF14" s="49" t="s">
        <v>167</v>
      </c>
      <c r="AG14" s="49" t="s">
        <v>168</v>
      </c>
      <c r="AH14" s="49">
        <v>1</v>
      </c>
      <c r="AI14" s="49" t="s">
        <v>137</v>
      </c>
      <c r="AJ14" s="2"/>
    </row>
    <row r="15" spans="1:36">
      <c r="A15" s="49">
        <v>6</v>
      </c>
      <c r="B15" s="49" t="s">
        <v>169</v>
      </c>
      <c r="C15" s="49">
        <v>0.7</v>
      </c>
      <c r="D15" s="49">
        <v>0.2</v>
      </c>
      <c r="E15" s="49">
        <v>0.42</v>
      </c>
      <c r="F15" s="48">
        <v>0.70040000000000002</v>
      </c>
      <c r="G15" s="48">
        <v>0.69969999999999999</v>
      </c>
      <c r="H15" s="48">
        <v>0.2001</v>
      </c>
      <c r="I15" s="48">
        <v>0.19969999999999999</v>
      </c>
      <c r="J15" s="48">
        <v>0.47139999999999999</v>
      </c>
      <c r="K15" s="48">
        <v>0.41949999999999998</v>
      </c>
      <c r="L15" s="48">
        <f t="shared" si="0"/>
        <v>0.400000000000067</v>
      </c>
      <c r="M15" s="48">
        <f t="shared" si="1"/>
        <v>0.299999999999967</v>
      </c>
      <c r="N15" s="48">
        <f t="shared" si="2"/>
        <v>0.099999999999989</v>
      </c>
      <c r="O15" s="48">
        <f t="shared" si="3"/>
        <v>0.300000000000022</v>
      </c>
      <c r="P15" s="48">
        <f t="shared" si="4"/>
        <v>51.4</v>
      </c>
      <c r="Q15" s="48">
        <f t="shared" si="5"/>
        <v>0.5</v>
      </c>
      <c r="R15" s="48">
        <f t="shared" si="6"/>
        <v>51.4016536698967</v>
      </c>
      <c r="S15" s="48">
        <f t="shared" si="7"/>
        <v>0.655743852430196</v>
      </c>
      <c r="T15" s="110"/>
      <c r="U15" s="110"/>
      <c r="V15" s="110"/>
      <c r="W15" s="110"/>
      <c r="X15" s="110"/>
      <c r="Y15" s="110"/>
      <c r="Z15" s="48">
        <v>0.55089999999999995</v>
      </c>
      <c r="AA15" s="48">
        <v>0.53979999999999995</v>
      </c>
      <c r="AB15" s="48">
        <v>7.0517000000000003</v>
      </c>
      <c r="AC15" s="48">
        <v>9.0370000000000008</v>
      </c>
      <c r="AD15" s="48">
        <f t="shared" si="9"/>
        <v>7.6026</v>
      </c>
      <c r="AE15" s="48">
        <f t="shared" si="10"/>
        <v>9.5768</v>
      </c>
      <c r="AF15" s="49" t="s">
        <v>167</v>
      </c>
      <c r="AG15" s="49" t="s">
        <v>168</v>
      </c>
      <c r="AH15" s="49">
        <v>1</v>
      </c>
      <c r="AI15" s="49" t="s">
        <v>137</v>
      </c>
      <c r="AJ15" s="2"/>
    </row>
    <row r="16" spans="1:36">
      <c r="A16" s="49">
        <v>7</v>
      </c>
      <c r="B16" s="49" t="s">
        <v>166</v>
      </c>
      <c r="C16" s="49">
        <v>0.55000000000000004</v>
      </c>
      <c r="D16" s="49">
        <v>-0.2</v>
      </c>
      <c r="E16" s="49">
        <v>0.35</v>
      </c>
      <c r="F16" s="48">
        <v>0.55010000000000003</v>
      </c>
      <c r="G16" s="48">
        <v>0.55049999999999999</v>
      </c>
      <c r="H16" s="48">
        <v>-0.1993</v>
      </c>
      <c r="I16" s="48">
        <v>-0.2001</v>
      </c>
      <c r="J16" s="48">
        <v>0.4002</v>
      </c>
      <c r="K16" s="48">
        <v>0.35039999999999999</v>
      </c>
      <c r="L16" s="48">
        <f t="shared" si="0"/>
        <v>0.099999999999989</v>
      </c>
      <c r="M16" s="48">
        <f t="shared" si="1"/>
        <v>0.499999999999945</v>
      </c>
      <c r="N16" s="48">
        <f t="shared" si="2"/>
        <v>0.700000000000006</v>
      </c>
      <c r="O16" s="48">
        <f t="shared" si="3"/>
        <v>0.099999999999989</v>
      </c>
      <c r="P16" s="48">
        <f t="shared" si="4"/>
        <v>50.2</v>
      </c>
      <c r="Q16" s="48">
        <f t="shared" si="5"/>
        <v>0.400000000000011</v>
      </c>
      <c r="R16" s="48">
        <f t="shared" si="6"/>
        <v>50.204979832682</v>
      </c>
      <c r="S16" s="48">
        <f t="shared" si="7"/>
        <v>0.648074069840749</v>
      </c>
      <c r="T16" s="110"/>
      <c r="U16" s="110"/>
      <c r="V16" s="110"/>
      <c r="W16" s="110"/>
      <c r="X16" s="110"/>
      <c r="Y16" s="110"/>
      <c r="Z16" s="48">
        <v>0.5222</v>
      </c>
      <c r="AA16" s="48">
        <v>0.55569999999999997</v>
      </c>
      <c r="AB16" s="48">
        <v>7.0449000000000002</v>
      </c>
      <c r="AC16" s="48">
        <v>8.8341999999999992</v>
      </c>
      <c r="AD16" s="48">
        <f t="shared" si="9"/>
        <v>7.5671</v>
      </c>
      <c r="AE16" s="48">
        <f t="shared" si="10"/>
        <v>9.3899</v>
      </c>
      <c r="AF16" s="49" t="s">
        <v>167</v>
      </c>
      <c r="AG16" s="49" t="s">
        <v>168</v>
      </c>
      <c r="AH16" s="49">
        <v>1</v>
      </c>
      <c r="AI16" s="49" t="s">
        <v>137</v>
      </c>
      <c r="AJ16" s="2"/>
    </row>
    <row r="17" spans="1:36">
      <c r="A17" s="49">
        <v>7</v>
      </c>
      <c r="B17" s="49" t="s">
        <v>169</v>
      </c>
      <c r="C17" s="49">
        <v>0.7</v>
      </c>
      <c r="D17" s="49">
        <v>0.2</v>
      </c>
      <c r="E17" s="49">
        <v>0.42</v>
      </c>
      <c r="F17" s="48">
        <v>0.70020000000000004</v>
      </c>
      <c r="G17" s="48">
        <v>0.70020000000000004</v>
      </c>
      <c r="H17" s="48">
        <v>0.2001</v>
      </c>
      <c r="I17" s="48">
        <v>0.2001</v>
      </c>
      <c r="J17" s="48">
        <v>0.4708</v>
      </c>
      <c r="K17" s="48">
        <v>0.42</v>
      </c>
      <c r="L17" s="48">
        <f t="shared" si="0"/>
        <v>0.200000000000089</v>
      </c>
      <c r="M17" s="48">
        <f t="shared" si="1"/>
        <v>0.200000000000089</v>
      </c>
      <c r="N17" s="48">
        <f t="shared" si="2"/>
        <v>0.099999999999989</v>
      </c>
      <c r="O17" s="48">
        <f t="shared" si="3"/>
        <v>0.099999999999989</v>
      </c>
      <c r="P17" s="48">
        <f t="shared" si="4"/>
        <v>50.8</v>
      </c>
      <c r="Q17" s="48">
        <f t="shared" si="5"/>
        <v>0</v>
      </c>
      <c r="R17" s="48">
        <f t="shared" si="6"/>
        <v>50.8004921236006</v>
      </c>
      <c r="S17" s="48">
        <f t="shared" si="7"/>
        <v>0.223606797750054</v>
      </c>
      <c r="T17" s="110"/>
      <c r="U17" s="110"/>
      <c r="V17" s="110"/>
      <c r="W17" s="110"/>
      <c r="X17" s="110"/>
      <c r="Y17" s="110"/>
      <c r="Z17" s="48">
        <v>0.54720000000000002</v>
      </c>
      <c r="AA17" s="48">
        <v>0.56899999999999995</v>
      </c>
      <c r="AB17" s="48">
        <v>7.0785</v>
      </c>
      <c r="AC17" s="48">
        <v>9.1242000000000001</v>
      </c>
      <c r="AD17" s="48">
        <f t="shared" si="9"/>
        <v>7.6257</v>
      </c>
      <c r="AE17" s="48">
        <f t="shared" si="10"/>
        <v>9.6932</v>
      </c>
      <c r="AF17" s="49" t="s">
        <v>167</v>
      </c>
      <c r="AG17" s="49" t="s">
        <v>168</v>
      </c>
      <c r="AH17" s="49">
        <v>1</v>
      </c>
      <c r="AI17" s="49" t="s">
        <v>137</v>
      </c>
      <c r="AJ17" s="2"/>
    </row>
    <row r="18" spans="1:36">
      <c r="A18" s="49">
        <v>8</v>
      </c>
      <c r="B18" s="49" t="s">
        <v>166</v>
      </c>
      <c r="C18" s="49">
        <v>0.55000000000000004</v>
      </c>
      <c r="D18" s="49">
        <v>-0.2</v>
      </c>
      <c r="E18" s="49">
        <v>0.35</v>
      </c>
      <c r="F18" s="48">
        <v>0.55079999999999996</v>
      </c>
      <c r="G18" s="48">
        <v>0.5494</v>
      </c>
      <c r="H18" s="48">
        <v>-0.19939999999999999</v>
      </c>
      <c r="I18" s="48">
        <v>-0.2</v>
      </c>
      <c r="J18" s="48">
        <v>0.4</v>
      </c>
      <c r="K18" s="48">
        <v>0.35070000000000001</v>
      </c>
      <c r="L18" s="48">
        <f t="shared" si="0"/>
        <v>0.799999999999912</v>
      </c>
      <c r="M18" s="48">
        <f t="shared" si="1"/>
        <v>0.600000000000045</v>
      </c>
      <c r="N18" s="48">
        <f t="shared" si="2"/>
        <v>0.600000000000017</v>
      </c>
      <c r="O18" s="48">
        <f t="shared" si="3"/>
        <v>0</v>
      </c>
      <c r="P18" s="48">
        <f t="shared" si="4"/>
        <v>50</v>
      </c>
      <c r="Q18" s="48">
        <f t="shared" si="5"/>
        <v>0.700000000000034</v>
      </c>
      <c r="R18" s="48">
        <f t="shared" si="6"/>
        <v>50.0099990002</v>
      </c>
      <c r="S18" s="48">
        <f t="shared" si="7"/>
        <v>0.921954445729344</v>
      </c>
      <c r="T18" s="110"/>
      <c r="U18" s="110"/>
      <c r="V18" s="110"/>
      <c r="W18" s="110"/>
      <c r="X18" s="110"/>
      <c r="Y18" s="110"/>
      <c r="Z18" s="48">
        <v>0.54979999999999996</v>
      </c>
      <c r="AA18" s="48">
        <v>0.55379999999999996</v>
      </c>
      <c r="AB18" s="48">
        <v>7.0464000000000002</v>
      </c>
      <c r="AC18" s="48">
        <v>8.9811999999999994</v>
      </c>
      <c r="AD18" s="48">
        <f t="shared" si="9"/>
        <v>7.5962</v>
      </c>
      <c r="AE18" s="48">
        <f t="shared" si="10"/>
        <v>9.535</v>
      </c>
      <c r="AF18" s="49" t="s">
        <v>167</v>
      </c>
      <c r="AG18" s="49" t="s">
        <v>168</v>
      </c>
      <c r="AH18" s="49">
        <v>1</v>
      </c>
      <c r="AI18" s="49" t="s">
        <v>137</v>
      </c>
      <c r="AJ18" s="2"/>
    </row>
    <row r="19" spans="1:36">
      <c r="A19" s="49">
        <v>8</v>
      </c>
      <c r="B19" s="49" t="s">
        <v>169</v>
      </c>
      <c r="C19" s="49">
        <v>0.7</v>
      </c>
      <c r="D19" s="49">
        <v>0.2</v>
      </c>
      <c r="E19" s="49">
        <v>0.42</v>
      </c>
      <c r="F19" s="48">
        <v>0.69940000000000002</v>
      </c>
      <c r="G19" s="48">
        <v>0.6996</v>
      </c>
      <c r="H19" s="48">
        <v>0.19980000000000001</v>
      </c>
      <c r="I19" s="48">
        <v>0.20030000000000001</v>
      </c>
      <c r="J19" s="48">
        <v>0.4703</v>
      </c>
      <c r="K19" s="48">
        <v>0.41959999999999997</v>
      </c>
      <c r="L19" s="48">
        <f t="shared" si="0"/>
        <v>0.599999999999934</v>
      </c>
      <c r="M19" s="48">
        <f t="shared" si="1"/>
        <v>0.399999999999956</v>
      </c>
      <c r="N19" s="48">
        <f t="shared" si="2"/>
        <v>0.200000000000006</v>
      </c>
      <c r="O19" s="48">
        <f t="shared" si="3"/>
        <v>0.299999999999995</v>
      </c>
      <c r="P19" s="48">
        <f t="shared" si="4"/>
        <v>50.3</v>
      </c>
      <c r="Q19" s="48">
        <f t="shared" si="5"/>
        <v>0.400000000000011</v>
      </c>
      <c r="R19" s="48">
        <f t="shared" si="6"/>
        <v>50.3039759859994</v>
      </c>
      <c r="S19" s="48">
        <f t="shared" si="7"/>
        <v>0.640312423743262</v>
      </c>
      <c r="T19" s="110"/>
      <c r="U19" s="110"/>
      <c r="V19" s="110"/>
      <c r="W19" s="110"/>
      <c r="X19" s="110"/>
      <c r="Y19" s="110"/>
      <c r="Z19" s="48">
        <v>0.54169999999999996</v>
      </c>
      <c r="AA19" s="48">
        <v>0.53480000000000005</v>
      </c>
      <c r="AB19" s="48">
        <v>7.0357000000000003</v>
      </c>
      <c r="AC19" s="48">
        <v>9.0427</v>
      </c>
      <c r="AD19" s="48">
        <f t="shared" si="9"/>
        <v>7.5774</v>
      </c>
      <c r="AE19" s="48">
        <f t="shared" si="10"/>
        <v>9.5775</v>
      </c>
      <c r="AF19" s="49" t="s">
        <v>167</v>
      </c>
      <c r="AG19" s="49" t="s">
        <v>168</v>
      </c>
      <c r="AH19" s="49">
        <v>1</v>
      </c>
      <c r="AI19" s="49" t="s">
        <v>137</v>
      </c>
      <c r="AJ19" s="2"/>
    </row>
    <row r="20" spans="1:36">
      <c r="A20" s="49">
        <v>9</v>
      </c>
      <c r="B20" s="49" t="s">
        <v>166</v>
      </c>
      <c r="C20" s="49">
        <v>0.55000000000000004</v>
      </c>
      <c r="D20" s="49">
        <v>-0.2</v>
      </c>
      <c r="E20" s="49">
        <v>0.35</v>
      </c>
      <c r="F20" s="48">
        <v>0.55089999999999995</v>
      </c>
      <c r="G20" s="48">
        <v>0.55030000000000001</v>
      </c>
      <c r="H20" s="48">
        <v>-0.19939999999999999</v>
      </c>
      <c r="I20" s="48">
        <v>-0.19989999999999999</v>
      </c>
      <c r="J20" s="48">
        <v>0.39950000000000002</v>
      </c>
      <c r="K20" s="48">
        <v>0.3503</v>
      </c>
      <c r="L20" s="48">
        <f t="shared" si="0"/>
        <v>0.899999999999901</v>
      </c>
      <c r="M20" s="48">
        <f t="shared" si="1"/>
        <v>0.299999999999967</v>
      </c>
      <c r="N20" s="48">
        <f t="shared" si="2"/>
        <v>0.600000000000017</v>
      </c>
      <c r="O20" s="48">
        <f t="shared" si="3"/>
        <v>0.100000000000017</v>
      </c>
      <c r="P20" s="48">
        <f t="shared" si="4"/>
        <v>49.5</v>
      </c>
      <c r="Q20" s="48">
        <f t="shared" si="5"/>
        <v>0.300000000000022</v>
      </c>
      <c r="R20" s="48">
        <f t="shared" si="6"/>
        <v>49.5118167713527</v>
      </c>
      <c r="S20" s="48">
        <f t="shared" si="7"/>
        <v>0.435889894354064</v>
      </c>
      <c r="T20" s="110"/>
      <c r="U20" s="110"/>
      <c r="V20" s="110"/>
      <c r="W20" s="110"/>
      <c r="X20" s="110"/>
      <c r="Y20" s="110"/>
      <c r="Z20" s="48">
        <v>0.54979999999999996</v>
      </c>
      <c r="AA20" s="48">
        <v>0.55959999999999999</v>
      </c>
      <c r="AB20" s="48">
        <v>7.0521000000000003</v>
      </c>
      <c r="AC20" s="48">
        <v>10.120900000000001</v>
      </c>
      <c r="AD20" s="48">
        <f t="shared" si="9"/>
        <v>7.6019</v>
      </c>
      <c r="AE20" s="48">
        <f t="shared" si="10"/>
        <v>10.6805</v>
      </c>
      <c r="AF20" s="49" t="s">
        <v>167</v>
      </c>
      <c r="AG20" s="49" t="s">
        <v>168</v>
      </c>
      <c r="AH20" s="49">
        <v>1</v>
      </c>
      <c r="AI20" s="49" t="s">
        <v>137</v>
      </c>
      <c r="AJ20" s="2"/>
    </row>
    <row r="21" spans="1:36">
      <c r="A21" s="49">
        <v>9</v>
      </c>
      <c r="B21" s="49" t="s">
        <v>169</v>
      </c>
      <c r="C21" s="49">
        <v>0.7</v>
      </c>
      <c r="D21" s="49">
        <v>0.2</v>
      </c>
      <c r="E21" s="49">
        <v>0.42</v>
      </c>
      <c r="F21" s="48">
        <v>0.69979999999999998</v>
      </c>
      <c r="G21" s="48">
        <v>0.70050000000000001</v>
      </c>
      <c r="H21" s="48">
        <v>0.20050000000000001</v>
      </c>
      <c r="I21" s="48">
        <v>0.19919999999999999</v>
      </c>
      <c r="J21" s="48">
        <v>0.46899999999999997</v>
      </c>
      <c r="K21" s="48">
        <v>0.42</v>
      </c>
      <c r="L21" s="48">
        <f t="shared" si="0"/>
        <v>0.199999999999978</v>
      </c>
      <c r="M21" s="48">
        <f t="shared" si="1"/>
        <v>0.500000000000056</v>
      </c>
      <c r="N21" s="48">
        <f t="shared" si="2"/>
        <v>0.5</v>
      </c>
      <c r="O21" s="48">
        <f t="shared" si="3"/>
        <v>0.800000000000023</v>
      </c>
      <c r="P21" s="48">
        <f t="shared" si="4"/>
        <v>49</v>
      </c>
      <c r="Q21" s="48">
        <f t="shared" si="5"/>
        <v>0</v>
      </c>
      <c r="R21" s="48">
        <f t="shared" si="6"/>
        <v>49.0029590943241</v>
      </c>
      <c r="S21" s="48">
        <f t="shared" si="7"/>
        <v>0.943398113205709</v>
      </c>
      <c r="T21" s="110"/>
      <c r="U21" s="110"/>
      <c r="V21" s="110"/>
      <c r="W21" s="110"/>
      <c r="X21" s="110"/>
      <c r="Y21" s="110"/>
      <c r="Z21" s="48">
        <v>0.64329999999999998</v>
      </c>
      <c r="AA21" s="48">
        <v>0.55610000000000004</v>
      </c>
      <c r="AB21" s="48">
        <v>7.0395000000000003</v>
      </c>
      <c r="AC21" s="48">
        <v>9.1968999999999994</v>
      </c>
      <c r="AD21" s="48">
        <f t="shared" si="9"/>
        <v>7.6828</v>
      </c>
      <c r="AE21" s="48">
        <f t="shared" si="10"/>
        <v>9.753</v>
      </c>
      <c r="AF21" s="49" t="s">
        <v>167</v>
      </c>
      <c r="AG21" s="49" t="s">
        <v>168</v>
      </c>
      <c r="AH21" s="49">
        <v>1</v>
      </c>
      <c r="AI21" s="49" t="s">
        <v>137</v>
      </c>
      <c r="AJ21" s="2"/>
    </row>
    <row r="22" spans="1:36">
      <c r="A22" s="49">
        <v>10</v>
      </c>
      <c r="B22" s="49" t="s">
        <v>166</v>
      </c>
      <c r="C22" s="49">
        <v>0.55000000000000004</v>
      </c>
      <c r="D22" s="49">
        <v>-0.2</v>
      </c>
      <c r="E22" s="49">
        <v>0.35</v>
      </c>
      <c r="F22" s="48">
        <v>0.55010000000000003</v>
      </c>
      <c r="G22" s="48">
        <v>0.5504</v>
      </c>
      <c r="H22" s="48">
        <v>-0.20080000000000001</v>
      </c>
      <c r="I22" s="48">
        <v>-0.19950000000000001</v>
      </c>
      <c r="J22" s="48">
        <v>0.39939999999999998</v>
      </c>
      <c r="K22" s="48">
        <v>0.34960000000000002</v>
      </c>
      <c r="L22" s="48">
        <f t="shared" si="0"/>
        <v>0.099999999999989</v>
      </c>
      <c r="M22" s="48">
        <f t="shared" si="1"/>
        <v>0.399999999999956</v>
      </c>
      <c r="N22" s="48">
        <f t="shared" si="2"/>
        <v>0.799999999999995</v>
      </c>
      <c r="O22" s="48">
        <f t="shared" si="3"/>
        <v>0.5</v>
      </c>
      <c r="P22" s="48">
        <f t="shared" si="4"/>
        <v>49.4</v>
      </c>
      <c r="Q22" s="48">
        <f t="shared" si="5"/>
        <v>0.399999999999956</v>
      </c>
      <c r="R22" s="48">
        <f t="shared" si="6"/>
        <v>49.4065785093443</v>
      </c>
      <c r="S22" s="48">
        <f t="shared" si="7"/>
        <v>0.754983443527029</v>
      </c>
      <c r="T22" s="110"/>
      <c r="U22" s="110"/>
      <c r="V22" s="110"/>
      <c r="W22" s="110"/>
      <c r="X22" s="110"/>
      <c r="Y22" s="110"/>
      <c r="Z22" s="48">
        <v>0.53680000000000005</v>
      </c>
      <c r="AA22" s="48">
        <v>0.55420000000000003</v>
      </c>
      <c r="AB22" s="48">
        <v>7.0492999999999997</v>
      </c>
      <c r="AC22" s="48">
        <v>8.6300000000000008</v>
      </c>
      <c r="AD22" s="48">
        <f t="shared" si="9"/>
        <v>7.5861</v>
      </c>
      <c r="AE22" s="48">
        <f t="shared" si="10"/>
        <v>9.1842</v>
      </c>
      <c r="AF22" s="49" t="s">
        <v>167</v>
      </c>
      <c r="AG22" s="49" t="s">
        <v>168</v>
      </c>
      <c r="AH22" s="49">
        <v>1</v>
      </c>
      <c r="AI22" s="49" t="s">
        <v>137</v>
      </c>
      <c r="AJ22" s="2"/>
    </row>
    <row r="23" spans="1:36">
      <c r="A23" s="49">
        <v>10</v>
      </c>
      <c r="B23" s="49" t="s">
        <v>169</v>
      </c>
      <c r="C23" s="49">
        <v>0.7</v>
      </c>
      <c r="D23" s="49">
        <v>0.2</v>
      </c>
      <c r="E23" s="49">
        <v>0.42</v>
      </c>
      <c r="F23" s="48">
        <v>0.70030000000000003</v>
      </c>
      <c r="G23" s="48">
        <v>0.69930000000000003</v>
      </c>
      <c r="H23" s="48">
        <v>0.19839999999999999</v>
      </c>
      <c r="I23" s="48">
        <v>0.20039999999999999</v>
      </c>
      <c r="J23" s="48">
        <v>0.4698</v>
      </c>
      <c r="K23" s="48">
        <v>0.41949999999999998</v>
      </c>
      <c r="L23" s="48">
        <f t="shared" si="0"/>
        <v>0.300000000000078</v>
      </c>
      <c r="M23" s="48">
        <f t="shared" si="1"/>
        <v>0.699999999999923</v>
      </c>
      <c r="N23" s="48">
        <f t="shared" si="2"/>
        <v>1.60000000000002</v>
      </c>
      <c r="O23" s="48">
        <f t="shared" si="3"/>
        <v>0.399999999999984</v>
      </c>
      <c r="P23" s="48">
        <f t="shared" si="4"/>
        <v>49.8</v>
      </c>
      <c r="Q23" s="48">
        <f t="shared" si="5"/>
        <v>0.5</v>
      </c>
      <c r="R23" s="48">
        <f t="shared" si="6"/>
        <v>49.8265993220489</v>
      </c>
      <c r="S23" s="48">
        <f t="shared" si="7"/>
        <v>0.94868329805045</v>
      </c>
      <c r="T23" s="111"/>
      <c r="U23" s="111"/>
      <c r="V23" s="111"/>
      <c r="W23" s="111"/>
      <c r="X23" s="111"/>
      <c r="Y23" s="111"/>
      <c r="Z23" s="48">
        <v>0.64859999999999995</v>
      </c>
      <c r="AA23" s="48">
        <v>0.55830000000000002</v>
      </c>
      <c r="AB23" s="48">
        <v>7.0392000000000001</v>
      </c>
      <c r="AC23" s="48">
        <v>9.2757000000000005</v>
      </c>
      <c r="AD23" s="48">
        <f t="shared" si="9"/>
        <v>7.6878</v>
      </c>
      <c r="AE23" s="48">
        <f t="shared" si="10"/>
        <v>9.834</v>
      </c>
      <c r="AF23" s="49" t="s">
        <v>167</v>
      </c>
      <c r="AG23" s="49" t="s">
        <v>168</v>
      </c>
      <c r="AH23" s="49">
        <v>1</v>
      </c>
      <c r="AI23" s="49" t="s">
        <v>137</v>
      </c>
      <c r="AJ23" s="2"/>
    </row>
    <row r="24" spans="1:36" ht="18.3" customHeight="1">
      <c r="A24" s="104" t="s">
        <v>170</v>
      </c>
      <c r="B24" s="105"/>
      <c r="C24" s="105"/>
      <c r="D24" s="105"/>
      <c r="E24" s="106"/>
      <c r="F24" s="119">
        <f>AVERAGE(F4:F23)-AVERAGE(G4:G23)</f>
        <v>7.50000000000473e-05</v>
      </c>
      <c r="G24" s="106"/>
      <c r="H24" s="115">
        <f>AVERAGE(H4:H23)-AVERAGE(I4:I23)</f>
        <v>-0.000224999999999996</v>
      </c>
      <c r="I24" s="106"/>
      <c r="J24" s="115">
        <f>AVERAGE(J4:J23)-AVERAGE(K4:K23)</f>
        <v>0.050125</v>
      </c>
      <c r="K24" s="106"/>
      <c r="L24" s="115">
        <f>AVERAGE(L4:L23)-AVERAGE(M4:M23)</f>
        <v>0.0650000000000039</v>
      </c>
      <c r="M24" s="106"/>
      <c r="N24" s="115">
        <f>AVERAGE(N4:N23)-AVERAGE(O4:O23)</f>
        <v>0.275000000000007</v>
      </c>
      <c r="O24" s="106"/>
      <c r="P24" s="115">
        <f>AVERAGE(P4:P23)-AVERAGE(Q4:Q23)</f>
        <v>49.845</v>
      </c>
      <c r="Q24" s="106"/>
      <c r="R24" s="115">
        <f>AVERAGE(R4:R23)-AVERAGE(S4:S23)</f>
        <v>49.4919554469021</v>
      </c>
      <c r="S24" s="106"/>
      <c r="T24" s="115">
        <f>AVERAGE(T4:T23)-AVERAGE(U4:U23)</f>
        <v>1.62207202978742e-05</v>
      </c>
      <c r="U24" s="106"/>
      <c r="V24" s="115">
        <f>AVERAGE(V4:V23)-AVERAGE(W4:W23)</f>
        <v>-0.000394414226725315</v>
      </c>
      <c r="W24" s="106"/>
      <c r="X24" s="115">
        <f>AVERAGE(X4:X23)-AVERAGE(Y4:Y23)</f>
        <v>0.000182922881324751</v>
      </c>
      <c r="Y24" s="106"/>
      <c r="Z24" s="115">
        <f>AVERAGE(AA4:AA23)-AVERAGE(Z4:Z23)</f>
        <v>-0.0241515</v>
      </c>
      <c r="AA24" s="106"/>
      <c r="AB24" s="115">
        <f>AVERAGE(AC4:AC23)-AVERAGE(AB4:AB23)</f>
        <v>1.772625</v>
      </c>
      <c r="AC24" s="106"/>
      <c r="AD24" s="115">
        <f>AVERAGE(AE4:AE23)-AVERAGE(AD4:AD23)</f>
        <v>1.7484735</v>
      </c>
      <c r="AE24" s="106"/>
      <c r="AF24" s="117"/>
      <c r="AG24" s="105"/>
      <c r="AH24" s="105"/>
      <c r="AI24" s="106"/>
      <c r="AJ24" s="2"/>
    </row>
    <row r="25" spans="1:36">
      <c r="A25" s="112" t="s">
        <v>171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6"/>
      <c r="AJ25" s="2"/>
    </row>
    <row r="26" spans="1:36" s="2" customFormat="1" ht="16.350000000000001" customHeight="1">
      <c r="A26" s="107" t="s">
        <v>126</v>
      </c>
      <c r="B26" s="107" t="s">
        <v>143</v>
      </c>
      <c r="C26" s="107" t="s">
        <v>144</v>
      </c>
      <c r="D26" s="107" t="s">
        <v>145</v>
      </c>
      <c r="E26" s="107" t="s">
        <v>146</v>
      </c>
      <c r="F26" s="107" t="s">
        <v>147</v>
      </c>
      <c r="G26" s="106"/>
      <c r="H26" s="107" t="s">
        <v>148</v>
      </c>
      <c r="I26" s="106"/>
      <c r="J26" s="107" t="s">
        <v>149</v>
      </c>
      <c r="K26" s="106"/>
      <c r="L26" s="114" t="s">
        <v>150</v>
      </c>
      <c r="M26" s="106"/>
      <c r="N26" s="114" t="s">
        <v>151</v>
      </c>
      <c r="O26" s="106"/>
      <c r="P26" s="114" t="s">
        <v>152</v>
      </c>
      <c r="Q26" s="106"/>
      <c r="R26" s="107" t="s">
        <v>153</v>
      </c>
      <c r="S26" s="106"/>
      <c r="T26" s="107" t="s">
        <v>154</v>
      </c>
      <c r="U26" s="106"/>
      <c r="V26" s="107" t="s">
        <v>155</v>
      </c>
      <c r="W26" s="106"/>
      <c r="X26" s="107" t="s">
        <v>156</v>
      </c>
      <c r="Y26" s="106"/>
      <c r="Z26" s="107" t="s">
        <v>157</v>
      </c>
      <c r="AA26" s="106"/>
      <c r="AB26" s="107" t="s">
        <v>158</v>
      </c>
      <c r="AC26" s="106"/>
      <c r="AD26" s="107" t="s">
        <v>159</v>
      </c>
      <c r="AE26" s="106"/>
      <c r="AF26" s="107" t="s">
        <v>160</v>
      </c>
      <c r="AG26" s="107" t="s">
        <v>161</v>
      </c>
      <c r="AH26" s="107" t="s">
        <v>162</v>
      </c>
      <c r="AI26" s="107" t="s">
        <v>163</v>
      </c>
    </row>
    <row r="27" spans="1:36" s="2" customFormat="1" ht="16.350000000000001" customHeight="1">
      <c r="A27" s="111"/>
      <c r="B27" s="111"/>
      <c r="C27" s="111"/>
      <c r="D27" s="111"/>
      <c r="E27" s="111"/>
      <c r="F27" s="47" t="s">
        <v>164</v>
      </c>
      <c r="G27" s="72" t="s">
        <v>165</v>
      </c>
      <c r="H27" s="47" t="s">
        <v>164</v>
      </c>
      <c r="I27" s="72" t="s">
        <v>165</v>
      </c>
      <c r="J27" s="47" t="s">
        <v>164</v>
      </c>
      <c r="K27" s="72" t="s">
        <v>165</v>
      </c>
      <c r="L27" s="47" t="s">
        <v>164</v>
      </c>
      <c r="M27" s="72" t="s">
        <v>165</v>
      </c>
      <c r="N27" s="47" t="s">
        <v>164</v>
      </c>
      <c r="O27" s="72" t="s">
        <v>165</v>
      </c>
      <c r="P27" s="47" t="s">
        <v>164</v>
      </c>
      <c r="Q27" s="72" t="s">
        <v>165</v>
      </c>
      <c r="R27" s="47" t="s">
        <v>164</v>
      </c>
      <c r="S27" s="72" t="s">
        <v>165</v>
      </c>
      <c r="T27" s="47" t="s">
        <v>164</v>
      </c>
      <c r="U27" s="72" t="s">
        <v>165</v>
      </c>
      <c r="V27" s="47" t="s">
        <v>164</v>
      </c>
      <c r="W27" s="72" t="s">
        <v>165</v>
      </c>
      <c r="X27" s="47" t="s">
        <v>164</v>
      </c>
      <c r="Y27" s="72" t="s">
        <v>165</v>
      </c>
      <c r="Z27" s="72" t="s">
        <v>165</v>
      </c>
      <c r="AA27" s="47" t="s">
        <v>164</v>
      </c>
      <c r="AB27" s="72" t="s">
        <v>165</v>
      </c>
      <c r="AC27" s="47" t="s">
        <v>164</v>
      </c>
      <c r="AD27" s="72" t="s">
        <v>165</v>
      </c>
      <c r="AE27" s="47" t="s">
        <v>164</v>
      </c>
      <c r="AF27" s="111"/>
      <c r="AG27" s="111"/>
      <c r="AH27" s="111"/>
      <c r="AI27" s="111"/>
    </row>
    <row r="28" spans="1:36">
      <c r="A28" s="49">
        <v>1</v>
      </c>
      <c r="B28" s="49" t="s">
        <v>166</v>
      </c>
      <c r="C28" s="49">
        <v>0.6</v>
      </c>
      <c r="D28" s="49">
        <v>0</v>
      </c>
      <c r="E28" s="49">
        <v>0.35</v>
      </c>
      <c r="F28" s="48">
        <v>0.5998</v>
      </c>
      <c r="G28" s="48">
        <v>0.6</v>
      </c>
      <c r="H28" s="48">
        <v>2.9999999999999997E-4</v>
      </c>
      <c r="I28" s="48">
        <v>2.0000000000000001E-4</v>
      </c>
      <c r="J28" s="48">
        <v>0.4</v>
      </c>
      <c r="K28" s="48">
        <v>0.34949999999999998</v>
      </c>
      <c r="L28" s="48">
        <f t="shared" ref="L28:L47" si="11">ABS(F28-C28)*1000</f>
        <v>0.199999999999978</v>
      </c>
      <c r="M28" s="48">
        <f t="shared" ref="M28:M47" si="12">ABS(G28-C28)*1000</f>
        <v>0</v>
      </c>
      <c r="N28" s="48">
        <f t="shared" ref="N28:N47" si="13">ABS(H28-D28)*1000</f>
        <v>0.3</v>
      </c>
      <c r="O28" s="48">
        <f t="shared" ref="O28:O47" si="14">ABS(I28-D28)*1000</f>
        <v>0.2</v>
      </c>
      <c r="P28" s="48">
        <f t="shared" ref="P28:P47" si="15">ABS(J28-E28)*1000</f>
        <v>50</v>
      </c>
      <c r="Q28" s="48">
        <f t="shared" ref="Q28:Q47" si="16">ABS(K28-E28)*1000</f>
        <v>0.5</v>
      </c>
      <c r="R28" s="48">
        <f t="shared" ref="R28:R47" si="17">SQRT(SUMSQ(L28,N28,P28))</f>
        <v>50.0012999831005</v>
      </c>
      <c r="S28" s="48">
        <f t="shared" ref="S28:S47" si="18">SQRT(SUMSQ(M28,O28,Q28))</f>
        <v>0.538516480713451</v>
      </c>
      <c r="T28" s="109">
        <f t="shared" ref="T28:Y28" si="19">_xlfn.STDEV.S(F28:F47)</f>
        <v>0.0514012417933141</v>
      </c>
      <c r="U28" s="109">
        <f t="shared" si="19"/>
        <v>0.051309962098274</v>
      </c>
      <c r="V28" s="109">
        <f t="shared" si="19"/>
        <v>0.128140923554787</v>
      </c>
      <c r="W28" s="109">
        <f t="shared" si="19"/>
        <v>0.128284126576825</v>
      </c>
      <c r="X28" s="109">
        <f t="shared" si="19"/>
        <v>0.0359441760160625</v>
      </c>
      <c r="Y28" s="109">
        <f t="shared" si="19"/>
        <v>0.0358652929284302</v>
      </c>
      <c r="Z28" s="48">
        <v>0.55889999999999995</v>
      </c>
      <c r="AA28" s="48">
        <v>0.56699999999999995</v>
      </c>
      <c r="AB28" s="48">
        <v>7.0351999999999997</v>
      </c>
      <c r="AC28" s="48">
        <v>8.8170999999999999</v>
      </c>
      <c r="AD28" s="48">
        <f t="shared" ref="AD28:AD47" si="20">AB28+Z28</f>
        <v>7.5941</v>
      </c>
      <c r="AE28" s="48">
        <f t="shared" ref="AE28:AE47" si="21">AC28+AA28</f>
        <v>9.3841</v>
      </c>
      <c r="AF28" s="49" t="s">
        <v>167</v>
      </c>
      <c r="AG28" s="49" t="s">
        <v>168</v>
      </c>
      <c r="AH28" s="49">
        <v>1</v>
      </c>
      <c r="AI28" s="49" t="s">
        <v>137</v>
      </c>
      <c r="AJ28" s="2"/>
    </row>
    <row r="29" spans="1:36">
      <c r="A29" s="49">
        <v>1</v>
      </c>
      <c r="B29" s="49" t="s">
        <v>169</v>
      </c>
      <c r="C29" s="49">
        <v>0.5</v>
      </c>
      <c r="D29" s="49">
        <v>0.25</v>
      </c>
      <c r="E29" s="49">
        <v>0.42</v>
      </c>
      <c r="F29" s="48">
        <v>0.49930000000000002</v>
      </c>
      <c r="G29" s="48">
        <v>0.5</v>
      </c>
      <c r="H29" s="48">
        <v>0.25040000000000001</v>
      </c>
      <c r="I29" s="48">
        <v>0.25059999999999999</v>
      </c>
      <c r="J29" s="48">
        <v>0.46960000000000002</v>
      </c>
      <c r="K29" s="48">
        <v>0.4204</v>
      </c>
      <c r="L29" s="48">
        <f t="shared" si="11"/>
        <v>0.699999999999978</v>
      </c>
      <c r="M29" s="48">
        <f t="shared" si="12"/>
        <v>0</v>
      </c>
      <c r="N29" s="48">
        <f t="shared" si="13"/>
        <v>0.400000000000011</v>
      </c>
      <c r="O29" s="48">
        <f t="shared" si="14"/>
        <v>0.599999999999989</v>
      </c>
      <c r="P29" s="48">
        <f t="shared" si="15"/>
        <v>49.6</v>
      </c>
      <c r="Q29" s="48">
        <f t="shared" si="16"/>
        <v>0.400000000000011</v>
      </c>
      <c r="R29" s="48">
        <f t="shared" si="17"/>
        <v>49.6065519866076</v>
      </c>
      <c r="S29" s="48">
        <f t="shared" si="18"/>
        <v>0.721110255092795</v>
      </c>
      <c r="T29" s="110"/>
      <c r="U29" s="110"/>
      <c r="V29" s="110"/>
      <c r="W29" s="110"/>
      <c r="X29" s="110"/>
      <c r="Y29" s="110"/>
      <c r="Z29" s="48">
        <v>0.56210000000000004</v>
      </c>
      <c r="AA29" s="48">
        <v>0.56540000000000001</v>
      </c>
      <c r="AB29" s="48">
        <v>7.0342000000000002</v>
      </c>
      <c r="AC29" s="48">
        <v>10.981199999999999</v>
      </c>
      <c r="AD29" s="48">
        <f t="shared" si="20"/>
        <v>7.5963</v>
      </c>
      <c r="AE29" s="48">
        <f t="shared" si="21"/>
        <v>11.5466</v>
      </c>
      <c r="AF29" s="49" t="s">
        <v>167</v>
      </c>
      <c r="AG29" s="49" t="s">
        <v>168</v>
      </c>
      <c r="AH29" s="49">
        <v>1</v>
      </c>
      <c r="AI29" s="49" t="s">
        <v>137</v>
      </c>
      <c r="AJ29" s="2"/>
    </row>
    <row r="30" spans="1:36">
      <c r="A30" s="49">
        <v>2</v>
      </c>
      <c r="B30" s="49" t="s">
        <v>166</v>
      </c>
      <c r="C30" s="49">
        <v>0.6</v>
      </c>
      <c r="D30" s="49">
        <v>0</v>
      </c>
      <c r="E30" s="49">
        <v>0.35</v>
      </c>
      <c r="F30" s="48">
        <v>0.60050000000000003</v>
      </c>
      <c r="G30" s="48">
        <v>0.5998</v>
      </c>
      <c r="H30" s="48">
        <v>-1E-4</v>
      </c>
      <c r="I30" s="48">
        <v>-6.9999999999999999E-4</v>
      </c>
      <c r="J30" s="48">
        <v>0.40029999999999999</v>
      </c>
      <c r="K30" s="48">
        <v>0.3503</v>
      </c>
      <c r="L30" s="48">
        <f t="shared" si="11"/>
        <v>0.500000000000056</v>
      </c>
      <c r="M30" s="48">
        <f t="shared" si="12"/>
        <v>0.199999999999978</v>
      </c>
      <c r="N30" s="48">
        <f t="shared" si="13"/>
        <v>0.1</v>
      </c>
      <c r="O30" s="48">
        <f t="shared" si="14"/>
        <v>0.7</v>
      </c>
      <c r="P30" s="48">
        <f t="shared" si="15"/>
        <v>50.3</v>
      </c>
      <c r="Q30" s="48">
        <f t="shared" si="16"/>
        <v>0.300000000000022</v>
      </c>
      <c r="R30" s="48">
        <f t="shared" si="17"/>
        <v>50.3025844266475</v>
      </c>
      <c r="S30" s="48">
        <f t="shared" si="18"/>
        <v>0.787400787401184</v>
      </c>
      <c r="T30" s="110"/>
      <c r="U30" s="110"/>
      <c r="V30" s="110"/>
      <c r="W30" s="110"/>
      <c r="X30" s="110"/>
      <c r="Y30" s="110"/>
      <c r="Z30" s="48">
        <v>0.54469999999999996</v>
      </c>
      <c r="AA30" s="48">
        <v>0.56699999999999995</v>
      </c>
      <c r="AB30" s="48">
        <v>7.0449999999999999</v>
      </c>
      <c r="AC30" s="48">
        <v>11.7254</v>
      </c>
      <c r="AD30" s="48">
        <f t="shared" si="20"/>
        <v>7.5897</v>
      </c>
      <c r="AE30" s="48">
        <f t="shared" si="21"/>
        <v>12.2924</v>
      </c>
      <c r="AF30" s="49" t="s">
        <v>167</v>
      </c>
      <c r="AG30" s="49" t="s">
        <v>168</v>
      </c>
      <c r="AH30" s="49">
        <v>1</v>
      </c>
      <c r="AI30" s="49" t="s">
        <v>137</v>
      </c>
      <c r="AJ30" s="2"/>
    </row>
    <row r="31" spans="1:36">
      <c r="A31" s="49">
        <v>2</v>
      </c>
      <c r="B31" s="49" t="s">
        <v>169</v>
      </c>
      <c r="C31" s="49">
        <v>0.5</v>
      </c>
      <c r="D31" s="49">
        <v>0.25</v>
      </c>
      <c r="E31" s="49">
        <v>0.42</v>
      </c>
      <c r="F31" s="48">
        <v>0.50019999999999998</v>
      </c>
      <c r="G31" s="48">
        <v>0.49980000000000002</v>
      </c>
      <c r="H31" s="48">
        <v>0.24979999999999999</v>
      </c>
      <c r="I31" s="48">
        <v>0.25090000000000001</v>
      </c>
      <c r="J31" s="48">
        <v>0.47</v>
      </c>
      <c r="K31" s="48">
        <v>0.42</v>
      </c>
      <c r="L31" s="48">
        <f t="shared" si="11"/>
        <v>0.199999999999978</v>
      </c>
      <c r="M31" s="48">
        <f t="shared" si="12"/>
        <v>0.199999999999978</v>
      </c>
      <c r="N31" s="48">
        <f t="shared" si="13"/>
        <v>0.200000000000006</v>
      </c>
      <c r="O31" s="48">
        <f t="shared" si="14"/>
        <v>0.900000000000012</v>
      </c>
      <c r="P31" s="48">
        <f t="shared" si="15"/>
        <v>50</v>
      </c>
      <c r="Q31" s="48">
        <f t="shared" si="16"/>
        <v>0</v>
      </c>
      <c r="R31" s="48">
        <f t="shared" si="17"/>
        <v>50.0007999936001</v>
      </c>
      <c r="S31" s="48">
        <f t="shared" si="18"/>
        <v>0.921954445729296</v>
      </c>
      <c r="T31" s="110"/>
      <c r="U31" s="110"/>
      <c r="V31" s="110"/>
      <c r="W31" s="110"/>
      <c r="X31" s="110"/>
      <c r="Y31" s="110"/>
      <c r="Z31" s="48">
        <v>0.5554</v>
      </c>
      <c r="AA31" s="48">
        <v>0.52990000000000004</v>
      </c>
      <c r="AB31" s="48">
        <v>7.0514999999999999</v>
      </c>
      <c r="AC31" s="48">
        <v>7.1840000000000002</v>
      </c>
      <c r="AD31" s="48">
        <f t="shared" si="20"/>
        <v>7.6069</v>
      </c>
      <c r="AE31" s="48">
        <f t="shared" si="21"/>
        <v>7.7139</v>
      </c>
      <c r="AF31" s="49" t="s">
        <v>167</v>
      </c>
      <c r="AG31" s="49" t="s">
        <v>168</v>
      </c>
      <c r="AH31" s="49">
        <v>1</v>
      </c>
      <c r="AI31" s="49" t="s">
        <v>137</v>
      </c>
      <c r="AJ31" s="2"/>
    </row>
    <row r="32" spans="1:36">
      <c r="A32" s="49">
        <v>3</v>
      </c>
      <c r="B32" s="49" t="s">
        <v>166</v>
      </c>
      <c r="C32" s="49">
        <v>0.6</v>
      </c>
      <c r="D32" s="49">
        <v>0</v>
      </c>
      <c r="E32" s="49">
        <v>0.35</v>
      </c>
      <c r="F32" s="48">
        <v>0.5998</v>
      </c>
      <c r="G32" s="48">
        <v>0.60040000000000004</v>
      </c>
      <c r="H32" s="48">
        <v>-8.0000000000000004E-4</v>
      </c>
      <c r="I32" s="48">
        <v>5.9999999999999995E-4</v>
      </c>
      <c r="J32" s="48">
        <v>0.39960000000000001</v>
      </c>
      <c r="K32" s="48">
        <v>0.35010000000000002</v>
      </c>
      <c r="L32" s="48">
        <f t="shared" si="11"/>
        <v>0.199999999999978</v>
      </c>
      <c r="M32" s="48">
        <f t="shared" si="12"/>
        <v>0.400000000000067</v>
      </c>
      <c r="N32" s="48">
        <f t="shared" si="13"/>
        <v>0.8</v>
      </c>
      <c r="O32" s="48">
        <f t="shared" si="14"/>
        <v>0.6</v>
      </c>
      <c r="P32" s="48">
        <f t="shared" si="15"/>
        <v>49.6</v>
      </c>
      <c r="Q32" s="48">
        <f t="shared" si="16"/>
        <v>0.100000000000045</v>
      </c>
      <c r="R32" s="48">
        <f t="shared" si="17"/>
        <v>49.6068543650976</v>
      </c>
      <c r="S32" s="48">
        <f t="shared" si="18"/>
        <v>0.728010988928095</v>
      </c>
      <c r="T32" s="110"/>
      <c r="U32" s="110"/>
      <c r="V32" s="110"/>
      <c r="W32" s="110"/>
      <c r="X32" s="110"/>
      <c r="Y32" s="110"/>
      <c r="Z32" s="48">
        <v>0.54469999999999996</v>
      </c>
      <c r="AA32" s="48">
        <v>0.53839999999999999</v>
      </c>
      <c r="AB32" s="48">
        <v>7.0393999999999997</v>
      </c>
      <c r="AC32" s="48">
        <v>8.8259000000000007</v>
      </c>
      <c r="AD32" s="48">
        <f t="shared" si="20"/>
        <v>7.5841</v>
      </c>
      <c r="AE32" s="48">
        <f t="shared" si="21"/>
        <v>9.3643</v>
      </c>
      <c r="AF32" s="49" t="s">
        <v>167</v>
      </c>
      <c r="AG32" s="49" t="s">
        <v>168</v>
      </c>
      <c r="AH32" s="49">
        <v>1</v>
      </c>
      <c r="AI32" s="49" t="s">
        <v>137</v>
      </c>
      <c r="AJ32" s="2"/>
    </row>
    <row r="33" spans="1:36">
      <c r="A33" s="49">
        <v>3</v>
      </c>
      <c r="B33" s="49" t="s">
        <v>169</v>
      </c>
      <c r="C33" s="49">
        <v>0.5</v>
      </c>
      <c r="D33" s="49">
        <v>0.25</v>
      </c>
      <c r="E33" s="49">
        <v>0.42</v>
      </c>
      <c r="F33" s="48">
        <v>0.499</v>
      </c>
      <c r="G33" s="48">
        <v>0.50029999999999997</v>
      </c>
      <c r="H33" s="48">
        <v>0.249</v>
      </c>
      <c r="I33" s="48">
        <v>0.25009999999999999</v>
      </c>
      <c r="J33" s="48">
        <v>0.46939999999999998</v>
      </c>
      <c r="K33" s="48">
        <v>0.41920000000000002</v>
      </c>
      <c r="L33" s="48">
        <f t="shared" si="11"/>
        <v>1</v>
      </c>
      <c r="M33" s="48">
        <f t="shared" si="12"/>
        <v>0.299999999999967</v>
      </c>
      <c r="N33" s="48">
        <f t="shared" si="13"/>
        <v>1</v>
      </c>
      <c r="O33" s="48">
        <f t="shared" si="14"/>
        <v>0.099999999999989</v>
      </c>
      <c r="P33" s="48">
        <f t="shared" si="15"/>
        <v>49.4</v>
      </c>
      <c r="Q33" s="48">
        <f t="shared" si="16"/>
        <v>0.799999999999967</v>
      </c>
      <c r="R33" s="48">
        <f t="shared" si="17"/>
        <v>49.4202387691521</v>
      </c>
      <c r="S33" s="48">
        <f t="shared" si="18"/>
        <v>0.86023252670422</v>
      </c>
      <c r="T33" s="110"/>
      <c r="U33" s="110"/>
      <c r="V33" s="110"/>
      <c r="W33" s="110"/>
      <c r="X33" s="110"/>
      <c r="Y33" s="110"/>
      <c r="Z33" s="48">
        <v>0.54179999999999995</v>
      </c>
      <c r="AA33" s="48">
        <v>0.53939999999999999</v>
      </c>
      <c r="AB33" s="48">
        <v>7.0476000000000001</v>
      </c>
      <c r="AC33" s="48">
        <v>7.1324399999999999</v>
      </c>
      <c r="AD33" s="48">
        <f t="shared" si="20"/>
        <v>7.5894</v>
      </c>
      <c r="AE33" s="48">
        <f t="shared" si="21"/>
        <v>7.67184</v>
      </c>
      <c r="AF33" s="49" t="s">
        <v>167</v>
      </c>
      <c r="AG33" s="49" t="s">
        <v>168</v>
      </c>
      <c r="AH33" s="49">
        <v>1</v>
      </c>
      <c r="AI33" s="49" t="s">
        <v>137</v>
      </c>
      <c r="AJ33" s="2"/>
    </row>
    <row r="34" spans="1:36">
      <c r="A34" s="49">
        <v>4</v>
      </c>
      <c r="B34" s="49" t="s">
        <v>166</v>
      </c>
      <c r="C34" s="49">
        <v>0.6</v>
      </c>
      <c r="D34" s="49">
        <v>0</v>
      </c>
      <c r="E34" s="49">
        <v>0.35</v>
      </c>
      <c r="F34" s="48">
        <v>0.60109999999999997</v>
      </c>
      <c r="G34" s="48">
        <v>0.60050000000000003</v>
      </c>
      <c r="H34" s="48">
        <v>-4.0000000000000002E-4</v>
      </c>
      <c r="I34" s="48">
        <v>4.0000000000000002E-4</v>
      </c>
      <c r="J34" s="48">
        <v>0.40089999999999998</v>
      </c>
      <c r="K34" s="48">
        <v>0.34949999999999998</v>
      </c>
      <c r="L34" s="48">
        <f t="shared" si="11"/>
        <v>1.09999999999999</v>
      </c>
      <c r="M34" s="48">
        <f t="shared" si="12"/>
        <v>0.500000000000056</v>
      </c>
      <c r="N34" s="48">
        <f t="shared" si="13"/>
        <v>0.4</v>
      </c>
      <c r="O34" s="48">
        <f t="shared" si="14"/>
        <v>0.4</v>
      </c>
      <c r="P34" s="48">
        <f t="shared" si="15"/>
        <v>50.9</v>
      </c>
      <c r="Q34" s="48">
        <f t="shared" si="16"/>
        <v>0.5</v>
      </c>
      <c r="R34" s="48">
        <f t="shared" si="17"/>
        <v>50.9134559816951</v>
      </c>
      <c r="S34" s="48">
        <f t="shared" si="18"/>
        <v>0.812403840463631</v>
      </c>
      <c r="T34" s="110"/>
      <c r="U34" s="110"/>
      <c r="V34" s="110"/>
      <c r="W34" s="110"/>
      <c r="X34" s="110"/>
      <c r="Y34" s="110"/>
      <c r="Z34" s="48">
        <v>0.53779999999999994</v>
      </c>
      <c r="AA34" s="48">
        <v>0.5373</v>
      </c>
      <c r="AB34" s="48">
        <v>7.0307000000000004</v>
      </c>
      <c r="AC34" s="48">
        <v>8.3726000000000003</v>
      </c>
      <c r="AD34" s="48">
        <f t="shared" si="20"/>
        <v>7.5685</v>
      </c>
      <c r="AE34" s="48">
        <f t="shared" si="21"/>
        <v>8.9099</v>
      </c>
      <c r="AF34" s="49" t="s">
        <v>167</v>
      </c>
      <c r="AG34" s="49" t="s">
        <v>168</v>
      </c>
      <c r="AH34" s="49">
        <v>1</v>
      </c>
      <c r="AI34" s="49" t="s">
        <v>137</v>
      </c>
      <c r="AJ34" s="2"/>
    </row>
    <row r="35" spans="1:36">
      <c r="A35" s="49">
        <v>4</v>
      </c>
      <c r="B35" s="49" t="s">
        <v>169</v>
      </c>
      <c r="C35" s="49">
        <v>0.5</v>
      </c>
      <c r="D35" s="49">
        <v>0.25</v>
      </c>
      <c r="E35" s="49">
        <v>0.42</v>
      </c>
      <c r="F35" s="48">
        <v>0.50009999999999999</v>
      </c>
      <c r="G35" s="48">
        <v>0.50029999999999997</v>
      </c>
      <c r="H35" s="48">
        <v>0.2487</v>
      </c>
      <c r="I35" s="48">
        <v>0.24929999999999999</v>
      </c>
      <c r="J35" s="48">
        <v>0.47070000000000001</v>
      </c>
      <c r="K35" s="48">
        <v>0.41949999999999998</v>
      </c>
      <c r="L35" s="48">
        <f t="shared" si="11"/>
        <v>0.099999999999989</v>
      </c>
      <c r="M35" s="48">
        <f t="shared" si="12"/>
        <v>0.299999999999967</v>
      </c>
      <c r="N35" s="48">
        <f t="shared" si="13"/>
        <v>1.3</v>
      </c>
      <c r="O35" s="48">
        <f t="shared" si="14"/>
        <v>0.700000000000006</v>
      </c>
      <c r="P35" s="48">
        <f t="shared" si="15"/>
        <v>50.7</v>
      </c>
      <c r="Q35" s="48">
        <f t="shared" si="16"/>
        <v>0.5</v>
      </c>
      <c r="R35" s="48">
        <f t="shared" si="17"/>
        <v>50.7167625149713</v>
      </c>
      <c r="S35" s="48">
        <f t="shared" si="18"/>
        <v>0.911043357914424</v>
      </c>
      <c r="T35" s="110"/>
      <c r="U35" s="110"/>
      <c r="V35" s="110"/>
      <c r="W35" s="110"/>
      <c r="X35" s="110"/>
      <c r="Y35" s="110"/>
      <c r="Z35" s="48">
        <v>0.5494</v>
      </c>
      <c r="AA35" s="48">
        <v>0.53669999999999995</v>
      </c>
      <c r="AB35" s="48">
        <v>7.0617000000000001</v>
      </c>
      <c r="AC35" s="48">
        <v>7.1746999999999996</v>
      </c>
      <c r="AD35" s="48">
        <f t="shared" si="20"/>
        <v>7.6111</v>
      </c>
      <c r="AE35" s="48">
        <f t="shared" si="21"/>
        <v>7.7114</v>
      </c>
      <c r="AF35" s="49" t="s">
        <v>167</v>
      </c>
      <c r="AG35" s="49" t="s">
        <v>168</v>
      </c>
      <c r="AH35" s="49">
        <v>1</v>
      </c>
      <c r="AI35" s="49" t="s">
        <v>137</v>
      </c>
      <c r="AJ35" s="2"/>
    </row>
    <row r="36" spans="1:36">
      <c r="A36" s="49">
        <v>5</v>
      </c>
      <c r="B36" s="49" t="s">
        <v>166</v>
      </c>
      <c r="C36" s="49">
        <v>0.6</v>
      </c>
      <c r="D36" s="49">
        <v>0</v>
      </c>
      <c r="E36" s="49">
        <v>0.35</v>
      </c>
      <c r="F36" s="48">
        <v>0.60070000000000001</v>
      </c>
      <c r="G36" s="48">
        <v>0.60019999999999996</v>
      </c>
      <c r="H36" s="48">
        <v>-5.9999999999999995E-4</v>
      </c>
      <c r="I36" s="48">
        <v>1E-4</v>
      </c>
      <c r="J36" s="48">
        <v>0.40100000000000002</v>
      </c>
      <c r="K36" s="48">
        <v>0.3503</v>
      </c>
      <c r="L36" s="48">
        <f t="shared" si="11"/>
        <v>0.700000000000034</v>
      </c>
      <c r="M36" s="48">
        <f t="shared" si="12"/>
        <v>0.199999999999978</v>
      </c>
      <c r="N36" s="48">
        <f t="shared" si="13"/>
        <v>0.6</v>
      </c>
      <c r="O36" s="48">
        <f t="shared" si="14"/>
        <v>0.1</v>
      </c>
      <c r="P36" s="48">
        <f t="shared" si="15"/>
        <v>51</v>
      </c>
      <c r="Q36" s="48">
        <f t="shared" si="16"/>
        <v>0.300000000000022</v>
      </c>
      <c r="R36" s="48">
        <f t="shared" si="17"/>
        <v>51.0083326526167</v>
      </c>
      <c r="S36" s="48">
        <f t="shared" si="18"/>
        <v>0.3741657386774</v>
      </c>
      <c r="T36" s="110"/>
      <c r="U36" s="110"/>
      <c r="V36" s="110"/>
      <c r="W36" s="110"/>
      <c r="X36" s="110"/>
      <c r="Y36" s="110"/>
      <c r="Z36" s="48">
        <v>0.54590000000000005</v>
      </c>
      <c r="AA36" s="48">
        <v>0.54100000000000004</v>
      </c>
      <c r="AB36" s="48">
        <v>7.0456000000000003</v>
      </c>
      <c r="AC36" s="48">
        <v>8.3183000000000007</v>
      </c>
      <c r="AD36" s="48">
        <f t="shared" si="20"/>
        <v>7.5915</v>
      </c>
      <c r="AE36" s="48">
        <f t="shared" si="21"/>
        <v>8.8593</v>
      </c>
      <c r="AF36" s="49" t="s">
        <v>167</v>
      </c>
      <c r="AG36" s="49" t="s">
        <v>168</v>
      </c>
      <c r="AH36" s="49">
        <v>1</v>
      </c>
      <c r="AI36" s="49" t="s">
        <v>137</v>
      </c>
      <c r="AJ36" s="2"/>
    </row>
    <row r="37" spans="1:36">
      <c r="A37" s="49">
        <v>5</v>
      </c>
      <c r="B37" s="49" t="s">
        <v>169</v>
      </c>
      <c r="C37" s="49">
        <v>0.5</v>
      </c>
      <c r="D37" s="49">
        <v>0.25</v>
      </c>
      <c r="E37" s="49">
        <v>0.42</v>
      </c>
      <c r="F37" s="48">
        <v>0.49990000000000001</v>
      </c>
      <c r="G37" s="48">
        <v>0.50049999999999994</v>
      </c>
      <c r="H37" s="48">
        <v>0.24979999999999999</v>
      </c>
      <c r="I37" s="48">
        <v>0.24979999999999999</v>
      </c>
      <c r="J37" s="48">
        <v>0.47110000000000002</v>
      </c>
      <c r="K37" s="48">
        <v>0.42049999999999998</v>
      </c>
      <c r="L37" s="48">
        <f t="shared" si="11"/>
        <v>0.099999999999989</v>
      </c>
      <c r="M37" s="48">
        <f t="shared" si="12"/>
        <v>0.499999999999945</v>
      </c>
      <c r="N37" s="48">
        <f t="shared" si="13"/>
        <v>0.200000000000006</v>
      </c>
      <c r="O37" s="48">
        <f t="shared" si="14"/>
        <v>0.200000000000006</v>
      </c>
      <c r="P37" s="48">
        <f t="shared" si="15"/>
        <v>51.1</v>
      </c>
      <c r="Q37" s="48">
        <f t="shared" si="16"/>
        <v>0.5</v>
      </c>
      <c r="R37" s="48">
        <f t="shared" si="17"/>
        <v>51.1004892344487</v>
      </c>
      <c r="S37" s="48">
        <f t="shared" si="18"/>
        <v>0.734846922834918</v>
      </c>
      <c r="T37" s="110"/>
      <c r="U37" s="110"/>
      <c r="V37" s="110"/>
      <c r="W37" s="110"/>
      <c r="X37" s="110"/>
      <c r="Y37" s="110"/>
      <c r="Z37" s="48">
        <v>0.54079999999999995</v>
      </c>
      <c r="AA37" s="48">
        <v>0.52649999999999997</v>
      </c>
      <c r="AB37" s="48">
        <v>7.0602999999999998</v>
      </c>
      <c r="AC37" s="48">
        <v>7.1852999999999998</v>
      </c>
      <c r="AD37" s="48">
        <f t="shared" si="20"/>
        <v>7.6011</v>
      </c>
      <c r="AE37" s="48">
        <f t="shared" si="21"/>
        <v>7.7118</v>
      </c>
      <c r="AF37" s="49" t="s">
        <v>167</v>
      </c>
      <c r="AG37" s="49" t="s">
        <v>168</v>
      </c>
      <c r="AH37" s="49">
        <v>1</v>
      </c>
      <c r="AI37" s="49" t="s">
        <v>137</v>
      </c>
      <c r="AJ37" s="2"/>
    </row>
    <row r="38" spans="1:36">
      <c r="A38" s="49">
        <v>6</v>
      </c>
      <c r="B38" s="49" t="s">
        <v>166</v>
      </c>
      <c r="C38" s="49">
        <v>0.6</v>
      </c>
      <c r="D38" s="49">
        <v>0</v>
      </c>
      <c r="E38" s="49">
        <v>0.35</v>
      </c>
      <c r="F38" s="48">
        <v>0.60029999999999994</v>
      </c>
      <c r="G38" s="48">
        <v>0.60040000000000004</v>
      </c>
      <c r="H38" s="48">
        <v>4.0000000000000002E-4</v>
      </c>
      <c r="I38" s="48">
        <v>0</v>
      </c>
      <c r="J38" s="48">
        <v>0.39989999999999998</v>
      </c>
      <c r="K38" s="48">
        <v>0.34949999999999998</v>
      </c>
      <c r="L38" s="48">
        <f t="shared" si="11"/>
        <v>0.299999999999967</v>
      </c>
      <c r="M38" s="48">
        <f t="shared" si="12"/>
        <v>0.400000000000067</v>
      </c>
      <c r="N38" s="48">
        <f t="shared" si="13"/>
        <v>0.4</v>
      </c>
      <c r="O38" s="48">
        <f t="shared" si="14"/>
        <v>0</v>
      </c>
      <c r="P38" s="48">
        <f t="shared" si="15"/>
        <v>49.9</v>
      </c>
      <c r="Q38" s="48">
        <f t="shared" si="16"/>
        <v>0.5</v>
      </c>
      <c r="R38" s="48">
        <f t="shared" si="17"/>
        <v>49.9025049471467</v>
      </c>
      <c r="S38" s="48">
        <f t="shared" si="18"/>
        <v>0.640312423743327</v>
      </c>
      <c r="T38" s="110"/>
      <c r="U38" s="110"/>
      <c r="V38" s="110"/>
      <c r="W38" s="110"/>
      <c r="X38" s="110"/>
      <c r="Y38" s="110"/>
      <c r="Z38" s="48">
        <v>0.56479999999999997</v>
      </c>
      <c r="AA38" s="48">
        <v>0.54759999999999998</v>
      </c>
      <c r="AB38" s="48">
        <v>7.0385999999999997</v>
      </c>
      <c r="AC38" s="48">
        <v>8.8632000000000009</v>
      </c>
      <c r="AD38" s="48">
        <f t="shared" si="20"/>
        <v>7.6034</v>
      </c>
      <c r="AE38" s="48">
        <f t="shared" si="21"/>
        <v>9.4108</v>
      </c>
      <c r="AF38" s="49" t="s">
        <v>167</v>
      </c>
      <c r="AG38" s="49" t="s">
        <v>168</v>
      </c>
      <c r="AH38" s="49">
        <v>1</v>
      </c>
      <c r="AI38" s="49" t="s">
        <v>137</v>
      </c>
      <c r="AJ38" s="2"/>
    </row>
    <row r="39" spans="1:36">
      <c r="A39" s="49">
        <v>6</v>
      </c>
      <c r="B39" s="49" t="s">
        <v>169</v>
      </c>
      <c r="C39" s="49">
        <v>0.5</v>
      </c>
      <c r="D39" s="49">
        <v>0.25</v>
      </c>
      <c r="E39" s="49">
        <v>0.42</v>
      </c>
      <c r="F39" s="48">
        <v>0.50170000000000003</v>
      </c>
      <c r="G39" s="48">
        <v>0.49969999999999998</v>
      </c>
      <c r="H39" s="48">
        <v>0.2495</v>
      </c>
      <c r="I39" s="48">
        <v>0.24970000000000001</v>
      </c>
      <c r="J39" s="48">
        <v>0.47039999999999998</v>
      </c>
      <c r="K39" s="48">
        <v>0.42020000000000002</v>
      </c>
      <c r="L39" s="48">
        <f t="shared" si="11"/>
        <v>1.70000000000003</v>
      </c>
      <c r="M39" s="48">
        <f t="shared" si="12"/>
        <v>0.300000000000022</v>
      </c>
      <c r="N39" s="48">
        <f t="shared" si="13"/>
        <v>0.5</v>
      </c>
      <c r="O39" s="48">
        <f t="shared" si="14"/>
        <v>0.299999999999995</v>
      </c>
      <c r="P39" s="48">
        <f t="shared" si="15"/>
        <v>50.4</v>
      </c>
      <c r="Q39" s="48">
        <f t="shared" si="16"/>
        <v>0.200000000000033</v>
      </c>
      <c r="R39" s="48">
        <f t="shared" si="17"/>
        <v>50.4311411728904</v>
      </c>
      <c r="S39" s="48">
        <f t="shared" si="18"/>
        <v>0.469041575982368</v>
      </c>
      <c r="T39" s="110"/>
      <c r="U39" s="110"/>
      <c r="V39" s="110"/>
      <c r="W39" s="110"/>
      <c r="X39" s="110"/>
      <c r="Y39" s="110"/>
      <c r="Z39" s="48">
        <v>0.54349999999999998</v>
      </c>
      <c r="AA39" s="48">
        <v>0.56559999999999999</v>
      </c>
      <c r="AB39" s="48">
        <v>7.0617999999999999</v>
      </c>
      <c r="AC39" s="48">
        <v>8.9458000000000002</v>
      </c>
      <c r="AD39" s="48">
        <f t="shared" si="20"/>
        <v>7.6053</v>
      </c>
      <c r="AE39" s="48">
        <f t="shared" si="21"/>
        <v>9.5114</v>
      </c>
      <c r="AF39" s="49" t="s">
        <v>167</v>
      </c>
      <c r="AG39" s="49" t="s">
        <v>168</v>
      </c>
      <c r="AH39" s="49">
        <v>1</v>
      </c>
      <c r="AI39" s="49" t="s">
        <v>137</v>
      </c>
      <c r="AJ39" s="2"/>
    </row>
    <row r="40" spans="1:36">
      <c r="A40" s="49">
        <v>7</v>
      </c>
      <c r="B40" s="49" t="s">
        <v>166</v>
      </c>
      <c r="C40" s="49">
        <v>0.6</v>
      </c>
      <c r="D40" s="49">
        <v>0</v>
      </c>
      <c r="E40" s="49">
        <v>0.35</v>
      </c>
      <c r="F40" s="48">
        <v>0.60019999999999996</v>
      </c>
      <c r="G40" s="48">
        <v>0.60009999999999997</v>
      </c>
      <c r="H40" s="48">
        <v>5.9999999999999995E-4</v>
      </c>
      <c r="I40" s="48">
        <v>8.9999999999999998E-4</v>
      </c>
      <c r="J40" s="48">
        <v>0.40079999999999999</v>
      </c>
      <c r="K40" s="48">
        <v>0.35</v>
      </c>
      <c r="L40" s="48">
        <f t="shared" si="11"/>
        <v>0.199999999999978</v>
      </c>
      <c r="M40" s="48">
        <f t="shared" si="12"/>
        <v>0.099999999999989</v>
      </c>
      <c r="N40" s="48">
        <f t="shared" si="13"/>
        <v>0.6</v>
      </c>
      <c r="O40" s="48">
        <f t="shared" si="14"/>
        <v>0.9</v>
      </c>
      <c r="P40" s="48">
        <f t="shared" si="15"/>
        <v>50.8</v>
      </c>
      <c r="Q40" s="48">
        <f t="shared" si="16"/>
        <v>0</v>
      </c>
      <c r="R40" s="48">
        <f t="shared" si="17"/>
        <v>50.8039368553265</v>
      </c>
      <c r="S40" s="48">
        <f t="shared" si="18"/>
        <v>0.905538513813741</v>
      </c>
      <c r="T40" s="110"/>
      <c r="U40" s="110"/>
      <c r="V40" s="110"/>
      <c r="W40" s="110"/>
      <c r="X40" s="110"/>
      <c r="Y40" s="110"/>
      <c r="Z40" s="48">
        <v>0.54200000000000004</v>
      </c>
      <c r="AA40" s="48">
        <v>0.5655</v>
      </c>
      <c r="AB40" s="48">
        <v>7.0556999999999999</v>
      </c>
      <c r="AC40" s="48">
        <v>9.6303999999999998</v>
      </c>
      <c r="AD40" s="48">
        <f t="shared" si="20"/>
        <v>7.5977</v>
      </c>
      <c r="AE40" s="48">
        <f t="shared" si="21"/>
        <v>10.1959</v>
      </c>
      <c r="AF40" s="49" t="s">
        <v>167</v>
      </c>
      <c r="AG40" s="49" t="s">
        <v>168</v>
      </c>
      <c r="AH40" s="49">
        <v>1</v>
      </c>
      <c r="AI40" s="49" t="s">
        <v>137</v>
      </c>
      <c r="AJ40" s="2"/>
    </row>
    <row r="41" spans="1:36">
      <c r="A41" s="49">
        <v>7</v>
      </c>
      <c r="B41" s="49" t="s">
        <v>169</v>
      </c>
      <c r="C41" s="49">
        <v>0.5</v>
      </c>
      <c r="D41" s="49">
        <v>0.25</v>
      </c>
      <c r="E41" s="49">
        <v>0.42</v>
      </c>
      <c r="F41" s="48">
        <v>0.50080000000000002</v>
      </c>
      <c r="G41" s="48">
        <v>0.50049999999999994</v>
      </c>
      <c r="H41" s="48">
        <v>0.24979999999999999</v>
      </c>
      <c r="I41" s="48">
        <v>0.25040000000000001</v>
      </c>
      <c r="J41" s="48">
        <v>0.47060000000000002</v>
      </c>
      <c r="K41" s="48">
        <v>0.42030000000000001</v>
      </c>
      <c r="L41" s="48">
        <f t="shared" si="11"/>
        <v>0.800000000000023</v>
      </c>
      <c r="M41" s="48">
        <f t="shared" si="12"/>
        <v>0.499999999999945</v>
      </c>
      <c r="N41" s="48">
        <f t="shared" si="13"/>
        <v>0.200000000000006</v>
      </c>
      <c r="O41" s="48">
        <f t="shared" si="14"/>
        <v>0.400000000000011</v>
      </c>
      <c r="P41" s="48">
        <f t="shared" si="15"/>
        <v>50.6</v>
      </c>
      <c r="Q41" s="48">
        <f t="shared" si="16"/>
        <v>0.300000000000022</v>
      </c>
      <c r="R41" s="48">
        <f t="shared" si="17"/>
        <v>50.6067189215029</v>
      </c>
      <c r="S41" s="48">
        <f t="shared" si="18"/>
        <v>0.707106781186525</v>
      </c>
      <c r="T41" s="110"/>
      <c r="U41" s="110"/>
      <c r="V41" s="110"/>
      <c r="W41" s="110"/>
      <c r="X41" s="110"/>
      <c r="Y41" s="110"/>
      <c r="Z41" s="48">
        <v>0.55959999999999999</v>
      </c>
      <c r="AA41" s="48">
        <v>0.54</v>
      </c>
      <c r="AB41" s="48">
        <v>7.0381</v>
      </c>
      <c r="AC41" s="48">
        <v>7.0932000000000004</v>
      </c>
      <c r="AD41" s="48">
        <f t="shared" si="20"/>
        <v>7.5977</v>
      </c>
      <c r="AE41" s="48">
        <f t="shared" si="21"/>
        <v>7.6332</v>
      </c>
      <c r="AF41" s="49" t="s">
        <v>167</v>
      </c>
      <c r="AG41" s="49" t="s">
        <v>168</v>
      </c>
      <c r="AH41" s="49">
        <v>1</v>
      </c>
      <c r="AI41" s="49" t="s">
        <v>137</v>
      </c>
      <c r="AJ41" s="2"/>
    </row>
    <row r="42" spans="1:36">
      <c r="A42" s="49">
        <v>8</v>
      </c>
      <c r="B42" s="49" t="s">
        <v>166</v>
      </c>
      <c r="C42" s="49">
        <v>0.6</v>
      </c>
      <c r="D42" s="49">
        <v>0</v>
      </c>
      <c r="E42" s="49">
        <v>0.35</v>
      </c>
      <c r="F42" s="48">
        <v>0.59960000000000002</v>
      </c>
      <c r="G42" s="48">
        <v>0.5998</v>
      </c>
      <c r="H42" s="48">
        <v>-1E-3</v>
      </c>
      <c r="I42" s="48">
        <v>2.9999999999999997E-4</v>
      </c>
      <c r="J42" s="48">
        <v>0.39979999999999999</v>
      </c>
      <c r="K42" s="48">
        <v>0.3503</v>
      </c>
      <c r="L42" s="48">
        <f t="shared" si="11"/>
        <v>0.399999999999956</v>
      </c>
      <c r="M42" s="48">
        <f t="shared" si="12"/>
        <v>0.199999999999978</v>
      </c>
      <c r="N42" s="48">
        <f t="shared" si="13"/>
        <v>1</v>
      </c>
      <c r="O42" s="48">
        <f t="shared" si="14"/>
        <v>0.3</v>
      </c>
      <c r="P42" s="48">
        <f t="shared" si="15"/>
        <v>49.8</v>
      </c>
      <c r="Q42" s="48">
        <f t="shared" si="16"/>
        <v>0.300000000000022</v>
      </c>
      <c r="R42" s="48">
        <f t="shared" si="17"/>
        <v>49.8116452247866</v>
      </c>
      <c r="S42" s="48">
        <f t="shared" si="18"/>
        <v>0.469041575982348</v>
      </c>
      <c r="T42" s="110"/>
      <c r="U42" s="110"/>
      <c r="V42" s="110"/>
      <c r="W42" s="110"/>
      <c r="X42" s="110"/>
      <c r="Y42" s="110"/>
      <c r="Z42" s="48">
        <v>0.4325</v>
      </c>
      <c r="AA42" s="48">
        <v>0.54649999999999999</v>
      </c>
      <c r="AB42" s="48">
        <v>7.0382999999999996</v>
      </c>
      <c r="AC42" s="48">
        <v>8.7887000000000004</v>
      </c>
      <c r="AD42" s="48">
        <f t="shared" si="20"/>
        <v>7.4708</v>
      </c>
      <c r="AE42" s="48">
        <f t="shared" si="21"/>
        <v>9.3352</v>
      </c>
      <c r="AF42" s="49" t="s">
        <v>167</v>
      </c>
      <c r="AG42" s="49" t="s">
        <v>168</v>
      </c>
      <c r="AH42" s="49">
        <v>1</v>
      </c>
      <c r="AI42" s="49" t="s">
        <v>137</v>
      </c>
      <c r="AJ42" s="2"/>
    </row>
    <row r="43" spans="1:36">
      <c r="A43" s="49">
        <v>8</v>
      </c>
      <c r="B43" s="49" t="s">
        <v>169</v>
      </c>
      <c r="C43" s="49">
        <v>0.5</v>
      </c>
      <c r="D43" s="49">
        <v>0.25</v>
      </c>
      <c r="E43" s="49">
        <v>0.42</v>
      </c>
      <c r="F43" s="48">
        <v>0.49980000000000002</v>
      </c>
      <c r="G43" s="48">
        <v>0.50049999999999994</v>
      </c>
      <c r="H43" s="48">
        <v>0.2505</v>
      </c>
      <c r="I43" s="48">
        <v>0.2505</v>
      </c>
      <c r="J43" s="48">
        <v>0.46970000000000001</v>
      </c>
      <c r="K43" s="48">
        <v>0.4199</v>
      </c>
      <c r="L43" s="48">
        <f t="shared" si="11"/>
        <v>0.199999999999978</v>
      </c>
      <c r="M43" s="48">
        <f t="shared" si="12"/>
        <v>0.499999999999945</v>
      </c>
      <c r="N43" s="48">
        <f t="shared" si="13"/>
        <v>0.5</v>
      </c>
      <c r="O43" s="48">
        <f t="shared" si="14"/>
        <v>0.5</v>
      </c>
      <c r="P43" s="48">
        <f t="shared" si="15"/>
        <v>49.7</v>
      </c>
      <c r="Q43" s="48">
        <f t="shared" si="16"/>
        <v>0.099999999999989</v>
      </c>
      <c r="R43" s="48">
        <f t="shared" si="17"/>
        <v>49.7029174194031</v>
      </c>
      <c r="S43" s="48">
        <f t="shared" si="18"/>
        <v>0.714142842854245</v>
      </c>
      <c r="T43" s="110"/>
      <c r="U43" s="110"/>
      <c r="V43" s="110"/>
      <c r="W43" s="110"/>
      <c r="X43" s="110"/>
      <c r="Y43" s="110"/>
      <c r="Z43" s="48">
        <v>0.65429999999999999</v>
      </c>
      <c r="AA43" s="48">
        <v>0.5544</v>
      </c>
      <c r="AB43" s="48">
        <v>7.0392000000000001</v>
      </c>
      <c r="AC43" s="48">
        <v>10.44</v>
      </c>
      <c r="AD43" s="48">
        <f t="shared" si="20"/>
        <v>7.6935</v>
      </c>
      <c r="AE43" s="48">
        <f t="shared" si="21"/>
        <v>10.9944</v>
      </c>
      <c r="AF43" s="49" t="s">
        <v>167</v>
      </c>
      <c r="AG43" s="49" t="s">
        <v>168</v>
      </c>
      <c r="AH43" s="49">
        <v>1</v>
      </c>
      <c r="AI43" s="49" t="s">
        <v>137</v>
      </c>
      <c r="AJ43" s="2"/>
    </row>
    <row r="44" spans="1:36">
      <c r="A44" s="49">
        <v>9</v>
      </c>
      <c r="B44" s="49" t="s">
        <v>166</v>
      </c>
      <c r="C44" s="49">
        <v>0.6</v>
      </c>
      <c r="D44" s="49">
        <v>0</v>
      </c>
      <c r="E44" s="49">
        <v>0.35</v>
      </c>
      <c r="F44" s="48">
        <v>0.59989999999999999</v>
      </c>
      <c r="G44" s="48">
        <v>0.60060000000000002</v>
      </c>
      <c r="H44" s="48">
        <v>5.0000000000000001E-4</v>
      </c>
      <c r="I44" s="48">
        <v>0</v>
      </c>
      <c r="J44" s="48">
        <v>0.39929999999999999</v>
      </c>
      <c r="K44" s="48">
        <v>0.35060000000000002</v>
      </c>
      <c r="L44" s="48">
        <f t="shared" si="11"/>
        <v>0.099999999999989</v>
      </c>
      <c r="M44" s="48">
        <f t="shared" si="12"/>
        <v>0.600000000000045</v>
      </c>
      <c r="N44" s="48">
        <f t="shared" si="13"/>
        <v>0.5</v>
      </c>
      <c r="O44" s="48">
        <f t="shared" si="14"/>
        <v>0</v>
      </c>
      <c r="P44" s="48">
        <f t="shared" si="15"/>
        <v>49.3</v>
      </c>
      <c r="Q44" s="48">
        <f t="shared" si="16"/>
        <v>0.600000000000045</v>
      </c>
      <c r="R44" s="48">
        <f t="shared" si="17"/>
        <v>49.3026368463189</v>
      </c>
      <c r="S44" s="48">
        <f t="shared" si="18"/>
        <v>0.848528137423921</v>
      </c>
      <c r="T44" s="110"/>
      <c r="U44" s="110"/>
      <c r="V44" s="110"/>
      <c r="W44" s="110"/>
      <c r="X44" s="110"/>
      <c r="Y44" s="110"/>
      <c r="Z44" s="48">
        <v>0.55059999999999998</v>
      </c>
      <c r="AA44" s="48">
        <v>0.5454</v>
      </c>
      <c r="AB44" s="48">
        <v>7.0537000000000001</v>
      </c>
      <c r="AC44" s="48">
        <v>8.7849000000000004</v>
      </c>
      <c r="AD44" s="48">
        <f t="shared" si="20"/>
        <v>7.6043</v>
      </c>
      <c r="AE44" s="48">
        <f t="shared" si="21"/>
        <v>9.3303</v>
      </c>
      <c r="AF44" s="49" t="s">
        <v>167</v>
      </c>
      <c r="AG44" s="49" t="s">
        <v>168</v>
      </c>
      <c r="AH44" s="49">
        <v>1</v>
      </c>
      <c r="AI44" s="49" t="s">
        <v>137</v>
      </c>
      <c r="AJ44" s="2"/>
    </row>
    <row r="45" spans="1:36">
      <c r="A45" s="49">
        <v>9</v>
      </c>
      <c r="B45" s="49" t="s">
        <v>169</v>
      </c>
      <c r="C45" s="49">
        <v>0.5</v>
      </c>
      <c r="D45" s="49">
        <v>0.25</v>
      </c>
      <c r="E45" s="49">
        <v>0.42</v>
      </c>
      <c r="F45" s="48">
        <v>0.49930000000000002</v>
      </c>
      <c r="G45" s="48">
        <v>0.50019999999999998</v>
      </c>
      <c r="H45" s="48">
        <v>0.25040000000000001</v>
      </c>
      <c r="I45" s="48">
        <v>0.25019999999999998</v>
      </c>
      <c r="J45" s="48">
        <v>0.47049999999999997</v>
      </c>
      <c r="K45" s="48">
        <v>0.41959999999999997</v>
      </c>
      <c r="L45" s="48">
        <f t="shared" si="11"/>
        <v>0.699999999999978</v>
      </c>
      <c r="M45" s="48">
        <f t="shared" si="12"/>
        <v>0.199999999999978</v>
      </c>
      <c r="N45" s="48">
        <f t="shared" si="13"/>
        <v>0.400000000000011</v>
      </c>
      <c r="O45" s="48">
        <f t="shared" si="14"/>
        <v>0.199999999999978</v>
      </c>
      <c r="P45" s="48">
        <f t="shared" si="15"/>
        <v>50.5</v>
      </c>
      <c r="Q45" s="48">
        <f t="shared" si="16"/>
        <v>0.400000000000011</v>
      </c>
      <c r="R45" s="48">
        <f t="shared" si="17"/>
        <v>50.5064352335423</v>
      </c>
      <c r="S45" s="48">
        <f t="shared" si="18"/>
        <v>0.489897948556627</v>
      </c>
      <c r="T45" s="110"/>
      <c r="U45" s="110"/>
      <c r="V45" s="110"/>
      <c r="W45" s="110"/>
      <c r="X45" s="110"/>
      <c r="Y45" s="110"/>
      <c r="Z45" s="48">
        <v>0.55200000000000005</v>
      </c>
      <c r="AA45" s="48">
        <v>0.53620000000000001</v>
      </c>
      <c r="AB45" s="48">
        <v>7.04</v>
      </c>
      <c r="AC45" s="48">
        <v>8.4666999999999994</v>
      </c>
      <c r="AD45" s="48">
        <f t="shared" si="20"/>
        <v>7.592</v>
      </c>
      <c r="AE45" s="48">
        <f t="shared" si="21"/>
        <v>9.0029</v>
      </c>
      <c r="AF45" s="49" t="s">
        <v>167</v>
      </c>
      <c r="AG45" s="49" t="s">
        <v>168</v>
      </c>
      <c r="AH45" s="49">
        <v>1</v>
      </c>
      <c r="AI45" s="49" t="s">
        <v>137</v>
      </c>
      <c r="AJ45" s="2"/>
    </row>
    <row r="46" spans="1:36">
      <c r="A46" s="49">
        <v>10</v>
      </c>
      <c r="B46" s="49" t="s">
        <v>166</v>
      </c>
      <c r="C46" s="49">
        <v>0.6</v>
      </c>
      <c r="D46" s="49">
        <v>0</v>
      </c>
      <c r="E46" s="49">
        <v>0.35</v>
      </c>
      <c r="F46" s="48">
        <v>0.60119999999999996</v>
      </c>
      <c r="G46" s="48">
        <v>0.60050000000000003</v>
      </c>
      <c r="H46" s="48">
        <v>1E-4</v>
      </c>
      <c r="I46" s="48">
        <v>-8.0000000000000004E-4</v>
      </c>
      <c r="J46" s="48">
        <v>0.40029999999999999</v>
      </c>
      <c r="K46" s="48">
        <v>0.35020000000000001</v>
      </c>
      <c r="L46" s="48">
        <f t="shared" si="11"/>
        <v>1.19999999999998</v>
      </c>
      <c r="M46" s="48">
        <f t="shared" si="12"/>
        <v>0.500000000000056</v>
      </c>
      <c r="N46" s="48">
        <f t="shared" si="13"/>
        <v>0.1</v>
      </c>
      <c r="O46" s="48">
        <f t="shared" si="14"/>
        <v>0.8</v>
      </c>
      <c r="P46" s="48">
        <f t="shared" si="15"/>
        <v>50.3</v>
      </c>
      <c r="Q46" s="48">
        <f t="shared" si="16"/>
        <v>0.200000000000033</v>
      </c>
      <c r="R46" s="48">
        <f t="shared" si="17"/>
        <v>50.3144114543736</v>
      </c>
      <c r="S46" s="48">
        <f t="shared" si="18"/>
        <v>0.964365076099332</v>
      </c>
      <c r="T46" s="110"/>
      <c r="U46" s="110"/>
      <c r="V46" s="110"/>
      <c r="W46" s="110"/>
      <c r="X46" s="110"/>
      <c r="Y46" s="110"/>
      <c r="Z46" s="48">
        <v>0.54479999999999995</v>
      </c>
      <c r="AA46" s="48">
        <v>0.55689999999999995</v>
      </c>
      <c r="AB46" s="48">
        <v>7.0442999999999998</v>
      </c>
      <c r="AC46" s="48">
        <v>9.4169999999999998</v>
      </c>
      <c r="AD46" s="48">
        <f t="shared" si="20"/>
        <v>7.5891</v>
      </c>
      <c r="AE46" s="48">
        <f t="shared" si="21"/>
        <v>9.9739</v>
      </c>
      <c r="AF46" s="49" t="s">
        <v>167</v>
      </c>
      <c r="AG46" s="49" t="s">
        <v>168</v>
      </c>
      <c r="AH46" s="49">
        <v>1</v>
      </c>
      <c r="AI46" s="49" t="s">
        <v>137</v>
      </c>
      <c r="AJ46" s="2"/>
    </row>
    <row r="47" spans="1:36">
      <c r="A47" s="49">
        <v>10</v>
      </c>
      <c r="B47" s="49" t="s">
        <v>169</v>
      </c>
      <c r="C47" s="49">
        <v>0.5</v>
      </c>
      <c r="D47" s="49">
        <v>0.25</v>
      </c>
      <c r="E47" s="49">
        <v>0.42</v>
      </c>
      <c r="F47" s="48">
        <v>0.50109999999999999</v>
      </c>
      <c r="G47" s="48">
        <v>0.50029999999999997</v>
      </c>
      <c r="H47" s="48">
        <v>0.249</v>
      </c>
      <c r="I47" s="48">
        <v>0.25019999999999998</v>
      </c>
      <c r="J47" s="48">
        <v>0.47049999999999997</v>
      </c>
      <c r="K47" s="48">
        <v>0.41980000000000001</v>
      </c>
      <c r="L47" s="48">
        <f t="shared" si="11"/>
        <v>1.09999999999999</v>
      </c>
      <c r="M47" s="48">
        <f t="shared" si="12"/>
        <v>0.299999999999967</v>
      </c>
      <c r="N47" s="48">
        <f t="shared" si="13"/>
        <v>1</v>
      </c>
      <c r="O47" s="48">
        <f t="shared" si="14"/>
        <v>0.199999999999978</v>
      </c>
      <c r="P47" s="48">
        <f t="shared" si="15"/>
        <v>50.5</v>
      </c>
      <c r="Q47" s="48">
        <f t="shared" si="16"/>
        <v>0.199999999999978</v>
      </c>
      <c r="R47" s="48">
        <f t="shared" si="17"/>
        <v>50.5218764497123</v>
      </c>
      <c r="S47" s="48">
        <f t="shared" si="18"/>
        <v>0.412310562561721</v>
      </c>
      <c r="T47" s="111"/>
      <c r="U47" s="111"/>
      <c r="V47" s="111"/>
      <c r="W47" s="111"/>
      <c r="X47" s="111"/>
      <c r="Y47" s="111"/>
      <c r="Z47" s="48">
        <v>0.5474</v>
      </c>
      <c r="AA47" s="48">
        <v>0.42220000000000002</v>
      </c>
      <c r="AB47" s="48">
        <v>7.0403000000000002</v>
      </c>
      <c r="AC47" s="48">
        <v>7.0994999999999999</v>
      </c>
      <c r="AD47" s="48">
        <f t="shared" si="20"/>
        <v>7.5877</v>
      </c>
      <c r="AE47" s="48">
        <f t="shared" si="21"/>
        <v>7.5217</v>
      </c>
      <c r="AF47" s="49" t="s">
        <v>167</v>
      </c>
      <c r="AG47" s="49" t="s">
        <v>168</v>
      </c>
      <c r="AH47" s="49">
        <v>1</v>
      </c>
      <c r="AI47" s="49" t="s">
        <v>137</v>
      </c>
      <c r="AJ47" s="2"/>
    </row>
    <row r="48" spans="1:36" ht="18.3" customHeight="1">
      <c r="A48" s="104" t="s">
        <v>170</v>
      </c>
      <c r="B48" s="105"/>
      <c r="C48" s="105"/>
      <c r="D48" s="105"/>
      <c r="E48" s="106"/>
      <c r="F48" s="116">
        <f>AVERAGE(F28:F47)-AVERAGE(G28:G47)</f>
        <v>-5.00000000003276e-06</v>
      </c>
      <c r="G48" s="106"/>
      <c r="H48" s="116">
        <f>AVERAGE(H28:H47)-AVERAGE(I28:I47)</f>
        <v>-0.000339999999999979</v>
      </c>
      <c r="I48" s="106"/>
      <c r="J48" s="116">
        <f>AVERAGE(J28:J47)-AVERAGE(K28:K47)</f>
        <v>0.050235</v>
      </c>
      <c r="K48" s="106"/>
      <c r="L48" s="116">
        <f>AVERAGE(L28:L47)-AVERAGE(M28:M47)</f>
        <v>0.264999999999996</v>
      </c>
      <c r="M48" s="106"/>
      <c r="N48" s="116">
        <f>AVERAGE(N28:N47)-AVERAGE(O28:O47)</f>
        <v>0.120000000000004</v>
      </c>
      <c r="O48" s="106"/>
      <c r="P48" s="116">
        <f>AVERAGE(P28:P47)-AVERAGE(Q28:Q47)</f>
        <v>49.885</v>
      </c>
      <c r="Q48" s="106"/>
      <c r="R48" s="116">
        <f>AVERAGE(R28:R47)-AVERAGE(S28:S47)</f>
        <v>49.5285811825138</v>
      </c>
      <c r="S48" s="106"/>
      <c r="T48" s="116">
        <f>AVERAGE(T28:T47)-AVERAGE(U28:U47)</f>
        <v>9.12796950400252e-05</v>
      </c>
      <c r="U48" s="106"/>
      <c r="V48" s="116">
        <f>AVERAGE(V28:V47)-AVERAGE(W28:W47)</f>
        <v>-0.000143203022038657</v>
      </c>
      <c r="W48" s="106"/>
      <c r="X48" s="116">
        <f>AVERAGE(X28:X47)-AVERAGE(Y28:Y47)</f>
        <v>7.88830876323129e-05</v>
      </c>
      <c r="Y48" s="106"/>
      <c r="Z48" s="116">
        <f>AVERAGE(AA28:AA47)-AVERAGE(Z28:Z47)</f>
        <v>-0.00720500000000002</v>
      </c>
      <c r="AA48" s="106"/>
      <c r="AB48" s="116">
        <f>AVERAGE(AC28:AC47)-AVERAGE(AB28:AB47)</f>
        <v>1.617257</v>
      </c>
      <c r="AC48" s="106"/>
      <c r="AD48" s="116">
        <f>AVERAGE(AE28:AE47)-AVERAGE(AD28:AD47)</f>
        <v>1.610052</v>
      </c>
      <c r="AE48" s="106"/>
      <c r="AF48" s="117"/>
      <c r="AG48" s="105"/>
      <c r="AH48" s="105"/>
      <c r="AI48" s="106"/>
      <c r="AJ48" s="2"/>
    </row>
    <row r="49" spans="1:36">
      <c r="A49" s="112" t="s">
        <v>172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6"/>
      <c r="AJ49" s="2"/>
    </row>
    <row r="50" spans="1:36" s="2" customFormat="1" ht="16.350000000000001" customHeight="1">
      <c r="A50" s="107" t="s">
        <v>126</v>
      </c>
      <c r="B50" s="107" t="s">
        <v>143</v>
      </c>
      <c r="C50" s="107" t="s">
        <v>144</v>
      </c>
      <c r="D50" s="107" t="s">
        <v>145</v>
      </c>
      <c r="E50" s="107" t="s">
        <v>146</v>
      </c>
      <c r="F50" s="107" t="s">
        <v>147</v>
      </c>
      <c r="G50" s="106"/>
      <c r="H50" s="107" t="s">
        <v>148</v>
      </c>
      <c r="I50" s="106"/>
      <c r="J50" s="107" t="s">
        <v>149</v>
      </c>
      <c r="K50" s="106"/>
      <c r="L50" s="114" t="s">
        <v>150</v>
      </c>
      <c r="M50" s="106"/>
      <c r="N50" s="114" t="s">
        <v>151</v>
      </c>
      <c r="O50" s="106"/>
      <c r="P50" s="114" t="s">
        <v>152</v>
      </c>
      <c r="Q50" s="106"/>
      <c r="R50" s="107" t="s">
        <v>153</v>
      </c>
      <c r="S50" s="106"/>
      <c r="T50" s="107" t="s">
        <v>154</v>
      </c>
      <c r="U50" s="106"/>
      <c r="V50" s="107" t="s">
        <v>155</v>
      </c>
      <c r="W50" s="106"/>
      <c r="X50" s="107" t="s">
        <v>156</v>
      </c>
      <c r="Y50" s="106"/>
      <c r="Z50" s="107" t="s">
        <v>157</v>
      </c>
      <c r="AA50" s="106"/>
      <c r="AB50" s="107" t="s">
        <v>158</v>
      </c>
      <c r="AC50" s="106"/>
      <c r="AD50" s="107" t="s">
        <v>159</v>
      </c>
      <c r="AE50" s="106"/>
      <c r="AF50" s="107" t="s">
        <v>160</v>
      </c>
      <c r="AG50" s="107" t="s">
        <v>161</v>
      </c>
      <c r="AH50" s="107" t="s">
        <v>162</v>
      </c>
      <c r="AI50" s="107" t="s">
        <v>163</v>
      </c>
    </row>
    <row r="51" spans="1:36" s="2" customFormat="1" ht="16.350000000000001" customHeight="1">
      <c r="A51" s="111"/>
      <c r="B51" s="111"/>
      <c r="C51" s="111"/>
      <c r="D51" s="111"/>
      <c r="E51" s="111"/>
      <c r="F51" s="47" t="s">
        <v>164</v>
      </c>
      <c r="G51" s="72" t="s">
        <v>165</v>
      </c>
      <c r="H51" s="47" t="s">
        <v>164</v>
      </c>
      <c r="I51" s="72" t="s">
        <v>165</v>
      </c>
      <c r="J51" s="47" t="s">
        <v>164</v>
      </c>
      <c r="K51" s="72" t="s">
        <v>165</v>
      </c>
      <c r="L51" s="47" t="s">
        <v>164</v>
      </c>
      <c r="M51" s="72" t="s">
        <v>165</v>
      </c>
      <c r="N51" s="47" t="s">
        <v>164</v>
      </c>
      <c r="O51" s="72" t="s">
        <v>165</v>
      </c>
      <c r="P51" s="47" t="s">
        <v>164</v>
      </c>
      <c r="Q51" s="72" t="s">
        <v>165</v>
      </c>
      <c r="R51" s="47" t="s">
        <v>164</v>
      </c>
      <c r="S51" s="72" t="s">
        <v>165</v>
      </c>
      <c r="T51" s="47" t="s">
        <v>164</v>
      </c>
      <c r="U51" s="72" t="s">
        <v>165</v>
      </c>
      <c r="V51" s="47" t="s">
        <v>164</v>
      </c>
      <c r="W51" s="72" t="s">
        <v>165</v>
      </c>
      <c r="X51" s="47" t="s">
        <v>164</v>
      </c>
      <c r="Y51" s="72" t="s">
        <v>165</v>
      </c>
      <c r="Z51" s="72" t="s">
        <v>165</v>
      </c>
      <c r="AA51" s="47" t="s">
        <v>164</v>
      </c>
      <c r="AB51" s="72" t="s">
        <v>165</v>
      </c>
      <c r="AC51" s="47" t="s">
        <v>164</v>
      </c>
      <c r="AD51" s="72" t="s">
        <v>165</v>
      </c>
      <c r="AE51" s="47" t="s">
        <v>164</v>
      </c>
      <c r="AF51" s="111"/>
      <c r="AG51" s="111"/>
      <c r="AH51" s="111"/>
      <c r="AI51" s="111"/>
    </row>
    <row r="52" spans="1:36">
      <c r="A52" s="49">
        <v>1</v>
      </c>
      <c r="B52" s="49" t="s">
        <v>166</v>
      </c>
      <c r="C52" s="49">
        <v>0.52</v>
      </c>
      <c r="D52" s="49">
        <v>0.25</v>
      </c>
      <c r="E52" s="49">
        <v>0.35</v>
      </c>
      <c r="F52" s="48">
        <v>0.51959999999999995</v>
      </c>
      <c r="G52" s="48">
        <v>0.52039999999999997</v>
      </c>
      <c r="H52" s="48">
        <v>0.25009999999999999</v>
      </c>
      <c r="I52" s="48">
        <v>0.25040000000000001</v>
      </c>
      <c r="J52" s="48">
        <v>0.4002</v>
      </c>
      <c r="K52" s="48">
        <v>0.35070000000000001</v>
      </c>
      <c r="L52" s="48">
        <f t="shared" ref="L52:L71" si="22">ABS(F52-C52)*1000</f>
        <v>0.400000000000067</v>
      </c>
      <c r="M52" s="48">
        <f t="shared" ref="M52:M71" si="23">ABS(G52-C52)*1000</f>
        <v>0.399999999999956</v>
      </c>
      <c r="N52" s="48">
        <f t="shared" ref="N52:N71" si="24">ABS(H52-D52)*1000</f>
        <v>0.099999999999989</v>
      </c>
      <c r="O52" s="48">
        <f t="shared" ref="O52:O71" si="25">ABS(I52-D52)*1000</f>
        <v>0.400000000000011</v>
      </c>
      <c r="P52" s="48">
        <f t="shared" ref="P52:P71" si="26">ABS(J52-E52)*1000</f>
        <v>50.2</v>
      </c>
      <c r="Q52" s="48">
        <f t="shared" ref="Q52:Q71" si="27">ABS(K52-E52)*1000</f>
        <v>0.700000000000034</v>
      </c>
      <c r="R52" s="48">
        <f t="shared" ref="R52:R71" si="28">SQRT(SUMSQ(L52,N52,P52))</f>
        <v>50.2016931985367</v>
      </c>
      <c r="S52" s="48">
        <f t="shared" ref="S52:S71" si="29">SQRT(SUMSQ(M52,O52,Q52))</f>
        <v>0.900000000000012</v>
      </c>
      <c r="T52" s="109">
        <f t="shared" ref="T52:Y52" si="30">_xlfn.STDEV.S(F52:F71)</f>
        <v>0.102661452305496</v>
      </c>
      <c r="U52" s="109">
        <f t="shared" si="30"/>
        <v>0.102582920887908</v>
      </c>
      <c r="V52" s="109">
        <f t="shared" si="30"/>
        <v>0.231138571959265</v>
      </c>
      <c r="W52" s="109">
        <f t="shared" si="30"/>
        <v>0.230948046333506</v>
      </c>
      <c r="X52" s="109">
        <f t="shared" si="30"/>
        <v>0.0362091497596366</v>
      </c>
      <c r="Y52" s="109">
        <f t="shared" si="30"/>
        <v>0.0358663524329155</v>
      </c>
      <c r="Z52" s="48">
        <v>0.55189999999999995</v>
      </c>
      <c r="AA52" s="48">
        <v>0.67169999999999996</v>
      </c>
      <c r="AB52" s="48">
        <v>7.0453000000000001</v>
      </c>
      <c r="AC52" s="48">
        <v>10.218999999999999</v>
      </c>
      <c r="AD52" s="48">
        <f t="shared" ref="AD52:AD71" si="31">AB52+Z52</f>
        <v>7.5972</v>
      </c>
      <c r="AE52" s="48">
        <f t="shared" ref="AE52:AE71" si="32">AC52+AA52</f>
        <v>10.8907</v>
      </c>
      <c r="AF52" s="49" t="s">
        <v>167</v>
      </c>
      <c r="AG52" s="49" t="s">
        <v>168</v>
      </c>
      <c r="AH52" s="49">
        <v>1</v>
      </c>
      <c r="AI52" s="49" t="s">
        <v>137</v>
      </c>
      <c r="AJ52" s="2"/>
    </row>
    <row r="53" spans="1:36">
      <c r="A53" s="49">
        <v>1</v>
      </c>
      <c r="B53" s="49" t="s">
        <v>169</v>
      </c>
      <c r="C53" s="49">
        <v>0.72</v>
      </c>
      <c r="D53" s="49">
        <v>-0.2</v>
      </c>
      <c r="E53" s="49">
        <v>0.42</v>
      </c>
      <c r="F53" s="48">
        <v>0.72019999999999995</v>
      </c>
      <c r="G53" s="48">
        <v>0.72030000000000005</v>
      </c>
      <c r="H53" s="48">
        <v>-0.20080000000000001</v>
      </c>
      <c r="I53" s="48">
        <v>-0.20050000000000001</v>
      </c>
      <c r="J53" s="48">
        <v>0.46970000000000001</v>
      </c>
      <c r="K53" s="48">
        <v>0.42080000000000001</v>
      </c>
      <c r="L53" s="48">
        <f t="shared" si="22"/>
        <v>0.199999999999978</v>
      </c>
      <c r="M53" s="48">
        <f t="shared" si="23"/>
        <v>0.300000000000078</v>
      </c>
      <c r="N53" s="48">
        <f t="shared" si="24"/>
        <v>0.799999999999995</v>
      </c>
      <c r="O53" s="48">
        <f t="shared" si="25"/>
        <v>0.5</v>
      </c>
      <c r="P53" s="48">
        <f t="shared" si="26"/>
        <v>49.7</v>
      </c>
      <c r="Q53" s="48">
        <f t="shared" si="27"/>
        <v>0.800000000000023</v>
      </c>
      <c r="R53" s="48">
        <f t="shared" si="28"/>
        <v>49.7068405755184</v>
      </c>
      <c r="S53" s="48">
        <f t="shared" si="29"/>
        <v>0.989949493661209</v>
      </c>
      <c r="T53" s="110"/>
      <c r="U53" s="110"/>
      <c r="V53" s="110"/>
      <c r="W53" s="110"/>
      <c r="X53" s="110"/>
      <c r="Y53" s="110"/>
      <c r="Z53" s="48">
        <v>0.54</v>
      </c>
      <c r="AA53" s="48">
        <v>0.55049999999999999</v>
      </c>
      <c r="AB53" s="48">
        <v>7.5796999999999999</v>
      </c>
      <c r="AC53" s="48">
        <v>9.2818000000000005</v>
      </c>
      <c r="AD53" s="48">
        <f t="shared" si="31"/>
        <v>8.1197</v>
      </c>
      <c r="AE53" s="48">
        <f t="shared" si="32"/>
        <v>9.8323</v>
      </c>
      <c r="AF53" s="49" t="s">
        <v>167</v>
      </c>
      <c r="AG53" s="49" t="s">
        <v>168</v>
      </c>
      <c r="AH53" s="49">
        <v>1</v>
      </c>
      <c r="AI53" s="49" t="s">
        <v>137</v>
      </c>
      <c r="AJ53" s="2"/>
    </row>
    <row r="54" spans="1:36">
      <c r="A54" s="49">
        <v>2</v>
      </c>
      <c r="B54" s="49" t="s">
        <v>166</v>
      </c>
      <c r="C54" s="49">
        <v>0.52</v>
      </c>
      <c r="D54" s="49">
        <v>0.25</v>
      </c>
      <c r="E54" s="49">
        <v>0.35</v>
      </c>
      <c r="F54" s="48">
        <v>0.52070000000000005</v>
      </c>
      <c r="G54" s="48">
        <v>0.52059999999999995</v>
      </c>
      <c r="H54" s="48">
        <v>0.2487</v>
      </c>
      <c r="I54" s="48">
        <v>0.24979999999999999</v>
      </c>
      <c r="J54" s="48">
        <v>0.39989999999999998</v>
      </c>
      <c r="K54" s="48">
        <v>0.35049999999999998</v>
      </c>
      <c r="L54" s="48">
        <f t="shared" si="22"/>
        <v>0.700000000000034</v>
      </c>
      <c r="M54" s="48">
        <f t="shared" si="23"/>
        <v>0.599999999999934</v>
      </c>
      <c r="N54" s="48">
        <f t="shared" si="24"/>
        <v>1.3</v>
      </c>
      <c r="O54" s="48">
        <f t="shared" si="25"/>
        <v>0.200000000000006</v>
      </c>
      <c r="P54" s="48">
        <f t="shared" si="26"/>
        <v>49.9</v>
      </c>
      <c r="Q54" s="48">
        <f t="shared" si="27"/>
        <v>0.5</v>
      </c>
      <c r="R54" s="48">
        <f t="shared" si="28"/>
        <v>49.9218389084377</v>
      </c>
      <c r="S54" s="48">
        <f t="shared" si="29"/>
        <v>0.806225774829808</v>
      </c>
      <c r="T54" s="110"/>
      <c r="U54" s="110"/>
      <c r="V54" s="110"/>
      <c r="W54" s="110"/>
      <c r="X54" s="110"/>
      <c r="Y54" s="110"/>
      <c r="Z54" s="48">
        <v>0.54179999999999995</v>
      </c>
      <c r="AA54" s="48">
        <v>0.57179999999999997</v>
      </c>
      <c r="AB54" s="48">
        <v>7.0480999999999998</v>
      </c>
      <c r="AC54" s="48">
        <v>10.1417</v>
      </c>
      <c r="AD54" s="48">
        <f t="shared" si="31"/>
        <v>7.5899</v>
      </c>
      <c r="AE54" s="48">
        <f t="shared" si="32"/>
        <v>10.7135</v>
      </c>
      <c r="AF54" s="49" t="s">
        <v>167</v>
      </c>
      <c r="AG54" s="49" t="s">
        <v>168</v>
      </c>
      <c r="AH54" s="49">
        <v>1</v>
      </c>
      <c r="AI54" s="49" t="s">
        <v>137</v>
      </c>
      <c r="AJ54" s="2"/>
    </row>
    <row r="55" spans="1:36">
      <c r="A55" s="49">
        <v>2</v>
      </c>
      <c r="B55" s="49" t="s">
        <v>169</v>
      </c>
      <c r="C55" s="49">
        <v>0.72</v>
      </c>
      <c r="D55" s="49">
        <v>-0.2</v>
      </c>
      <c r="E55" s="49">
        <v>0.42</v>
      </c>
      <c r="F55" s="48">
        <v>0.72040000000000004</v>
      </c>
      <c r="G55" s="48">
        <v>0.72040000000000004</v>
      </c>
      <c r="H55" s="48">
        <v>-0.20050000000000001</v>
      </c>
      <c r="I55" s="48">
        <v>-0.20019999999999999</v>
      </c>
      <c r="J55" s="48">
        <v>0.47110000000000002</v>
      </c>
      <c r="K55" s="48">
        <v>0.41949999999999998</v>
      </c>
      <c r="L55" s="48">
        <f t="shared" si="22"/>
        <v>0.400000000000067</v>
      </c>
      <c r="M55" s="48">
        <f t="shared" si="23"/>
        <v>0.400000000000067</v>
      </c>
      <c r="N55" s="48">
        <f t="shared" si="24"/>
        <v>0.5</v>
      </c>
      <c r="O55" s="48">
        <f t="shared" si="25"/>
        <v>0.199999999999978</v>
      </c>
      <c r="P55" s="48">
        <f t="shared" si="26"/>
        <v>51.1</v>
      </c>
      <c r="Q55" s="48">
        <f t="shared" si="27"/>
        <v>0.5</v>
      </c>
      <c r="R55" s="48">
        <f t="shared" si="28"/>
        <v>51.1040115842191</v>
      </c>
      <c r="S55" s="48">
        <f t="shared" si="29"/>
        <v>0.670820393249971</v>
      </c>
      <c r="T55" s="110"/>
      <c r="U55" s="110"/>
      <c r="V55" s="110"/>
      <c r="W55" s="110"/>
      <c r="X55" s="110"/>
      <c r="Y55" s="110"/>
      <c r="Z55" s="48">
        <v>0.55489999999999995</v>
      </c>
      <c r="AA55" s="48">
        <v>0.53269999999999995</v>
      </c>
      <c r="AB55" s="48">
        <v>7.0452000000000004</v>
      </c>
      <c r="AC55" s="48">
        <v>7.3917000000000002</v>
      </c>
      <c r="AD55" s="48">
        <f t="shared" si="31"/>
        <v>7.6001</v>
      </c>
      <c r="AE55" s="48">
        <f t="shared" si="32"/>
        <v>7.9244</v>
      </c>
      <c r="AF55" s="49" t="s">
        <v>167</v>
      </c>
      <c r="AG55" s="49" t="s">
        <v>168</v>
      </c>
      <c r="AH55" s="49">
        <v>1</v>
      </c>
      <c r="AI55" s="49" t="s">
        <v>137</v>
      </c>
      <c r="AJ55" s="2"/>
    </row>
    <row r="56" spans="1:36">
      <c r="A56" s="49">
        <v>3</v>
      </c>
      <c r="B56" s="49" t="s">
        <v>166</v>
      </c>
      <c r="C56" s="49">
        <v>0.52</v>
      </c>
      <c r="D56" s="49">
        <v>0.25</v>
      </c>
      <c r="E56" s="49">
        <v>0.35</v>
      </c>
      <c r="F56" s="48">
        <v>0.52039999999999997</v>
      </c>
      <c r="G56" s="48">
        <v>0.52029999999999998</v>
      </c>
      <c r="H56" s="48">
        <v>0.25040000000000001</v>
      </c>
      <c r="I56" s="48">
        <v>0.2495</v>
      </c>
      <c r="J56" s="48">
        <v>0.4002</v>
      </c>
      <c r="K56" s="48">
        <v>0.34960000000000002</v>
      </c>
      <c r="L56" s="48">
        <f t="shared" si="22"/>
        <v>0.399999999999956</v>
      </c>
      <c r="M56" s="48">
        <f t="shared" si="23"/>
        <v>0.299999999999967</v>
      </c>
      <c r="N56" s="48">
        <f t="shared" si="24"/>
        <v>0.400000000000011</v>
      </c>
      <c r="O56" s="48">
        <f t="shared" si="25"/>
        <v>0.5</v>
      </c>
      <c r="P56" s="48">
        <f t="shared" si="26"/>
        <v>50.2</v>
      </c>
      <c r="Q56" s="48">
        <f t="shared" si="27"/>
        <v>0.399999999999956</v>
      </c>
      <c r="R56" s="48">
        <f t="shared" si="28"/>
        <v>50.2031871498215</v>
      </c>
      <c r="S56" s="48">
        <f t="shared" si="29"/>
        <v>0.707106781186509</v>
      </c>
      <c r="T56" s="110"/>
      <c r="U56" s="110"/>
      <c r="V56" s="110"/>
      <c r="W56" s="110"/>
      <c r="X56" s="110"/>
      <c r="Y56" s="110"/>
      <c r="Z56" s="48">
        <v>0.62390000000000001</v>
      </c>
      <c r="AA56" s="48">
        <v>0.55010000000000003</v>
      </c>
      <c r="AB56" s="48">
        <v>7.0385</v>
      </c>
      <c r="AC56" s="48">
        <v>8.8274000000000008</v>
      </c>
      <c r="AD56" s="48">
        <f t="shared" si="31"/>
        <v>7.6624</v>
      </c>
      <c r="AE56" s="48">
        <f t="shared" si="32"/>
        <v>9.3775</v>
      </c>
      <c r="AF56" s="49" t="s">
        <v>167</v>
      </c>
      <c r="AG56" s="49" t="s">
        <v>168</v>
      </c>
      <c r="AH56" s="49">
        <v>1</v>
      </c>
      <c r="AI56" s="49" t="s">
        <v>137</v>
      </c>
      <c r="AJ56" s="2"/>
    </row>
    <row r="57" spans="1:36">
      <c r="A57" s="49">
        <v>3</v>
      </c>
      <c r="B57" s="49" t="s">
        <v>169</v>
      </c>
      <c r="C57" s="49">
        <v>0.72</v>
      </c>
      <c r="D57" s="49">
        <v>-0.2</v>
      </c>
      <c r="E57" s="49">
        <v>0.42</v>
      </c>
      <c r="F57" s="48">
        <v>0.71989999999999998</v>
      </c>
      <c r="G57" s="48">
        <v>0.7198</v>
      </c>
      <c r="H57" s="48">
        <v>-0.2016</v>
      </c>
      <c r="I57" s="48">
        <v>-0.20019999999999999</v>
      </c>
      <c r="J57" s="48">
        <v>0.47039999999999998</v>
      </c>
      <c r="K57" s="48">
        <v>0.41959999999999997</v>
      </c>
      <c r="L57" s="48">
        <f t="shared" si="22"/>
        <v>0.099999999999989</v>
      </c>
      <c r="M57" s="48">
        <f t="shared" si="23"/>
        <v>0.199999999999978</v>
      </c>
      <c r="N57" s="48">
        <f t="shared" si="24"/>
        <v>1.59999999999999</v>
      </c>
      <c r="O57" s="48">
        <f t="shared" si="25"/>
        <v>0.199999999999978</v>
      </c>
      <c r="P57" s="48">
        <f t="shared" si="26"/>
        <v>50.4</v>
      </c>
      <c r="Q57" s="48">
        <f t="shared" si="27"/>
        <v>0.400000000000011</v>
      </c>
      <c r="R57" s="48">
        <f t="shared" si="28"/>
        <v>50.425489586121</v>
      </c>
      <c r="S57" s="48">
        <f t="shared" si="29"/>
        <v>0.489897948556627</v>
      </c>
      <c r="T57" s="110"/>
      <c r="U57" s="110"/>
      <c r="V57" s="110"/>
      <c r="W57" s="110"/>
      <c r="X57" s="110"/>
      <c r="Y57" s="110"/>
      <c r="Z57" s="48">
        <v>0.53569999999999995</v>
      </c>
      <c r="AA57" s="48">
        <v>0.55300000000000005</v>
      </c>
      <c r="AB57" s="48">
        <v>7.0426000000000002</v>
      </c>
      <c r="AC57" s="48">
        <v>9.1753999999999998</v>
      </c>
      <c r="AD57" s="48">
        <f t="shared" si="31"/>
        <v>7.5783</v>
      </c>
      <c r="AE57" s="48">
        <f t="shared" si="32"/>
        <v>9.7284</v>
      </c>
      <c r="AF57" s="49" t="s">
        <v>167</v>
      </c>
      <c r="AG57" s="49" t="s">
        <v>168</v>
      </c>
      <c r="AH57" s="49">
        <v>1</v>
      </c>
      <c r="AI57" s="49" t="s">
        <v>137</v>
      </c>
      <c r="AJ57" s="2"/>
    </row>
    <row r="58" spans="1:36">
      <c r="A58" s="49">
        <v>4</v>
      </c>
      <c r="B58" s="49" t="s">
        <v>166</v>
      </c>
      <c r="C58" s="49">
        <v>0.52</v>
      </c>
      <c r="D58" s="49">
        <v>0.25</v>
      </c>
      <c r="E58" s="49">
        <v>0.35</v>
      </c>
      <c r="F58" s="48">
        <v>0.51970000000000005</v>
      </c>
      <c r="G58" s="48">
        <v>0.52029999999999998</v>
      </c>
      <c r="H58" s="48">
        <v>0.2515</v>
      </c>
      <c r="I58" s="48">
        <v>0.25040000000000001</v>
      </c>
      <c r="J58" s="48">
        <v>0.3992</v>
      </c>
      <c r="K58" s="48">
        <v>0.35</v>
      </c>
      <c r="L58" s="48">
        <f t="shared" si="22"/>
        <v>0.299999999999967</v>
      </c>
      <c r="M58" s="48">
        <f t="shared" si="23"/>
        <v>0.299999999999967</v>
      </c>
      <c r="N58" s="48">
        <f t="shared" si="24"/>
        <v>1.5</v>
      </c>
      <c r="O58" s="48">
        <f t="shared" si="25"/>
        <v>0.400000000000011</v>
      </c>
      <c r="P58" s="48">
        <f t="shared" si="26"/>
        <v>49.2</v>
      </c>
      <c r="Q58" s="48">
        <f t="shared" si="27"/>
        <v>0</v>
      </c>
      <c r="R58" s="48">
        <f t="shared" si="28"/>
        <v>49.2237747435119</v>
      </c>
      <c r="S58" s="48">
        <f t="shared" si="29"/>
        <v>0.499999999999989</v>
      </c>
      <c r="T58" s="110"/>
      <c r="U58" s="110"/>
      <c r="V58" s="110"/>
      <c r="W58" s="110"/>
      <c r="X58" s="110"/>
      <c r="Y58" s="110"/>
      <c r="Z58" s="48">
        <v>0.67120000000000002</v>
      </c>
      <c r="AA58" s="48">
        <v>0.5383</v>
      </c>
      <c r="AB58" s="48">
        <v>7.0469999999999997</v>
      </c>
      <c r="AC58" s="48">
        <v>8.8750999999999998</v>
      </c>
      <c r="AD58" s="48">
        <f t="shared" si="31"/>
        <v>7.7182</v>
      </c>
      <c r="AE58" s="48">
        <f t="shared" si="32"/>
        <v>9.4134</v>
      </c>
      <c r="AF58" s="49" t="s">
        <v>167</v>
      </c>
      <c r="AG58" s="49" t="s">
        <v>168</v>
      </c>
      <c r="AH58" s="49">
        <v>1</v>
      </c>
      <c r="AI58" s="49" t="s">
        <v>137</v>
      </c>
      <c r="AJ58" s="2"/>
    </row>
    <row r="59" spans="1:36">
      <c r="A59" s="49">
        <v>4</v>
      </c>
      <c r="B59" s="49" t="s">
        <v>169</v>
      </c>
      <c r="C59" s="49">
        <v>0.72</v>
      </c>
      <c r="D59" s="49">
        <v>-0.2</v>
      </c>
      <c r="E59" s="49">
        <v>0.42</v>
      </c>
      <c r="F59" s="48">
        <v>0.72089999999999999</v>
      </c>
      <c r="G59" s="48">
        <v>0.72070000000000001</v>
      </c>
      <c r="H59" s="48">
        <v>-0.20050000000000001</v>
      </c>
      <c r="I59" s="48">
        <v>-0.20030000000000001</v>
      </c>
      <c r="J59" s="48">
        <v>0.4698</v>
      </c>
      <c r="K59" s="48">
        <v>0.42049999999999998</v>
      </c>
      <c r="L59" s="48">
        <f t="shared" si="22"/>
        <v>0.900000000000012</v>
      </c>
      <c r="M59" s="48">
        <f t="shared" si="23"/>
        <v>0.700000000000034</v>
      </c>
      <c r="N59" s="48">
        <f t="shared" si="24"/>
        <v>0.5</v>
      </c>
      <c r="O59" s="48">
        <f t="shared" si="25"/>
        <v>0.299999999999995</v>
      </c>
      <c r="P59" s="48">
        <f t="shared" si="26"/>
        <v>49.8</v>
      </c>
      <c r="Q59" s="48">
        <f t="shared" si="27"/>
        <v>0.5</v>
      </c>
      <c r="R59" s="48">
        <f t="shared" si="28"/>
        <v>49.8106414333323</v>
      </c>
      <c r="S59" s="48">
        <f t="shared" si="29"/>
        <v>0.911043357914455</v>
      </c>
      <c r="T59" s="110"/>
      <c r="U59" s="110"/>
      <c r="V59" s="110"/>
      <c r="W59" s="110"/>
      <c r="X59" s="110"/>
      <c r="Y59" s="110"/>
      <c r="Z59" s="48">
        <v>0.54830000000000001</v>
      </c>
      <c r="AA59" s="48">
        <v>0.55620000000000003</v>
      </c>
      <c r="AB59" s="48">
        <v>7.0446</v>
      </c>
      <c r="AC59" s="48">
        <v>9.5314999999999994</v>
      </c>
      <c r="AD59" s="48">
        <f t="shared" si="31"/>
        <v>7.5929</v>
      </c>
      <c r="AE59" s="48">
        <f t="shared" si="32"/>
        <v>10.0877</v>
      </c>
      <c r="AF59" s="49" t="s">
        <v>167</v>
      </c>
      <c r="AG59" s="49" t="s">
        <v>168</v>
      </c>
      <c r="AH59" s="49">
        <v>1</v>
      </c>
      <c r="AI59" s="49" t="s">
        <v>137</v>
      </c>
      <c r="AJ59" s="2"/>
    </row>
    <row r="60" spans="1:36">
      <c r="A60" s="49">
        <v>5</v>
      </c>
      <c r="B60" s="49" t="s">
        <v>166</v>
      </c>
      <c r="C60" s="49">
        <v>0.52</v>
      </c>
      <c r="D60" s="49">
        <v>0.25</v>
      </c>
      <c r="E60" s="49">
        <v>0.35</v>
      </c>
      <c r="F60" s="48">
        <v>0.52049999999999996</v>
      </c>
      <c r="G60" s="48">
        <v>0.52010000000000001</v>
      </c>
      <c r="H60" s="48">
        <v>0.25059999999999999</v>
      </c>
      <c r="I60" s="48">
        <v>0.24970000000000001</v>
      </c>
      <c r="J60" s="48">
        <v>0.39950000000000002</v>
      </c>
      <c r="K60" s="48">
        <v>0.3508</v>
      </c>
      <c r="L60" s="48">
        <f t="shared" si="22"/>
        <v>0.499999999999945</v>
      </c>
      <c r="M60" s="48">
        <f t="shared" si="23"/>
        <v>0.099999999999989</v>
      </c>
      <c r="N60" s="48">
        <f t="shared" si="24"/>
        <v>0.599999999999989</v>
      </c>
      <c r="O60" s="48">
        <f t="shared" si="25"/>
        <v>0.299999999999995</v>
      </c>
      <c r="P60" s="48">
        <f t="shared" si="26"/>
        <v>49.5</v>
      </c>
      <c r="Q60" s="48">
        <f t="shared" si="27"/>
        <v>0.800000000000023</v>
      </c>
      <c r="R60" s="48">
        <f t="shared" si="28"/>
        <v>49.5061612327194</v>
      </c>
      <c r="S60" s="48">
        <f t="shared" si="29"/>
        <v>0.860232526704281</v>
      </c>
      <c r="T60" s="110"/>
      <c r="U60" s="110"/>
      <c r="V60" s="110"/>
      <c r="W60" s="110"/>
      <c r="X60" s="110"/>
      <c r="Y60" s="110"/>
      <c r="Z60" s="48">
        <v>0.5524</v>
      </c>
      <c r="AA60" s="48">
        <v>0.56620000000000004</v>
      </c>
      <c r="AB60" s="48">
        <v>7.0461</v>
      </c>
      <c r="AC60" s="48">
        <v>10.0381</v>
      </c>
      <c r="AD60" s="48">
        <f t="shared" si="31"/>
        <v>7.5985</v>
      </c>
      <c r="AE60" s="48">
        <f t="shared" si="32"/>
        <v>10.6043</v>
      </c>
      <c r="AF60" s="49" t="s">
        <v>167</v>
      </c>
      <c r="AG60" s="49" t="s">
        <v>168</v>
      </c>
      <c r="AH60" s="49">
        <v>1</v>
      </c>
      <c r="AI60" s="49" t="s">
        <v>137</v>
      </c>
      <c r="AJ60" s="2"/>
    </row>
    <row r="61" spans="1:36">
      <c r="A61" s="49">
        <v>5</v>
      </c>
      <c r="B61" s="49" t="s">
        <v>169</v>
      </c>
      <c r="C61" s="49">
        <v>0.72</v>
      </c>
      <c r="D61" s="49">
        <v>-0.2</v>
      </c>
      <c r="E61" s="49">
        <v>0.42</v>
      </c>
      <c r="F61" s="48">
        <v>0.72130000000000005</v>
      </c>
      <c r="G61" s="48">
        <v>0.72019999999999995</v>
      </c>
      <c r="H61" s="48">
        <v>-0.2009</v>
      </c>
      <c r="I61" s="48">
        <v>-0.19980000000000001</v>
      </c>
      <c r="J61" s="48">
        <v>0.47039999999999998</v>
      </c>
      <c r="K61" s="48">
        <v>0.41959999999999997</v>
      </c>
      <c r="L61" s="48">
        <f t="shared" si="22"/>
        <v>1.30000000000008</v>
      </c>
      <c r="M61" s="48">
        <f t="shared" si="23"/>
        <v>0.199999999999978</v>
      </c>
      <c r="N61" s="48">
        <f t="shared" si="24"/>
        <v>0.899999999999984</v>
      </c>
      <c r="O61" s="48">
        <f t="shared" si="25"/>
        <v>0.200000000000006</v>
      </c>
      <c r="P61" s="48">
        <f t="shared" si="26"/>
        <v>50.4</v>
      </c>
      <c r="Q61" s="48">
        <f t="shared" si="27"/>
        <v>0.400000000000011</v>
      </c>
      <c r="R61" s="48">
        <f t="shared" si="28"/>
        <v>50.4247954879343</v>
      </c>
      <c r="S61" s="48">
        <f t="shared" si="29"/>
        <v>0.489897948556638</v>
      </c>
      <c r="T61" s="110"/>
      <c r="U61" s="110"/>
      <c r="V61" s="110"/>
      <c r="W61" s="110"/>
      <c r="X61" s="110"/>
      <c r="Y61" s="110"/>
      <c r="Z61" s="48">
        <v>0.55010000000000003</v>
      </c>
      <c r="AA61" s="48">
        <v>0.54159999999999997</v>
      </c>
      <c r="AB61" s="48">
        <v>7.0491999999999999</v>
      </c>
      <c r="AC61" s="48">
        <v>7.4413</v>
      </c>
      <c r="AD61" s="48">
        <f t="shared" si="31"/>
        <v>7.5993</v>
      </c>
      <c r="AE61" s="48">
        <f t="shared" si="32"/>
        <v>7.9829</v>
      </c>
      <c r="AF61" s="49" t="s">
        <v>167</v>
      </c>
      <c r="AG61" s="49" t="s">
        <v>168</v>
      </c>
      <c r="AH61" s="49">
        <v>1</v>
      </c>
      <c r="AI61" s="49" t="s">
        <v>137</v>
      </c>
      <c r="AJ61" s="2"/>
    </row>
    <row r="62" spans="1:36">
      <c r="A62" s="49">
        <v>6</v>
      </c>
      <c r="B62" s="49" t="s">
        <v>166</v>
      </c>
      <c r="C62" s="49">
        <v>0.52</v>
      </c>
      <c r="D62" s="49">
        <v>0.25</v>
      </c>
      <c r="E62" s="49">
        <v>0.35</v>
      </c>
      <c r="F62" s="48">
        <v>0.52029999999999998</v>
      </c>
      <c r="G62" s="48">
        <v>0.51929999999999998</v>
      </c>
      <c r="H62" s="48">
        <v>0.25059999999999999</v>
      </c>
      <c r="I62" s="48">
        <v>0.25040000000000001</v>
      </c>
      <c r="J62" s="48">
        <v>0.39960000000000001</v>
      </c>
      <c r="K62" s="48">
        <v>0.35010000000000002</v>
      </c>
      <c r="L62" s="48">
        <f t="shared" si="22"/>
        <v>0.299999999999967</v>
      </c>
      <c r="M62" s="48">
        <f t="shared" si="23"/>
        <v>0.700000000000034</v>
      </c>
      <c r="N62" s="48">
        <f t="shared" si="24"/>
        <v>0.599999999999989</v>
      </c>
      <c r="O62" s="48">
        <f t="shared" si="25"/>
        <v>0.400000000000011</v>
      </c>
      <c r="P62" s="48">
        <f t="shared" si="26"/>
        <v>49.6</v>
      </c>
      <c r="Q62" s="48">
        <f t="shared" si="27"/>
        <v>0.100000000000045</v>
      </c>
      <c r="R62" s="48">
        <f t="shared" si="28"/>
        <v>49.6045360829028</v>
      </c>
      <c r="S62" s="48">
        <f t="shared" si="29"/>
        <v>0.812403840463636</v>
      </c>
      <c r="T62" s="110"/>
      <c r="U62" s="110"/>
      <c r="V62" s="110"/>
      <c r="W62" s="110"/>
      <c r="X62" s="110"/>
      <c r="Y62" s="110"/>
      <c r="Z62" s="48">
        <v>0.54249999999999998</v>
      </c>
      <c r="AA62" s="48">
        <v>0.55740000000000001</v>
      </c>
      <c r="AB62" s="48">
        <v>7.0571999999999999</v>
      </c>
      <c r="AC62" s="48">
        <v>8.8414000000000001</v>
      </c>
      <c r="AD62" s="48">
        <f t="shared" si="31"/>
        <v>7.5997</v>
      </c>
      <c r="AE62" s="48">
        <f t="shared" si="32"/>
        <v>9.3988</v>
      </c>
      <c r="AF62" s="49" t="s">
        <v>167</v>
      </c>
      <c r="AG62" s="49" t="s">
        <v>168</v>
      </c>
      <c r="AH62" s="49">
        <v>1</v>
      </c>
      <c r="AI62" s="49" t="s">
        <v>137</v>
      </c>
      <c r="AJ62" s="2"/>
    </row>
    <row r="63" spans="1:36">
      <c r="A63" s="49">
        <v>6</v>
      </c>
      <c r="B63" s="49" t="s">
        <v>169</v>
      </c>
      <c r="C63" s="49">
        <v>0.72</v>
      </c>
      <c r="D63" s="49">
        <v>-0.2</v>
      </c>
      <c r="E63" s="49">
        <v>0.42</v>
      </c>
      <c r="F63" s="48">
        <v>0.72060000000000002</v>
      </c>
      <c r="G63" s="48">
        <v>0.72009999999999996</v>
      </c>
      <c r="H63" s="48">
        <v>-0.19919999999999999</v>
      </c>
      <c r="I63" s="48">
        <v>-0.2009</v>
      </c>
      <c r="J63" s="48">
        <v>0.47</v>
      </c>
      <c r="K63" s="48">
        <v>0.42020000000000002</v>
      </c>
      <c r="L63" s="48">
        <f t="shared" si="22"/>
        <v>0.600000000000045</v>
      </c>
      <c r="M63" s="48">
        <f t="shared" si="23"/>
        <v>0.099999999999989</v>
      </c>
      <c r="N63" s="48">
        <f t="shared" si="24"/>
        <v>0.800000000000023</v>
      </c>
      <c r="O63" s="48">
        <f t="shared" si="25"/>
        <v>0.899999999999984</v>
      </c>
      <c r="P63" s="48">
        <f t="shared" si="26"/>
        <v>50</v>
      </c>
      <c r="Q63" s="48">
        <f t="shared" si="27"/>
        <v>0.200000000000033</v>
      </c>
      <c r="R63" s="48">
        <f t="shared" si="28"/>
        <v>50.0099990001999</v>
      </c>
      <c r="S63" s="48">
        <f t="shared" si="29"/>
        <v>0.927361849549561</v>
      </c>
      <c r="T63" s="110"/>
      <c r="U63" s="110"/>
      <c r="V63" s="110"/>
      <c r="W63" s="110"/>
      <c r="X63" s="110"/>
      <c r="Y63" s="110"/>
      <c r="Z63" s="48">
        <v>0.54579999999999995</v>
      </c>
      <c r="AA63" s="48">
        <v>0.53620000000000001</v>
      </c>
      <c r="AB63" s="48">
        <v>7.0326000000000004</v>
      </c>
      <c r="AC63" s="48">
        <v>7.4180000000000001</v>
      </c>
      <c r="AD63" s="48">
        <f t="shared" si="31"/>
        <v>7.5784</v>
      </c>
      <c r="AE63" s="48">
        <f t="shared" si="32"/>
        <v>7.9542</v>
      </c>
      <c r="AF63" s="49" t="s">
        <v>167</v>
      </c>
      <c r="AG63" s="49" t="s">
        <v>168</v>
      </c>
      <c r="AH63" s="49">
        <v>1</v>
      </c>
      <c r="AI63" s="49" t="s">
        <v>137</v>
      </c>
      <c r="AJ63" s="2"/>
    </row>
    <row r="64" spans="1:36">
      <c r="A64" s="49">
        <v>7</v>
      </c>
      <c r="B64" s="49" t="s">
        <v>166</v>
      </c>
      <c r="C64" s="49">
        <v>0.52</v>
      </c>
      <c r="D64" s="49">
        <v>0.25</v>
      </c>
      <c r="E64" s="49">
        <v>0.35</v>
      </c>
      <c r="F64" s="48">
        <v>0.52</v>
      </c>
      <c r="G64" s="48">
        <v>0.52029999999999998</v>
      </c>
      <c r="H64" s="48">
        <v>0.25059999999999999</v>
      </c>
      <c r="I64" s="48">
        <v>0.24909999999999999</v>
      </c>
      <c r="J64" s="48">
        <v>0.39989999999999998</v>
      </c>
      <c r="K64" s="48">
        <v>0.35020000000000001</v>
      </c>
      <c r="L64" s="48">
        <f t="shared" si="22"/>
        <v>0</v>
      </c>
      <c r="M64" s="48">
        <f t="shared" si="23"/>
        <v>0.299999999999967</v>
      </c>
      <c r="N64" s="48">
        <f t="shared" si="24"/>
        <v>0.599999999999989</v>
      </c>
      <c r="O64" s="48">
        <f t="shared" si="25"/>
        <v>0.900000000000012</v>
      </c>
      <c r="P64" s="48">
        <f t="shared" si="26"/>
        <v>49.9</v>
      </c>
      <c r="Q64" s="48">
        <f t="shared" si="27"/>
        <v>0.200000000000033</v>
      </c>
      <c r="R64" s="48">
        <f t="shared" si="28"/>
        <v>49.9036070840576</v>
      </c>
      <c r="S64" s="48">
        <f t="shared" si="29"/>
        <v>0.969535971483274</v>
      </c>
      <c r="T64" s="110"/>
      <c r="U64" s="110"/>
      <c r="V64" s="110"/>
      <c r="W64" s="110"/>
      <c r="X64" s="110"/>
      <c r="Y64" s="110"/>
      <c r="Z64" s="48">
        <v>0.62570000000000003</v>
      </c>
      <c r="AA64" s="48">
        <v>0.53949999999999998</v>
      </c>
      <c r="AB64" s="48">
        <v>7.0448000000000004</v>
      </c>
      <c r="AC64" s="48">
        <v>8.4324999999999992</v>
      </c>
      <c r="AD64" s="48">
        <f t="shared" si="31"/>
        <v>7.6705</v>
      </c>
      <c r="AE64" s="48">
        <f t="shared" si="32"/>
        <v>8.972</v>
      </c>
      <c r="AF64" s="49" t="s">
        <v>167</v>
      </c>
      <c r="AG64" s="49" t="s">
        <v>168</v>
      </c>
      <c r="AH64" s="49">
        <v>1</v>
      </c>
      <c r="AI64" s="49" t="s">
        <v>137</v>
      </c>
      <c r="AJ64" s="2"/>
    </row>
    <row r="65" spans="1:36">
      <c r="A65" s="49">
        <v>7</v>
      </c>
      <c r="B65" s="49" t="s">
        <v>169</v>
      </c>
      <c r="C65" s="49">
        <v>0.72</v>
      </c>
      <c r="D65" s="49">
        <v>-0.2</v>
      </c>
      <c r="E65" s="49">
        <v>0.42</v>
      </c>
      <c r="F65" s="48">
        <v>0.72089999999999999</v>
      </c>
      <c r="G65" s="48">
        <v>0.72</v>
      </c>
      <c r="H65" s="48">
        <v>-0.2001</v>
      </c>
      <c r="I65" s="48">
        <v>-0.2</v>
      </c>
      <c r="J65" s="48">
        <v>0.47070000000000001</v>
      </c>
      <c r="K65" s="48">
        <v>0.42049999999999998</v>
      </c>
      <c r="L65" s="48">
        <f t="shared" si="22"/>
        <v>0.900000000000012</v>
      </c>
      <c r="M65" s="48">
        <f t="shared" si="23"/>
        <v>0</v>
      </c>
      <c r="N65" s="48">
        <f t="shared" si="24"/>
        <v>0.099999999999989</v>
      </c>
      <c r="O65" s="48">
        <f t="shared" si="25"/>
        <v>0</v>
      </c>
      <c r="P65" s="48">
        <f t="shared" si="26"/>
        <v>50.7</v>
      </c>
      <c r="Q65" s="48">
        <f t="shared" si="27"/>
        <v>0.5</v>
      </c>
      <c r="R65" s="48">
        <f t="shared" si="28"/>
        <v>50.7080861401809</v>
      </c>
      <c r="S65" s="48">
        <f t="shared" si="29"/>
        <v>0.5</v>
      </c>
      <c r="T65" s="110"/>
      <c r="U65" s="110"/>
      <c r="V65" s="110"/>
      <c r="W65" s="110"/>
      <c r="X65" s="110"/>
      <c r="Y65" s="110"/>
      <c r="Z65" s="48">
        <v>0.52429999999999999</v>
      </c>
      <c r="AA65" s="48">
        <v>0.51910000000000001</v>
      </c>
      <c r="AB65" s="48">
        <v>7.0327000000000002</v>
      </c>
      <c r="AC65" s="48">
        <v>7.4682000000000004</v>
      </c>
      <c r="AD65" s="48">
        <f t="shared" si="31"/>
        <v>7.557</v>
      </c>
      <c r="AE65" s="48">
        <f t="shared" si="32"/>
        <v>7.9873</v>
      </c>
      <c r="AF65" s="49" t="s">
        <v>167</v>
      </c>
      <c r="AG65" s="49" t="s">
        <v>168</v>
      </c>
      <c r="AH65" s="49">
        <v>1</v>
      </c>
      <c r="AI65" s="49" t="s">
        <v>137</v>
      </c>
      <c r="AJ65" s="2"/>
    </row>
    <row r="66" spans="1:36">
      <c r="A66" s="49">
        <v>8</v>
      </c>
      <c r="B66" s="49" t="s">
        <v>166</v>
      </c>
      <c r="C66" s="49">
        <v>0.52</v>
      </c>
      <c r="D66" s="49">
        <v>0.25</v>
      </c>
      <c r="E66" s="49">
        <v>0.35</v>
      </c>
      <c r="F66" s="48">
        <v>0.51980000000000004</v>
      </c>
      <c r="G66" s="48">
        <v>0.52029999999999998</v>
      </c>
      <c r="H66" s="48">
        <v>0.24959999999999999</v>
      </c>
      <c r="I66" s="48">
        <v>0.24970000000000001</v>
      </c>
      <c r="J66" s="48">
        <v>0.39950000000000002</v>
      </c>
      <c r="K66" s="48">
        <v>0.34949999999999998</v>
      </c>
      <c r="L66" s="48">
        <f t="shared" si="22"/>
        <v>0.199999999999978</v>
      </c>
      <c r="M66" s="48">
        <f t="shared" si="23"/>
        <v>0.299999999999967</v>
      </c>
      <c r="N66" s="48">
        <f t="shared" si="24"/>
        <v>0.400000000000011</v>
      </c>
      <c r="O66" s="48">
        <f t="shared" si="25"/>
        <v>0.299999999999995</v>
      </c>
      <c r="P66" s="48">
        <f t="shared" si="26"/>
        <v>49.5</v>
      </c>
      <c r="Q66" s="48">
        <f t="shared" si="27"/>
        <v>0.5</v>
      </c>
      <c r="R66" s="48">
        <f t="shared" si="28"/>
        <v>49.5020201607975</v>
      </c>
      <c r="S66" s="48">
        <f t="shared" si="29"/>
        <v>0.655743852430183</v>
      </c>
      <c r="T66" s="110"/>
      <c r="U66" s="110"/>
      <c r="V66" s="110"/>
      <c r="W66" s="110"/>
      <c r="X66" s="110"/>
      <c r="Y66" s="110"/>
      <c r="Z66" s="48">
        <v>0.58730000000000004</v>
      </c>
      <c r="AA66" s="48">
        <v>0.58009999999999995</v>
      </c>
      <c r="AB66" s="48">
        <v>7.0450999999999997</v>
      </c>
      <c r="AC66" s="48">
        <v>9.9948999999999995</v>
      </c>
      <c r="AD66" s="48">
        <f t="shared" si="31"/>
        <v>7.6324</v>
      </c>
      <c r="AE66" s="48">
        <f t="shared" si="32"/>
        <v>10.575</v>
      </c>
      <c r="AF66" s="49" t="s">
        <v>167</v>
      </c>
      <c r="AG66" s="49" t="s">
        <v>168</v>
      </c>
      <c r="AH66" s="49">
        <v>1</v>
      </c>
      <c r="AI66" s="49" t="s">
        <v>137</v>
      </c>
      <c r="AJ66" s="2"/>
    </row>
    <row r="67" spans="1:36">
      <c r="A67" s="49">
        <v>8</v>
      </c>
      <c r="B67" s="49" t="s">
        <v>169</v>
      </c>
      <c r="C67" s="49">
        <v>0.72</v>
      </c>
      <c r="D67" s="49">
        <v>-0.2</v>
      </c>
      <c r="E67" s="49">
        <v>0.42</v>
      </c>
      <c r="F67" s="48">
        <v>0.71909999999999996</v>
      </c>
      <c r="G67" s="48">
        <v>0.71989999999999998</v>
      </c>
      <c r="H67" s="48">
        <v>-0.2006</v>
      </c>
      <c r="I67" s="48">
        <v>-0.20069999999999999</v>
      </c>
      <c r="J67" s="48">
        <v>0.4708</v>
      </c>
      <c r="K67" s="48">
        <v>0.4204</v>
      </c>
      <c r="L67" s="48">
        <f t="shared" si="22"/>
        <v>0.900000000000012</v>
      </c>
      <c r="M67" s="48">
        <f t="shared" si="23"/>
        <v>0.099999999999989</v>
      </c>
      <c r="N67" s="48">
        <f t="shared" si="24"/>
        <v>0.599999999999989</v>
      </c>
      <c r="O67" s="48">
        <f t="shared" si="25"/>
        <v>0.699999999999978</v>
      </c>
      <c r="P67" s="48">
        <f t="shared" si="26"/>
        <v>50.8</v>
      </c>
      <c r="Q67" s="48">
        <f t="shared" si="27"/>
        <v>0.400000000000011</v>
      </c>
      <c r="R67" s="48">
        <f t="shared" si="28"/>
        <v>50.8115144430866</v>
      </c>
      <c r="S67" s="48">
        <f t="shared" si="29"/>
        <v>0.812403840463582</v>
      </c>
      <c r="T67" s="110"/>
      <c r="U67" s="110"/>
      <c r="V67" s="110"/>
      <c r="W67" s="110"/>
      <c r="X67" s="110"/>
      <c r="Y67" s="110"/>
      <c r="Z67" s="48">
        <v>0.53700000000000003</v>
      </c>
      <c r="AA67" s="48">
        <v>0.53139999999999998</v>
      </c>
      <c r="AB67" s="48">
        <v>7.0479000000000003</v>
      </c>
      <c r="AC67" s="48">
        <v>7.4374000000000002</v>
      </c>
      <c r="AD67" s="48">
        <f t="shared" si="31"/>
        <v>7.5849</v>
      </c>
      <c r="AE67" s="48">
        <f t="shared" si="32"/>
        <v>7.9688</v>
      </c>
      <c r="AF67" s="49" t="s">
        <v>167</v>
      </c>
      <c r="AG67" s="49" t="s">
        <v>168</v>
      </c>
      <c r="AH67" s="49">
        <v>1</v>
      </c>
      <c r="AI67" s="49" t="s">
        <v>137</v>
      </c>
      <c r="AJ67" s="2"/>
    </row>
    <row r="68" spans="1:36">
      <c r="A68" s="49">
        <v>9</v>
      </c>
      <c r="B68" s="49" t="s">
        <v>166</v>
      </c>
      <c r="C68" s="49">
        <v>0.52</v>
      </c>
      <c r="D68" s="49">
        <v>0.25</v>
      </c>
      <c r="E68" s="49">
        <v>0.35</v>
      </c>
      <c r="F68" s="48">
        <v>0.51900000000000002</v>
      </c>
      <c r="G68" s="48">
        <v>0.5202</v>
      </c>
      <c r="H68" s="48">
        <v>0.2495</v>
      </c>
      <c r="I68" s="48">
        <v>0.25019999999999998</v>
      </c>
      <c r="J68" s="48">
        <v>0.40039999999999998</v>
      </c>
      <c r="K68" s="48">
        <v>0.35060000000000002</v>
      </c>
      <c r="L68" s="48">
        <f t="shared" si="22"/>
        <v>1</v>
      </c>
      <c r="M68" s="48">
        <f t="shared" si="23"/>
        <v>0.199999999999978</v>
      </c>
      <c r="N68" s="48">
        <f t="shared" si="24"/>
        <v>0.5</v>
      </c>
      <c r="O68" s="48">
        <f t="shared" si="25"/>
        <v>0.199999999999978</v>
      </c>
      <c r="P68" s="48">
        <f t="shared" si="26"/>
        <v>50.4</v>
      </c>
      <c r="Q68" s="48">
        <f t="shared" si="27"/>
        <v>0.600000000000045</v>
      </c>
      <c r="R68" s="48">
        <f t="shared" si="28"/>
        <v>50.412399268434</v>
      </c>
      <c r="S68" s="48">
        <f t="shared" si="29"/>
        <v>0.663324958071107</v>
      </c>
      <c r="T68" s="110"/>
      <c r="U68" s="110"/>
      <c r="V68" s="110"/>
      <c r="W68" s="110"/>
      <c r="X68" s="110"/>
      <c r="Y68" s="110"/>
      <c r="Z68" s="48">
        <v>0.6754</v>
      </c>
      <c r="AA68" s="48">
        <v>0.55310000000000004</v>
      </c>
      <c r="AB68" s="48">
        <v>7.0467000000000004</v>
      </c>
      <c r="AC68" s="48">
        <v>8.4309999999999992</v>
      </c>
      <c r="AD68" s="48">
        <f t="shared" si="31"/>
        <v>7.7221</v>
      </c>
      <c r="AE68" s="48">
        <f t="shared" si="32"/>
        <v>8.9841</v>
      </c>
      <c r="AF68" s="49" t="s">
        <v>167</v>
      </c>
      <c r="AG68" s="49" t="s">
        <v>168</v>
      </c>
      <c r="AH68" s="49">
        <v>1</v>
      </c>
      <c r="AI68" s="49" t="s">
        <v>137</v>
      </c>
      <c r="AJ68" s="2"/>
    </row>
    <row r="69" spans="1:36">
      <c r="A69" s="49">
        <v>9</v>
      </c>
      <c r="B69" s="49" t="s">
        <v>169</v>
      </c>
      <c r="C69" s="49">
        <v>0.72</v>
      </c>
      <c r="D69" s="49">
        <v>-0.2</v>
      </c>
      <c r="E69" s="49">
        <v>0.42</v>
      </c>
      <c r="F69" s="48">
        <v>0.71930000000000005</v>
      </c>
      <c r="G69" s="48">
        <v>0.72040000000000004</v>
      </c>
      <c r="H69" s="48">
        <v>-0.2001</v>
      </c>
      <c r="I69" s="48">
        <v>-0.20030000000000001</v>
      </c>
      <c r="J69" s="48">
        <v>0.47070000000000001</v>
      </c>
      <c r="K69" s="48">
        <v>0.4194</v>
      </c>
      <c r="L69" s="48">
        <f t="shared" si="22"/>
        <v>0.699999999999923</v>
      </c>
      <c r="M69" s="48">
        <f t="shared" si="23"/>
        <v>0.400000000000067</v>
      </c>
      <c r="N69" s="48">
        <f t="shared" si="24"/>
        <v>0.099999999999989</v>
      </c>
      <c r="O69" s="48">
        <f t="shared" si="25"/>
        <v>0.299999999999995</v>
      </c>
      <c r="P69" s="48">
        <f t="shared" si="26"/>
        <v>50.7</v>
      </c>
      <c r="Q69" s="48">
        <f t="shared" si="27"/>
        <v>0.599999999999989</v>
      </c>
      <c r="R69" s="48">
        <f t="shared" si="28"/>
        <v>50.7049307267055</v>
      </c>
      <c r="S69" s="48">
        <f t="shared" si="29"/>
        <v>0.78102496759069</v>
      </c>
      <c r="T69" s="110"/>
      <c r="U69" s="110"/>
      <c r="V69" s="110"/>
      <c r="W69" s="110"/>
      <c r="X69" s="110"/>
      <c r="Y69" s="110"/>
      <c r="Z69" s="48">
        <v>0.54339999999999999</v>
      </c>
      <c r="AA69" s="48">
        <v>0.53120000000000001</v>
      </c>
      <c r="AB69" s="48">
        <v>7.0346000000000002</v>
      </c>
      <c r="AC69" s="48">
        <v>7.4692999999999996</v>
      </c>
      <c r="AD69" s="48">
        <f t="shared" si="31"/>
        <v>7.578</v>
      </c>
      <c r="AE69" s="48">
        <f t="shared" si="32"/>
        <v>8.0005</v>
      </c>
      <c r="AF69" s="49" t="s">
        <v>167</v>
      </c>
      <c r="AG69" s="49" t="s">
        <v>168</v>
      </c>
      <c r="AH69" s="49">
        <v>1</v>
      </c>
      <c r="AI69" s="49" t="s">
        <v>137</v>
      </c>
      <c r="AJ69" s="2"/>
    </row>
    <row r="70" spans="1:36">
      <c r="A70" s="49">
        <v>10</v>
      </c>
      <c r="B70" s="49" t="s">
        <v>166</v>
      </c>
      <c r="C70" s="49">
        <v>0.52</v>
      </c>
      <c r="D70" s="49">
        <v>0.25</v>
      </c>
      <c r="E70" s="49">
        <v>0.35</v>
      </c>
      <c r="F70" s="48">
        <v>0.52070000000000005</v>
      </c>
      <c r="G70" s="48">
        <v>0.52059999999999995</v>
      </c>
      <c r="H70" s="48">
        <v>0.24970000000000001</v>
      </c>
      <c r="I70" s="48">
        <v>0.2495</v>
      </c>
      <c r="J70" s="48">
        <v>0.40010000000000001</v>
      </c>
      <c r="K70" s="48">
        <v>0.34949999999999998</v>
      </c>
      <c r="L70" s="48">
        <f t="shared" si="22"/>
        <v>0.700000000000034</v>
      </c>
      <c r="M70" s="48">
        <f t="shared" si="23"/>
        <v>0.599999999999934</v>
      </c>
      <c r="N70" s="48">
        <f t="shared" si="24"/>
        <v>0.299999999999995</v>
      </c>
      <c r="O70" s="48">
        <f t="shared" si="25"/>
        <v>0.5</v>
      </c>
      <c r="P70" s="48">
        <f t="shared" si="26"/>
        <v>50.1</v>
      </c>
      <c r="Q70" s="48">
        <f t="shared" si="27"/>
        <v>0.5</v>
      </c>
      <c r="R70" s="48">
        <f t="shared" si="28"/>
        <v>50.1057880888027</v>
      </c>
      <c r="S70" s="48">
        <f t="shared" si="29"/>
        <v>0.927361849549528</v>
      </c>
      <c r="T70" s="110"/>
      <c r="U70" s="110"/>
      <c r="V70" s="110"/>
      <c r="W70" s="110"/>
      <c r="X70" s="110"/>
      <c r="Y70" s="110"/>
      <c r="Z70" s="48">
        <v>0.57550000000000001</v>
      </c>
      <c r="AA70" s="48">
        <v>0.54359999999999997</v>
      </c>
      <c r="AB70" s="48">
        <v>7.0862999999999996</v>
      </c>
      <c r="AC70" s="48">
        <v>8.4301999999999992</v>
      </c>
      <c r="AD70" s="48">
        <f t="shared" si="31"/>
        <v>7.6618</v>
      </c>
      <c r="AE70" s="48">
        <f t="shared" si="32"/>
        <v>8.9738</v>
      </c>
      <c r="AF70" s="49" t="s">
        <v>167</v>
      </c>
      <c r="AG70" s="49" t="s">
        <v>168</v>
      </c>
      <c r="AH70" s="49">
        <v>1</v>
      </c>
      <c r="AI70" s="49" t="s">
        <v>137</v>
      </c>
      <c r="AJ70" s="2"/>
    </row>
    <row r="71" spans="1:36">
      <c r="A71" s="49">
        <v>10</v>
      </c>
      <c r="B71" s="49" t="s">
        <v>169</v>
      </c>
      <c r="C71" s="49">
        <v>0.72</v>
      </c>
      <c r="D71" s="49">
        <v>-0.2</v>
      </c>
      <c r="E71" s="49">
        <v>0.42</v>
      </c>
      <c r="F71" s="48">
        <v>0.71930000000000005</v>
      </c>
      <c r="G71" s="48">
        <v>0.72030000000000005</v>
      </c>
      <c r="H71" s="48">
        <v>-0.2001</v>
      </c>
      <c r="I71" s="48">
        <v>-0.20039999999999999</v>
      </c>
      <c r="J71" s="48">
        <v>0.47070000000000001</v>
      </c>
      <c r="K71" s="48">
        <v>0.42009999999999997</v>
      </c>
      <c r="L71" s="48">
        <f t="shared" si="22"/>
        <v>0.699999999999923</v>
      </c>
      <c r="M71" s="48">
        <f t="shared" si="23"/>
        <v>0.300000000000078</v>
      </c>
      <c r="N71" s="48">
        <f t="shared" si="24"/>
        <v>0.099999999999989</v>
      </c>
      <c r="O71" s="48">
        <f t="shared" si="25"/>
        <v>0.399999999999984</v>
      </c>
      <c r="P71" s="48">
        <f t="shared" si="26"/>
        <v>50.7</v>
      </c>
      <c r="Q71" s="48">
        <f t="shared" si="27"/>
        <v>0.099999999999989</v>
      </c>
      <c r="R71" s="48">
        <f t="shared" si="28"/>
        <v>50.7049307267055</v>
      </c>
      <c r="S71" s="48">
        <f t="shared" si="29"/>
        <v>0.509901951359309</v>
      </c>
      <c r="T71" s="111"/>
      <c r="U71" s="111"/>
      <c r="V71" s="111"/>
      <c r="W71" s="111"/>
      <c r="X71" s="111"/>
      <c r="Y71" s="111"/>
      <c r="Z71" s="48">
        <v>0.53779999999999994</v>
      </c>
      <c r="AA71" s="48">
        <v>0.53120000000000001</v>
      </c>
      <c r="AB71" s="48">
        <v>7.0624000000000002</v>
      </c>
      <c r="AC71" s="48">
        <v>7.4692999999999996</v>
      </c>
      <c r="AD71" s="48">
        <f t="shared" si="31"/>
        <v>7.6002</v>
      </c>
      <c r="AE71" s="48">
        <f t="shared" si="32"/>
        <v>8.0005</v>
      </c>
      <c r="AF71" s="49" t="s">
        <v>167</v>
      </c>
      <c r="AG71" s="49" t="s">
        <v>168</v>
      </c>
      <c r="AH71" s="49">
        <v>1</v>
      </c>
      <c r="AI71" s="49" t="s">
        <v>137</v>
      </c>
      <c r="AJ71" s="2"/>
    </row>
    <row r="72" spans="1:36" ht="18.3" customHeight="1">
      <c r="A72" s="104" t="s">
        <v>170</v>
      </c>
      <c r="B72" s="105"/>
      <c r="C72" s="105"/>
      <c r="D72" s="105"/>
      <c r="E72" s="106"/>
      <c r="F72" s="108">
        <f>AVERAGE(F52:F71)-AVERAGE(G52:G71)</f>
        <v>-9.50000000000673e-05</v>
      </c>
      <c r="G72" s="106"/>
      <c r="H72" s="108">
        <f>AVERAGE(H52:H71)-AVERAGE(I52:I71)</f>
        <v>7.49999999999987e-05</v>
      </c>
      <c r="I72" s="106"/>
      <c r="J72" s="108">
        <f>AVERAGE(J52:J71)-AVERAGE(K52:K71)</f>
        <v>0.050035</v>
      </c>
      <c r="K72" s="106"/>
      <c r="L72" s="108">
        <f>AVERAGE(L52:L71)-AVERAGE(M52:M71)</f>
        <v>0.235000000000002</v>
      </c>
      <c r="M72" s="106"/>
      <c r="N72" s="108">
        <f>AVERAGE(N52:N71)-AVERAGE(O52:O71)</f>
        <v>0.225</v>
      </c>
      <c r="O72" s="106"/>
      <c r="P72" s="108">
        <f>AVERAGE(P52:P71)-AVERAGE(Q52:Q71)</f>
        <v>49.705</v>
      </c>
      <c r="Q72" s="106"/>
      <c r="R72" s="108">
        <f>AVERAGE(R52:R71)-AVERAGE(S52:S71)</f>
        <v>49.4056004158202</v>
      </c>
      <c r="S72" s="106"/>
      <c r="T72" s="108">
        <f>AVERAGE(T52:T71)-AVERAGE(U52:U71)</f>
        <v>7.85314175885121e-05</v>
      </c>
      <c r="U72" s="106"/>
      <c r="V72" s="108">
        <f>AVERAGE(V52:V71)-AVERAGE(W52:W71)</f>
        <v>0.000190525625759386</v>
      </c>
      <c r="W72" s="106"/>
      <c r="X72" s="108">
        <f>AVERAGE(X52:X71)-AVERAGE(Y52:Y71)</f>
        <v>0.000342797326721052</v>
      </c>
      <c r="Y72" s="106"/>
      <c r="Z72" s="108">
        <f>AVERAGE(AA52:AA71)-AVERAGE(Z52:Z71)</f>
        <v>-0.0155</v>
      </c>
      <c r="AA72" s="106"/>
      <c r="AB72" s="108">
        <f>AVERAGE(AC52:AC71)-AVERAGE(AB52:AB71)</f>
        <v>1.54193</v>
      </c>
      <c r="AC72" s="106"/>
      <c r="AD72" s="108">
        <f>AVERAGE(AE52:AE71)-AVERAGE(AD52:AD71)</f>
        <v>1.52643</v>
      </c>
      <c r="AE72" s="106"/>
      <c r="AF72" s="117"/>
      <c r="AG72" s="105"/>
      <c r="AH72" s="105"/>
      <c r="AI72" s="106"/>
      <c r="AJ72" s="2"/>
    </row>
    <row r="73" spans="1:36">
      <c r="A73" s="112" t="s">
        <v>173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6"/>
      <c r="AJ73" s="2"/>
    </row>
    <row r="74" spans="1:36" s="2" customFormat="1" ht="16.350000000000001" customHeight="1">
      <c r="A74" s="107" t="s">
        <v>126</v>
      </c>
      <c r="B74" s="107" t="s">
        <v>143</v>
      </c>
      <c r="C74" s="107" t="s">
        <v>144</v>
      </c>
      <c r="D74" s="107" t="s">
        <v>145</v>
      </c>
      <c r="E74" s="107" t="s">
        <v>146</v>
      </c>
      <c r="F74" s="107" t="s">
        <v>147</v>
      </c>
      <c r="G74" s="106"/>
      <c r="H74" s="107" t="s">
        <v>148</v>
      </c>
      <c r="I74" s="106"/>
      <c r="J74" s="107" t="s">
        <v>149</v>
      </c>
      <c r="K74" s="106"/>
      <c r="L74" s="114" t="s">
        <v>150</v>
      </c>
      <c r="M74" s="106"/>
      <c r="N74" s="114" t="s">
        <v>151</v>
      </c>
      <c r="O74" s="106"/>
      <c r="P74" s="114" t="s">
        <v>152</v>
      </c>
      <c r="Q74" s="106"/>
      <c r="R74" s="107" t="s">
        <v>153</v>
      </c>
      <c r="S74" s="106"/>
      <c r="T74" s="107" t="s">
        <v>154</v>
      </c>
      <c r="U74" s="106"/>
      <c r="V74" s="107" t="s">
        <v>155</v>
      </c>
      <c r="W74" s="106"/>
      <c r="X74" s="107" t="s">
        <v>156</v>
      </c>
      <c r="Y74" s="106"/>
      <c r="Z74" s="107" t="s">
        <v>157</v>
      </c>
      <c r="AA74" s="106"/>
      <c r="AB74" s="107" t="s">
        <v>158</v>
      </c>
      <c r="AC74" s="106"/>
      <c r="AD74" s="107" t="s">
        <v>159</v>
      </c>
      <c r="AE74" s="106"/>
      <c r="AF74" s="107" t="s">
        <v>160</v>
      </c>
      <c r="AG74" s="107" t="s">
        <v>161</v>
      </c>
      <c r="AH74" s="107" t="s">
        <v>162</v>
      </c>
      <c r="AI74" s="107" t="s">
        <v>163</v>
      </c>
    </row>
    <row r="75" spans="1:36" s="2" customFormat="1" ht="16.350000000000001" customHeight="1">
      <c r="A75" s="111"/>
      <c r="B75" s="111"/>
      <c r="C75" s="111"/>
      <c r="D75" s="111"/>
      <c r="E75" s="111"/>
      <c r="F75" s="47" t="s">
        <v>164</v>
      </c>
      <c r="G75" s="72" t="s">
        <v>165</v>
      </c>
      <c r="H75" s="47" t="s">
        <v>164</v>
      </c>
      <c r="I75" s="72" t="s">
        <v>165</v>
      </c>
      <c r="J75" s="47" t="s">
        <v>164</v>
      </c>
      <c r="K75" s="72" t="s">
        <v>165</v>
      </c>
      <c r="L75" s="47" t="s">
        <v>164</v>
      </c>
      <c r="M75" s="72" t="s">
        <v>165</v>
      </c>
      <c r="N75" s="47" t="s">
        <v>164</v>
      </c>
      <c r="O75" s="72" t="s">
        <v>165</v>
      </c>
      <c r="P75" s="47" t="s">
        <v>164</v>
      </c>
      <c r="Q75" s="72" t="s">
        <v>165</v>
      </c>
      <c r="R75" s="47" t="s">
        <v>164</v>
      </c>
      <c r="S75" s="72" t="s">
        <v>165</v>
      </c>
      <c r="T75" s="47" t="s">
        <v>164</v>
      </c>
      <c r="U75" s="72" t="s">
        <v>165</v>
      </c>
      <c r="V75" s="47" t="s">
        <v>164</v>
      </c>
      <c r="W75" s="72" t="s">
        <v>165</v>
      </c>
      <c r="X75" s="47" t="s">
        <v>164</v>
      </c>
      <c r="Y75" s="72" t="s">
        <v>165</v>
      </c>
      <c r="Z75" s="72" t="s">
        <v>165</v>
      </c>
      <c r="AA75" s="47" t="s">
        <v>164</v>
      </c>
      <c r="AB75" s="72" t="s">
        <v>165</v>
      </c>
      <c r="AC75" s="47" t="s">
        <v>164</v>
      </c>
      <c r="AD75" s="72" t="s">
        <v>165</v>
      </c>
      <c r="AE75" s="47" t="s">
        <v>164</v>
      </c>
      <c r="AF75" s="111"/>
      <c r="AG75" s="111"/>
      <c r="AH75" s="111"/>
      <c r="AI75" s="111"/>
    </row>
    <row r="76" spans="1:36">
      <c r="A76" s="49">
        <v>1</v>
      </c>
      <c r="B76" s="49" t="s">
        <v>166</v>
      </c>
      <c r="C76" s="49">
        <v>0.7</v>
      </c>
      <c r="D76" s="49">
        <v>-0.25</v>
      </c>
      <c r="E76" s="49">
        <v>0.35</v>
      </c>
      <c r="F76" s="48">
        <v>0.69979999999999998</v>
      </c>
      <c r="G76" s="48">
        <v>0.6996</v>
      </c>
      <c r="H76" s="48">
        <v>-0.24990000000000001</v>
      </c>
      <c r="I76" s="48">
        <v>-0.24990000000000001</v>
      </c>
      <c r="J76" s="48">
        <v>0.3992</v>
      </c>
      <c r="K76" s="48">
        <v>0.35010000000000002</v>
      </c>
      <c r="L76" s="48">
        <f t="shared" ref="L76:L95" si="33">ABS(F76-C76)*1000</f>
        <v>0.199999999999978</v>
      </c>
      <c r="M76" s="48">
        <f t="shared" ref="M76:M95" si="34">ABS(G76-C76)*1000</f>
        <v>0.399999999999956</v>
      </c>
      <c r="N76" s="48">
        <f t="shared" ref="N76:N95" si="35">ABS(H76-D76)*1000</f>
        <v>0.099999999999989</v>
      </c>
      <c r="O76" s="48">
        <f t="shared" ref="O76:O95" si="36">ABS(I76-D76)*1000</f>
        <v>0.099999999999989</v>
      </c>
      <c r="P76" s="48">
        <f t="shared" ref="P76:P95" si="37">ABS(J76-E76)*1000</f>
        <v>49.2</v>
      </c>
      <c r="Q76" s="48">
        <f t="shared" ref="Q76:Q95" si="38">ABS(K76-E76)*1000</f>
        <v>0.100000000000045</v>
      </c>
      <c r="R76" s="48">
        <f t="shared" ref="R76:R95" si="39">SQRT(SUMSQ(L76,N76,P76))</f>
        <v>49.2005081274574</v>
      </c>
      <c r="S76" s="48">
        <f t="shared" ref="S76:S95" si="40">SQRT(SUMSQ(M76,O76,Q76))</f>
        <v>0.424264068711895</v>
      </c>
      <c r="T76" s="109">
        <f t="shared" ref="T76:Y76" si="41">_xlfn.STDEV.P(F76:F95)</f>
        <v>0.0898917287629958</v>
      </c>
      <c r="U76" s="109">
        <f t="shared" si="41"/>
        <v>0.0901009938901897</v>
      </c>
      <c r="V76" s="109">
        <f t="shared" si="41"/>
        <v>0.00221402348677696</v>
      </c>
      <c r="W76" s="109">
        <f t="shared" si="41"/>
        <v>0.000447073819407939</v>
      </c>
      <c r="X76" s="109">
        <f t="shared" si="41"/>
        <v>0.0348760075123286</v>
      </c>
      <c r="Y76" s="109">
        <f t="shared" si="41"/>
        <v>0.0350319782484518</v>
      </c>
      <c r="Z76" s="48">
        <v>0.56759999999999999</v>
      </c>
      <c r="AA76" s="48">
        <v>0.44540000000000002</v>
      </c>
      <c r="AB76" s="48">
        <v>7.0452000000000004</v>
      </c>
      <c r="AC76" s="48">
        <v>8.8458000000000006</v>
      </c>
      <c r="AD76" s="48">
        <f t="shared" ref="AD76:AD95" si="42">AB76+Z76</f>
        <v>7.6128</v>
      </c>
      <c r="AE76" s="48">
        <f t="shared" ref="AE76:AE95" si="43">AC76+AA76</f>
        <v>9.2912</v>
      </c>
      <c r="AF76" s="49" t="s">
        <v>167</v>
      </c>
      <c r="AG76" s="49" t="s">
        <v>168</v>
      </c>
      <c r="AH76" s="49">
        <v>1</v>
      </c>
      <c r="AI76" s="49" t="s">
        <v>137</v>
      </c>
      <c r="AJ76" s="2"/>
    </row>
    <row r="77" spans="1:36">
      <c r="A77" s="49">
        <v>1</v>
      </c>
      <c r="B77" s="49" t="s">
        <v>169</v>
      </c>
      <c r="C77" s="49">
        <v>0.52</v>
      </c>
      <c r="D77" s="49">
        <v>-0.25</v>
      </c>
      <c r="E77" s="49">
        <v>0.42</v>
      </c>
      <c r="F77" s="48">
        <v>0.52010000000000001</v>
      </c>
      <c r="G77" s="48">
        <v>0.52090000000000003</v>
      </c>
      <c r="H77" s="48">
        <v>-0.25059999999999999</v>
      </c>
      <c r="I77" s="48">
        <v>-0.25019999999999998</v>
      </c>
      <c r="J77" s="48">
        <v>0.46920000000000001</v>
      </c>
      <c r="K77" s="48">
        <v>0.4199</v>
      </c>
      <c r="L77" s="48">
        <f t="shared" si="33"/>
        <v>0.099999999999989</v>
      </c>
      <c r="M77" s="48">
        <f t="shared" si="34"/>
        <v>0.900000000000012</v>
      </c>
      <c r="N77" s="48">
        <f t="shared" si="35"/>
        <v>0.599999999999989</v>
      </c>
      <c r="O77" s="48">
        <f t="shared" si="36"/>
        <v>0.199999999999978</v>
      </c>
      <c r="P77" s="48">
        <f t="shared" si="37"/>
        <v>49.2</v>
      </c>
      <c r="Q77" s="48">
        <f t="shared" si="38"/>
        <v>0.099999999999989</v>
      </c>
      <c r="R77" s="48">
        <f t="shared" si="39"/>
        <v>49.2037600189254</v>
      </c>
      <c r="S77" s="48">
        <f t="shared" si="40"/>
        <v>0.927361849549576</v>
      </c>
      <c r="T77" s="110"/>
      <c r="U77" s="110"/>
      <c r="V77" s="110"/>
      <c r="W77" s="110"/>
      <c r="X77" s="110"/>
      <c r="Y77" s="110"/>
      <c r="Z77" s="48">
        <v>0.55959999999999999</v>
      </c>
      <c r="AA77" s="48">
        <v>0.53559999999999997</v>
      </c>
      <c r="AB77" s="48">
        <v>7.0580999999999996</v>
      </c>
      <c r="AC77" s="48">
        <v>6.9234</v>
      </c>
      <c r="AD77" s="48">
        <f t="shared" si="42"/>
        <v>7.6177</v>
      </c>
      <c r="AE77" s="48">
        <f t="shared" si="43"/>
        <v>7.459</v>
      </c>
      <c r="AF77" s="49" t="s">
        <v>167</v>
      </c>
      <c r="AG77" s="49" t="s">
        <v>168</v>
      </c>
      <c r="AH77" s="49">
        <v>1</v>
      </c>
      <c r="AI77" s="49" t="s">
        <v>137</v>
      </c>
      <c r="AJ77" s="2"/>
    </row>
    <row r="78" spans="1:36">
      <c r="A78" s="49">
        <v>2</v>
      </c>
      <c r="B78" s="49" t="s">
        <v>166</v>
      </c>
      <c r="C78" s="49">
        <v>0.7</v>
      </c>
      <c r="D78" s="49">
        <v>-0.25</v>
      </c>
      <c r="E78" s="49">
        <v>0.35</v>
      </c>
      <c r="F78" s="48">
        <v>0.69899999999999995</v>
      </c>
      <c r="G78" s="48">
        <v>0.70030000000000003</v>
      </c>
      <c r="H78" s="48">
        <v>-0.25030000000000002</v>
      </c>
      <c r="I78" s="48">
        <v>-0.25009999999999999</v>
      </c>
      <c r="J78" s="48">
        <v>0.40079999999999999</v>
      </c>
      <c r="K78" s="48">
        <v>0.3503</v>
      </c>
      <c r="L78" s="48">
        <f t="shared" si="33"/>
        <v>1</v>
      </c>
      <c r="M78" s="48">
        <f t="shared" si="34"/>
        <v>0.300000000000078</v>
      </c>
      <c r="N78" s="48">
        <f t="shared" si="35"/>
        <v>0.300000000000022</v>
      </c>
      <c r="O78" s="48">
        <f t="shared" si="36"/>
        <v>0.099999999999989</v>
      </c>
      <c r="P78" s="48">
        <f t="shared" si="37"/>
        <v>50.8</v>
      </c>
      <c r="Q78" s="48">
        <f t="shared" si="38"/>
        <v>0.300000000000022</v>
      </c>
      <c r="R78" s="48">
        <f t="shared" si="39"/>
        <v>50.8107272138473</v>
      </c>
      <c r="S78" s="48">
        <f t="shared" si="40"/>
        <v>0.435889894354134</v>
      </c>
      <c r="T78" s="110"/>
      <c r="U78" s="110"/>
      <c r="V78" s="110"/>
      <c r="W78" s="110"/>
      <c r="X78" s="110"/>
      <c r="Y78" s="110"/>
      <c r="Z78" s="48">
        <v>0.53890000000000005</v>
      </c>
      <c r="AA78" s="48">
        <v>0.54159999999999997</v>
      </c>
      <c r="AB78" s="48">
        <v>7.0467000000000004</v>
      </c>
      <c r="AC78" s="48">
        <v>8.1928999999999998</v>
      </c>
      <c r="AD78" s="48">
        <f t="shared" si="42"/>
        <v>7.5856</v>
      </c>
      <c r="AE78" s="48">
        <f t="shared" si="43"/>
        <v>8.7345</v>
      </c>
      <c r="AF78" s="49" t="s">
        <v>167</v>
      </c>
      <c r="AG78" s="49" t="s">
        <v>168</v>
      </c>
      <c r="AH78" s="49">
        <v>1</v>
      </c>
      <c r="AI78" s="49" t="s">
        <v>137</v>
      </c>
      <c r="AJ78" s="2"/>
    </row>
    <row r="79" spans="1:36">
      <c r="A79" s="49">
        <v>2</v>
      </c>
      <c r="B79" s="49" t="s">
        <v>169</v>
      </c>
      <c r="C79" s="49">
        <v>0.52</v>
      </c>
      <c r="D79" s="49">
        <v>-0.25</v>
      </c>
      <c r="E79" s="49">
        <v>0.42</v>
      </c>
      <c r="F79" s="48">
        <v>0.52029999999999998</v>
      </c>
      <c r="G79" s="48">
        <v>0.52049999999999996</v>
      </c>
      <c r="H79" s="48">
        <v>-0.24979999999999999</v>
      </c>
      <c r="I79" s="48">
        <v>-0.25030000000000002</v>
      </c>
      <c r="J79" s="48">
        <v>0.47</v>
      </c>
      <c r="K79" s="48">
        <v>0.42</v>
      </c>
      <c r="L79" s="48">
        <f t="shared" si="33"/>
        <v>0.299999999999967</v>
      </c>
      <c r="M79" s="48">
        <f t="shared" si="34"/>
        <v>0.499999999999945</v>
      </c>
      <c r="N79" s="48">
        <f t="shared" si="35"/>
        <v>0.200000000000006</v>
      </c>
      <c r="O79" s="48">
        <f t="shared" si="36"/>
        <v>0.300000000000022</v>
      </c>
      <c r="P79" s="48">
        <f t="shared" si="37"/>
        <v>50</v>
      </c>
      <c r="Q79" s="48">
        <f t="shared" si="38"/>
        <v>0</v>
      </c>
      <c r="R79" s="48">
        <f t="shared" si="39"/>
        <v>50.0012999831004</v>
      </c>
      <c r="S79" s="48">
        <f t="shared" si="40"/>
        <v>0.583095189484495</v>
      </c>
      <c r="T79" s="110"/>
      <c r="U79" s="110"/>
      <c r="V79" s="110"/>
      <c r="W79" s="110"/>
      <c r="X79" s="110"/>
      <c r="Y79" s="110"/>
      <c r="Z79" s="48">
        <v>0.53959999999999997</v>
      </c>
      <c r="AA79" s="48">
        <v>0.5323</v>
      </c>
      <c r="AB79" s="48">
        <v>7.0362999999999998</v>
      </c>
      <c r="AC79" s="48">
        <v>7.0490000000000004</v>
      </c>
      <c r="AD79" s="48">
        <f t="shared" si="42"/>
        <v>7.5759</v>
      </c>
      <c r="AE79" s="48">
        <f t="shared" si="43"/>
        <v>7.5813</v>
      </c>
      <c r="AF79" s="49" t="s">
        <v>167</v>
      </c>
      <c r="AG79" s="49" t="s">
        <v>168</v>
      </c>
      <c r="AH79" s="49">
        <v>1</v>
      </c>
      <c r="AI79" s="49" t="s">
        <v>137</v>
      </c>
      <c r="AJ79" s="2"/>
    </row>
    <row r="80" spans="1:36">
      <c r="A80" s="49">
        <v>3</v>
      </c>
      <c r="B80" s="49" t="s">
        <v>166</v>
      </c>
      <c r="C80" s="49">
        <v>0.7</v>
      </c>
      <c r="D80" s="49">
        <v>-0.25</v>
      </c>
      <c r="E80" s="49">
        <v>0.35</v>
      </c>
      <c r="F80" s="48">
        <v>0.69910000000000005</v>
      </c>
      <c r="G80" s="48">
        <v>0.7006</v>
      </c>
      <c r="H80" s="48">
        <v>-0.2505</v>
      </c>
      <c r="I80" s="48">
        <v>-0.25019999999999998</v>
      </c>
      <c r="J80" s="48">
        <v>0.40139999999999998</v>
      </c>
      <c r="K80" s="48">
        <v>0.34960000000000002</v>
      </c>
      <c r="L80" s="48">
        <f t="shared" si="33"/>
        <v>0.899999999999901</v>
      </c>
      <c r="M80" s="48">
        <f t="shared" si="34"/>
        <v>0.600000000000045</v>
      </c>
      <c r="N80" s="48">
        <f t="shared" si="35"/>
        <v>0.5</v>
      </c>
      <c r="O80" s="48">
        <f t="shared" si="36"/>
        <v>0.199999999999978</v>
      </c>
      <c r="P80" s="48">
        <f t="shared" si="37"/>
        <v>51.4</v>
      </c>
      <c r="Q80" s="48">
        <f t="shared" si="38"/>
        <v>0.399999999999956</v>
      </c>
      <c r="R80" s="48">
        <f t="shared" si="39"/>
        <v>51.4103102499878</v>
      </c>
      <c r="S80" s="48">
        <f t="shared" si="40"/>
        <v>0.748331477354795</v>
      </c>
      <c r="T80" s="110"/>
      <c r="U80" s="110"/>
      <c r="V80" s="110"/>
      <c r="W80" s="110"/>
      <c r="X80" s="110"/>
      <c r="Y80" s="110"/>
      <c r="Z80" s="48">
        <v>0.54420000000000002</v>
      </c>
      <c r="AA80" s="48">
        <v>0.43190000000000001</v>
      </c>
      <c r="AB80" s="48">
        <v>7.0382999999999996</v>
      </c>
      <c r="AC80" s="48">
        <v>8.2363</v>
      </c>
      <c r="AD80" s="48">
        <f t="shared" si="42"/>
        <v>7.5825</v>
      </c>
      <c r="AE80" s="48">
        <f t="shared" si="43"/>
        <v>8.6682</v>
      </c>
      <c r="AF80" s="49" t="s">
        <v>167</v>
      </c>
      <c r="AG80" s="49" t="s">
        <v>168</v>
      </c>
      <c r="AH80" s="49">
        <v>1</v>
      </c>
      <c r="AI80" s="49" t="s">
        <v>137</v>
      </c>
      <c r="AJ80" s="2"/>
    </row>
    <row r="81" spans="1:36">
      <c r="A81" s="49">
        <v>3</v>
      </c>
      <c r="B81" s="49" t="s">
        <v>169</v>
      </c>
      <c r="C81" s="49">
        <v>0.52</v>
      </c>
      <c r="D81" s="49">
        <v>-0.25</v>
      </c>
      <c r="E81" s="49">
        <v>0.42</v>
      </c>
      <c r="F81" s="48">
        <v>0.52</v>
      </c>
      <c r="G81" s="48">
        <v>0.51959999999999995</v>
      </c>
      <c r="H81" s="48">
        <v>-0.251</v>
      </c>
      <c r="I81" s="48">
        <v>-0.2505</v>
      </c>
      <c r="J81" s="48">
        <v>0.4698</v>
      </c>
      <c r="K81" s="48">
        <v>0.42049999999999998</v>
      </c>
      <c r="L81" s="48">
        <f t="shared" si="33"/>
        <v>0</v>
      </c>
      <c r="M81" s="48">
        <f t="shared" si="34"/>
        <v>0.400000000000067</v>
      </c>
      <c r="N81" s="48">
        <f t="shared" si="35"/>
        <v>1</v>
      </c>
      <c r="O81" s="48">
        <f t="shared" si="36"/>
        <v>0.5</v>
      </c>
      <c r="P81" s="48">
        <f t="shared" si="37"/>
        <v>49.8</v>
      </c>
      <c r="Q81" s="48">
        <f t="shared" si="38"/>
        <v>0.5</v>
      </c>
      <c r="R81" s="48">
        <f t="shared" si="39"/>
        <v>49.8100391487499</v>
      </c>
      <c r="S81" s="48">
        <f t="shared" si="40"/>
        <v>0.81240384046363</v>
      </c>
      <c r="T81" s="110"/>
      <c r="U81" s="110"/>
      <c r="V81" s="110"/>
      <c r="W81" s="110"/>
      <c r="X81" s="110"/>
      <c r="Y81" s="110"/>
      <c r="Z81" s="48">
        <v>0.52969999999999995</v>
      </c>
      <c r="AA81" s="48">
        <v>0.4199</v>
      </c>
      <c r="AB81" s="48">
        <v>7.0521000000000003</v>
      </c>
      <c r="AC81" s="48">
        <v>7.0254000000000003</v>
      </c>
      <c r="AD81" s="48">
        <f t="shared" si="42"/>
        <v>7.5818</v>
      </c>
      <c r="AE81" s="48">
        <f t="shared" si="43"/>
        <v>7.4453</v>
      </c>
      <c r="AF81" s="49" t="s">
        <v>167</v>
      </c>
      <c r="AG81" s="49" t="s">
        <v>168</v>
      </c>
      <c r="AH81" s="49">
        <v>1</v>
      </c>
      <c r="AI81" s="49" t="s">
        <v>137</v>
      </c>
      <c r="AJ81" s="2"/>
    </row>
    <row r="82" spans="1:36">
      <c r="A82" s="49">
        <v>4</v>
      </c>
      <c r="B82" s="49" t="s">
        <v>166</v>
      </c>
      <c r="C82" s="49">
        <v>0.7</v>
      </c>
      <c r="D82" s="49">
        <v>-0.25</v>
      </c>
      <c r="E82" s="49">
        <v>0.35</v>
      </c>
      <c r="F82" s="48">
        <v>0.69950000000000001</v>
      </c>
      <c r="G82" s="48">
        <v>0.7006</v>
      </c>
      <c r="H82" s="48">
        <v>-0.25069999999999998</v>
      </c>
      <c r="I82" s="48">
        <f>-0.2504</f>
        <v>-0.2504</v>
      </c>
      <c r="J82" s="48">
        <v>0.39929999999999999</v>
      </c>
      <c r="K82" s="48">
        <v>0.35060000000000002</v>
      </c>
      <c r="L82" s="48">
        <f t="shared" si="33"/>
        <v>0.499999999999945</v>
      </c>
      <c r="M82" s="48">
        <f t="shared" si="34"/>
        <v>0.600000000000045</v>
      </c>
      <c r="N82" s="48">
        <f t="shared" si="35"/>
        <v>0.699999999999978</v>
      </c>
      <c r="O82" s="48">
        <f t="shared" si="36"/>
        <v>0.400000000000011</v>
      </c>
      <c r="P82" s="48">
        <f t="shared" si="37"/>
        <v>49.3</v>
      </c>
      <c r="Q82" s="48">
        <f t="shared" si="38"/>
        <v>0.600000000000045</v>
      </c>
      <c r="R82" s="48">
        <f t="shared" si="39"/>
        <v>49.3075044998223</v>
      </c>
      <c r="S82" s="48">
        <f t="shared" si="40"/>
        <v>0.938083151964748</v>
      </c>
      <c r="T82" s="110"/>
      <c r="U82" s="110"/>
      <c r="V82" s="110"/>
      <c r="W82" s="110"/>
      <c r="X82" s="110"/>
      <c r="Y82" s="110"/>
      <c r="Z82" s="48">
        <v>0.5585</v>
      </c>
      <c r="AA82" s="48">
        <v>0.54269999999999996</v>
      </c>
      <c r="AB82" s="48">
        <v>7.0505000000000004</v>
      </c>
      <c r="AC82" s="48">
        <v>8.6447000000000003</v>
      </c>
      <c r="AD82" s="48">
        <f t="shared" si="42"/>
        <v>7.609</v>
      </c>
      <c r="AE82" s="48">
        <f t="shared" si="43"/>
        <v>9.1874</v>
      </c>
      <c r="AF82" s="49" t="s">
        <v>167</v>
      </c>
      <c r="AG82" s="49" t="s">
        <v>168</v>
      </c>
      <c r="AH82" s="49">
        <v>1</v>
      </c>
      <c r="AI82" s="49" t="s">
        <v>137</v>
      </c>
      <c r="AJ82" s="2"/>
    </row>
    <row r="83" spans="1:36">
      <c r="A83" s="49">
        <v>4</v>
      </c>
      <c r="B83" s="49" t="s">
        <v>169</v>
      </c>
      <c r="C83" s="49">
        <v>0.52</v>
      </c>
      <c r="D83" s="49">
        <v>-0.25</v>
      </c>
      <c r="E83" s="49">
        <v>0.42</v>
      </c>
      <c r="F83" s="48">
        <v>0.52110000000000001</v>
      </c>
      <c r="G83" s="48">
        <v>0.52</v>
      </c>
      <c r="H83" s="48">
        <v>-0.25019999999999998</v>
      </c>
      <c r="I83" s="48">
        <v>-0.25040000000000001</v>
      </c>
      <c r="J83" s="48">
        <v>0.4698</v>
      </c>
      <c r="K83" s="48">
        <v>0.41959999999999997</v>
      </c>
      <c r="L83" s="48">
        <f t="shared" si="33"/>
        <v>1.09999999999999</v>
      </c>
      <c r="M83" s="48">
        <f t="shared" si="34"/>
        <v>0</v>
      </c>
      <c r="N83" s="48">
        <f t="shared" si="35"/>
        <v>0.199999999999978</v>
      </c>
      <c r="O83" s="48">
        <f t="shared" si="36"/>
        <v>0.400000000000011</v>
      </c>
      <c r="P83" s="48">
        <f t="shared" si="37"/>
        <v>49.8</v>
      </c>
      <c r="Q83" s="48">
        <f t="shared" si="38"/>
        <v>0.400000000000011</v>
      </c>
      <c r="R83" s="48">
        <f t="shared" si="39"/>
        <v>49.8125486198006</v>
      </c>
      <c r="S83" s="48">
        <f t="shared" si="40"/>
        <v>0.565685424949254</v>
      </c>
      <c r="T83" s="110"/>
      <c r="U83" s="110"/>
      <c r="V83" s="110"/>
      <c r="W83" s="110"/>
      <c r="X83" s="110"/>
      <c r="Y83" s="110"/>
      <c r="Z83" s="48">
        <v>0.54459999999999997</v>
      </c>
      <c r="AA83" s="48">
        <v>0.52280000000000004</v>
      </c>
      <c r="AB83" s="48">
        <v>7.0406000000000004</v>
      </c>
      <c r="AC83" s="48">
        <v>6.9484000000000004</v>
      </c>
      <c r="AD83" s="48">
        <f t="shared" si="42"/>
        <v>7.5852</v>
      </c>
      <c r="AE83" s="48">
        <f t="shared" si="43"/>
        <v>7.4712</v>
      </c>
      <c r="AF83" s="49" t="s">
        <v>167</v>
      </c>
      <c r="AG83" s="49" t="s">
        <v>168</v>
      </c>
      <c r="AH83" s="49">
        <v>1</v>
      </c>
      <c r="AI83" s="49" t="s">
        <v>137</v>
      </c>
      <c r="AJ83" s="2"/>
    </row>
    <row r="84" spans="1:36">
      <c r="A84" s="49">
        <v>5</v>
      </c>
      <c r="B84" s="49" t="s">
        <v>166</v>
      </c>
      <c r="C84" s="49">
        <v>0.7</v>
      </c>
      <c r="D84" s="49">
        <v>-0.25</v>
      </c>
      <c r="E84" s="49">
        <v>0.35</v>
      </c>
      <c r="F84" s="48">
        <v>0.69950000000000001</v>
      </c>
      <c r="G84" s="48">
        <v>0.70089999999999997</v>
      </c>
      <c r="H84" s="48">
        <v>-0.24959999999999999</v>
      </c>
      <c r="I84" s="48">
        <v>-0.24990000000000001</v>
      </c>
      <c r="J84" s="48">
        <v>0.4012</v>
      </c>
      <c r="K84" s="48">
        <v>0.35020000000000001</v>
      </c>
      <c r="L84" s="48">
        <f t="shared" si="33"/>
        <v>0.499999999999945</v>
      </c>
      <c r="M84" s="48">
        <f t="shared" si="34"/>
        <v>0.900000000000012</v>
      </c>
      <c r="N84" s="48">
        <f t="shared" si="35"/>
        <v>0.400000000000011</v>
      </c>
      <c r="O84" s="48">
        <f t="shared" si="36"/>
        <v>0.099999999999989</v>
      </c>
      <c r="P84" s="48">
        <f t="shared" si="37"/>
        <v>51.2</v>
      </c>
      <c r="Q84" s="48">
        <f t="shared" si="38"/>
        <v>0.200000000000033</v>
      </c>
      <c r="R84" s="48">
        <f t="shared" si="39"/>
        <v>51.2040037497069</v>
      </c>
      <c r="S84" s="48">
        <f t="shared" si="40"/>
        <v>0.927361849549588</v>
      </c>
      <c r="T84" s="110"/>
      <c r="U84" s="110"/>
      <c r="V84" s="110"/>
      <c r="W84" s="110"/>
      <c r="X84" s="110"/>
      <c r="Y84" s="110"/>
      <c r="Z84" s="48">
        <v>0.53900000000000003</v>
      </c>
      <c r="AA84" s="48">
        <v>0.53</v>
      </c>
      <c r="AB84" s="48">
        <v>7.0427</v>
      </c>
      <c r="AC84" s="48">
        <v>8.2278000000000002</v>
      </c>
      <c r="AD84" s="48">
        <f t="shared" si="42"/>
        <v>7.5817</v>
      </c>
      <c r="AE84" s="48">
        <f t="shared" si="43"/>
        <v>8.7578</v>
      </c>
      <c r="AF84" s="49" t="s">
        <v>167</v>
      </c>
      <c r="AG84" s="49" t="s">
        <v>168</v>
      </c>
      <c r="AH84" s="49">
        <v>1</v>
      </c>
      <c r="AI84" s="49" t="s">
        <v>137</v>
      </c>
      <c r="AJ84" s="2"/>
    </row>
    <row r="85" spans="1:36">
      <c r="A85" s="49">
        <v>5</v>
      </c>
      <c r="B85" s="49" t="s">
        <v>169</v>
      </c>
      <c r="C85" s="49">
        <v>0.52</v>
      </c>
      <c r="D85" s="49">
        <v>-0.25</v>
      </c>
      <c r="E85" s="49">
        <v>0.42</v>
      </c>
      <c r="F85" s="48">
        <v>0.52039999999999997</v>
      </c>
      <c r="G85" s="48">
        <v>0.5202</v>
      </c>
      <c r="H85" s="48">
        <v>-0.25130000000000002</v>
      </c>
      <c r="I85" s="48">
        <v>-0.24940000000000001</v>
      </c>
      <c r="J85" s="48">
        <v>0.47010000000000002</v>
      </c>
      <c r="K85" s="48">
        <v>0.42020000000000002</v>
      </c>
      <c r="L85" s="48">
        <f t="shared" si="33"/>
        <v>0.399999999999956</v>
      </c>
      <c r="M85" s="48">
        <f t="shared" si="34"/>
        <v>0.199999999999978</v>
      </c>
      <c r="N85" s="48">
        <f t="shared" si="35"/>
        <v>1.30000000000002</v>
      </c>
      <c r="O85" s="48">
        <f t="shared" si="36"/>
        <v>0.599999999999989</v>
      </c>
      <c r="P85" s="48">
        <f t="shared" si="37"/>
        <v>50.1</v>
      </c>
      <c r="Q85" s="48">
        <f t="shared" si="38"/>
        <v>0.200000000000033</v>
      </c>
      <c r="R85" s="48">
        <f t="shared" si="39"/>
        <v>50.1184596730586</v>
      </c>
      <c r="S85" s="48">
        <f t="shared" si="40"/>
        <v>0.663324958071074</v>
      </c>
      <c r="T85" s="110"/>
      <c r="U85" s="110"/>
      <c r="V85" s="110"/>
      <c r="W85" s="110"/>
      <c r="X85" s="110"/>
      <c r="Y85" s="110"/>
      <c r="Z85" s="48">
        <v>0.53920000000000001</v>
      </c>
      <c r="AA85" s="48">
        <v>0.5302</v>
      </c>
      <c r="AB85" s="48">
        <v>7.0490000000000004</v>
      </c>
      <c r="AC85" s="48">
        <v>6.9768999999999997</v>
      </c>
      <c r="AD85" s="48">
        <f t="shared" si="42"/>
        <v>7.5882</v>
      </c>
      <c r="AE85" s="48">
        <f t="shared" si="43"/>
        <v>7.5071</v>
      </c>
      <c r="AF85" s="49" t="s">
        <v>167</v>
      </c>
      <c r="AG85" s="49" t="s">
        <v>168</v>
      </c>
      <c r="AH85" s="49">
        <v>1</v>
      </c>
      <c r="AI85" s="49" t="s">
        <v>137</v>
      </c>
      <c r="AJ85" s="2"/>
    </row>
    <row r="86" spans="1:36">
      <c r="A86" s="49">
        <v>6</v>
      </c>
      <c r="B86" s="49" t="s">
        <v>166</v>
      </c>
      <c r="C86" s="49">
        <v>0.7</v>
      </c>
      <c r="D86" s="49">
        <v>-0.25</v>
      </c>
      <c r="E86" s="49">
        <v>0.35</v>
      </c>
      <c r="F86" s="48">
        <v>0.69950000000000001</v>
      </c>
      <c r="G86" s="48">
        <v>0.69989999999999997</v>
      </c>
      <c r="H86" s="48">
        <v>-0.24970000000000001</v>
      </c>
      <c r="I86" s="48">
        <v>-0.25080000000000002</v>
      </c>
      <c r="J86" s="48">
        <v>0.4007</v>
      </c>
      <c r="K86" s="48">
        <v>0.34989999999999999</v>
      </c>
      <c r="L86" s="48">
        <f t="shared" si="33"/>
        <v>0.499999999999945</v>
      </c>
      <c r="M86" s="48">
        <f t="shared" si="34"/>
        <v>0.099999999999989</v>
      </c>
      <c r="N86" s="48">
        <f t="shared" si="35"/>
        <v>0.299999999999995</v>
      </c>
      <c r="O86" s="48">
        <f t="shared" si="36"/>
        <v>0.800000000000023</v>
      </c>
      <c r="P86" s="48">
        <f t="shared" si="37"/>
        <v>50.7</v>
      </c>
      <c r="Q86" s="48">
        <f t="shared" si="38"/>
        <v>0.099999999999989</v>
      </c>
      <c r="R86" s="48">
        <f t="shared" si="39"/>
        <v>50.7033529463289</v>
      </c>
      <c r="S86" s="48">
        <f t="shared" si="40"/>
        <v>0.812403840463616</v>
      </c>
      <c r="T86" s="110"/>
      <c r="U86" s="110"/>
      <c r="V86" s="110"/>
      <c r="W86" s="110"/>
      <c r="X86" s="110"/>
      <c r="Y86" s="110"/>
      <c r="Z86" s="48">
        <v>0.55379999999999996</v>
      </c>
      <c r="AA86" s="48">
        <v>0.55310000000000004</v>
      </c>
      <c r="AB86" s="48">
        <v>7.0335000000000001</v>
      </c>
      <c r="AC86" s="48">
        <v>8.1966000000000001</v>
      </c>
      <c r="AD86" s="48">
        <f t="shared" si="42"/>
        <v>7.5873</v>
      </c>
      <c r="AE86" s="48">
        <f t="shared" si="43"/>
        <v>8.7497</v>
      </c>
      <c r="AF86" s="49" t="s">
        <v>167</v>
      </c>
      <c r="AG86" s="49" t="s">
        <v>168</v>
      </c>
      <c r="AH86" s="49">
        <v>1</v>
      </c>
      <c r="AI86" s="49" t="s">
        <v>137</v>
      </c>
      <c r="AJ86" s="2"/>
    </row>
    <row r="87" spans="1:36">
      <c r="A87" s="49">
        <v>6</v>
      </c>
      <c r="B87" s="49" t="s">
        <v>169</v>
      </c>
      <c r="C87" s="49">
        <v>0.52</v>
      </c>
      <c r="D87" s="49">
        <v>-0.25</v>
      </c>
      <c r="E87" s="49">
        <v>0.42</v>
      </c>
      <c r="F87" s="48">
        <v>0.51880000000000004</v>
      </c>
      <c r="G87" s="48">
        <v>0.5202</v>
      </c>
      <c r="H87" s="48">
        <v>-0.24990000000000001</v>
      </c>
      <c r="I87" s="48">
        <v>-0.2495</v>
      </c>
      <c r="J87" s="48">
        <v>0.47049999999999997</v>
      </c>
      <c r="K87" s="48">
        <v>0.42049999999999998</v>
      </c>
      <c r="L87" s="48">
        <f t="shared" si="33"/>
        <v>1.19999999999998</v>
      </c>
      <c r="M87" s="48">
        <f t="shared" si="34"/>
        <v>0.199999999999978</v>
      </c>
      <c r="N87" s="48">
        <f t="shared" si="35"/>
        <v>0.099999999999989</v>
      </c>
      <c r="O87" s="48">
        <f t="shared" si="36"/>
        <v>0.5</v>
      </c>
      <c r="P87" s="48">
        <f t="shared" si="37"/>
        <v>50.5</v>
      </c>
      <c r="Q87" s="48">
        <f t="shared" si="38"/>
        <v>0.5</v>
      </c>
      <c r="R87" s="48">
        <f t="shared" si="39"/>
        <v>50.5143543955577</v>
      </c>
      <c r="S87" s="48">
        <f t="shared" si="40"/>
        <v>0.734846922834948</v>
      </c>
      <c r="T87" s="110"/>
      <c r="U87" s="110"/>
      <c r="V87" s="110"/>
      <c r="W87" s="110"/>
      <c r="X87" s="110"/>
      <c r="Y87" s="110"/>
      <c r="Z87" s="48">
        <v>0.54200000000000004</v>
      </c>
      <c r="AA87" s="48">
        <v>0.42699999999999999</v>
      </c>
      <c r="AB87" s="48">
        <v>7.0529999999999999</v>
      </c>
      <c r="AC87" s="48">
        <v>7.0331000000000001</v>
      </c>
      <c r="AD87" s="48">
        <f t="shared" si="42"/>
        <v>7.595</v>
      </c>
      <c r="AE87" s="48">
        <f t="shared" si="43"/>
        <v>7.4601</v>
      </c>
      <c r="AF87" s="49" t="s">
        <v>167</v>
      </c>
      <c r="AG87" s="49" t="s">
        <v>168</v>
      </c>
      <c r="AH87" s="49">
        <v>1</v>
      </c>
      <c r="AI87" s="49" t="s">
        <v>137</v>
      </c>
      <c r="AJ87" s="2"/>
    </row>
    <row r="88" spans="1:36">
      <c r="A88" s="49">
        <v>7</v>
      </c>
      <c r="B88" s="49" t="s">
        <v>166</v>
      </c>
      <c r="C88" s="49">
        <v>0.7</v>
      </c>
      <c r="D88" s="49">
        <v>-0.25</v>
      </c>
      <c r="E88" s="49">
        <v>0.35</v>
      </c>
      <c r="F88" s="48">
        <v>0.70020000000000004</v>
      </c>
      <c r="G88" s="48">
        <v>0.70050000000000001</v>
      </c>
      <c r="H88" s="48">
        <v>-0.25109999999999999</v>
      </c>
      <c r="I88" s="48">
        <v>-0.24959999999999999</v>
      </c>
      <c r="J88" s="48">
        <v>0.4007</v>
      </c>
      <c r="K88" s="48">
        <v>0.35</v>
      </c>
      <c r="L88" s="48">
        <f t="shared" si="33"/>
        <v>0.200000000000089</v>
      </c>
      <c r="M88" s="48">
        <f t="shared" si="34"/>
        <v>0.500000000000056</v>
      </c>
      <c r="N88" s="48">
        <f t="shared" si="35"/>
        <v>1.09999999999999</v>
      </c>
      <c r="O88" s="48">
        <f t="shared" si="36"/>
        <v>0.400000000000011</v>
      </c>
      <c r="P88" s="48">
        <f t="shared" si="37"/>
        <v>50.7</v>
      </c>
      <c r="Q88" s="48">
        <f t="shared" si="38"/>
        <v>0</v>
      </c>
      <c r="R88" s="48">
        <f t="shared" si="39"/>
        <v>50.7123259178674</v>
      </c>
      <c r="S88" s="48">
        <f t="shared" si="40"/>
        <v>0.640312423743336</v>
      </c>
      <c r="T88" s="110"/>
      <c r="U88" s="110"/>
      <c r="V88" s="110"/>
      <c r="W88" s="110"/>
      <c r="X88" s="110"/>
      <c r="Y88" s="110"/>
      <c r="Z88" s="48">
        <v>0.54090000000000005</v>
      </c>
      <c r="AA88" s="48">
        <v>0.55120000000000002</v>
      </c>
      <c r="AB88" s="48">
        <v>7.0438000000000001</v>
      </c>
      <c r="AC88" s="48">
        <v>8.1837</v>
      </c>
      <c r="AD88" s="48">
        <f t="shared" si="42"/>
        <v>7.5847</v>
      </c>
      <c r="AE88" s="48">
        <f t="shared" si="43"/>
        <v>8.7349</v>
      </c>
      <c r="AF88" s="49" t="s">
        <v>167</v>
      </c>
      <c r="AG88" s="49" t="s">
        <v>168</v>
      </c>
      <c r="AH88" s="49">
        <v>1</v>
      </c>
      <c r="AI88" s="49" t="s">
        <v>137</v>
      </c>
      <c r="AJ88" s="2"/>
    </row>
    <row r="89" spans="1:36">
      <c r="A89" s="49">
        <v>7</v>
      </c>
      <c r="B89" s="49" t="s">
        <v>169</v>
      </c>
      <c r="C89" s="49">
        <v>0.52</v>
      </c>
      <c r="D89" s="49">
        <v>-0.25</v>
      </c>
      <c r="E89" s="49">
        <v>0.42</v>
      </c>
      <c r="F89" s="48">
        <v>0.51949999999999996</v>
      </c>
      <c r="G89" s="48">
        <v>0.51970000000000005</v>
      </c>
      <c r="H89" s="48">
        <v>-0.2495</v>
      </c>
      <c r="I89" s="48">
        <v>-0.2492</v>
      </c>
      <c r="J89" s="48">
        <v>0.47060000000000002</v>
      </c>
      <c r="K89" s="48">
        <v>0.41980000000000001</v>
      </c>
      <c r="L89" s="48">
        <f t="shared" si="33"/>
        <v>0.500000000000056</v>
      </c>
      <c r="M89" s="48">
        <f t="shared" si="34"/>
        <v>0.299999999999967</v>
      </c>
      <c r="N89" s="48">
        <f t="shared" si="35"/>
        <v>0.5</v>
      </c>
      <c r="O89" s="48">
        <f t="shared" si="36"/>
        <v>0.799999999999995</v>
      </c>
      <c r="P89" s="48">
        <f t="shared" si="37"/>
        <v>50.6</v>
      </c>
      <c r="Q89" s="48">
        <f t="shared" si="38"/>
        <v>0.199999999999978</v>
      </c>
      <c r="R89" s="48">
        <f t="shared" si="39"/>
        <v>50.6049404702743</v>
      </c>
      <c r="S89" s="48">
        <f t="shared" si="40"/>
        <v>0.877496438739192</v>
      </c>
      <c r="T89" s="110"/>
      <c r="U89" s="110"/>
      <c r="V89" s="110"/>
      <c r="W89" s="110"/>
      <c r="X89" s="110"/>
      <c r="Y89" s="110"/>
      <c r="Z89" s="48">
        <v>0.4355</v>
      </c>
      <c r="AA89" s="48">
        <v>0.52949999999999997</v>
      </c>
      <c r="AB89" s="48">
        <v>7.0448000000000004</v>
      </c>
      <c r="AC89" s="48">
        <v>7.0350999999999999</v>
      </c>
      <c r="AD89" s="48">
        <f t="shared" si="42"/>
        <v>7.4803</v>
      </c>
      <c r="AE89" s="48">
        <f t="shared" si="43"/>
        <v>7.5646</v>
      </c>
      <c r="AF89" s="49" t="s">
        <v>167</v>
      </c>
      <c r="AG89" s="49" t="s">
        <v>168</v>
      </c>
      <c r="AH89" s="49">
        <v>1</v>
      </c>
      <c r="AI89" s="49" t="s">
        <v>137</v>
      </c>
      <c r="AJ89" s="2"/>
    </row>
    <row r="90" spans="1:36">
      <c r="A90" s="49">
        <v>8</v>
      </c>
      <c r="B90" s="49" t="s">
        <v>166</v>
      </c>
      <c r="C90" s="49">
        <v>0.7</v>
      </c>
      <c r="D90" s="49">
        <v>-0.25</v>
      </c>
      <c r="E90" s="49">
        <v>0.35</v>
      </c>
      <c r="F90" s="48">
        <v>0.70009999999999994</v>
      </c>
      <c r="G90" s="48">
        <v>0.70030000000000003</v>
      </c>
      <c r="H90" s="48">
        <v>-0.2505</v>
      </c>
      <c r="I90" s="48">
        <v>-0.24959999999999999</v>
      </c>
      <c r="J90" s="48">
        <v>0.40010000000000001</v>
      </c>
      <c r="K90" s="48">
        <v>0.34989999999999999</v>
      </c>
      <c r="L90" s="48">
        <f t="shared" si="33"/>
        <v>0.099999999999989</v>
      </c>
      <c r="M90" s="48">
        <f t="shared" si="34"/>
        <v>0.300000000000078</v>
      </c>
      <c r="N90" s="48">
        <f t="shared" si="35"/>
        <v>0.5</v>
      </c>
      <c r="O90" s="48">
        <f t="shared" si="36"/>
        <v>0.400000000000011</v>
      </c>
      <c r="P90" s="48">
        <f t="shared" si="37"/>
        <v>50.1</v>
      </c>
      <c r="Q90" s="48">
        <f t="shared" si="38"/>
        <v>0.099999999999989</v>
      </c>
      <c r="R90" s="48">
        <f t="shared" si="39"/>
        <v>50.1025947431867</v>
      </c>
      <c r="S90" s="48">
        <f t="shared" si="40"/>
        <v>0.509901951359331</v>
      </c>
      <c r="T90" s="110"/>
      <c r="U90" s="110"/>
      <c r="V90" s="110"/>
      <c r="W90" s="110"/>
      <c r="X90" s="110"/>
      <c r="Y90" s="110"/>
      <c r="Z90" s="48">
        <v>0.54690000000000005</v>
      </c>
      <c r="AA90" s="48">
        <v>0.55120000000000002</v>
      </c>
      <c r="AB90" s="48">
        <v>7.0480999999999998</v>
      </c>
      <c r="AC90" s="48">
        <v>8.1837</v>
      </c>
      <c r="AD90" s="48">
        <f t="shared" si="42"/>
        <v>7.595</v>
      </c>
      <c r="AE90" s="48">
        <f t="shared" si="43"/>
        <v>8.7349</v>
      </c>
      <c r="AF90" s="49" t="s">
        <v>167</v>
      </c>
      <c r="AG90" s="49" t="s">
        <v>168</v>
      </c>
      <c r="AH90" s="49">
        <v>1</v>
      </c>
      <c r="AI90" s="49" t="s">
        <v>137</v>
      </c>
      <c r="AJ90" s="2"/>
    </row>
    <row r="91" spans="1:36">
      <c r="A91" s="49">
        <v>8</v>
      </c>
      <c r="B91" s="49" t="s">
        <v>169</v>
      </c>
      <c r="C91" s="49">
        <v>0.52</v>
      </c>
      <c r="D91" s="49">
        <v>-0.25</v>
      </c>
      <c r="E91" s="49">
        <v>0.42</v>
      </c>
      <c r="F91" s="48">
        <v>0.51880000000000004</v>
      </c>
      <c r="G91" s="48">
        <v>0.51949999999999996</v>
      </c>
      <c r="H91" s="48">
        <v>-0.24990000000000001</v>
      </c>
      <c r="I91" s="48">
        <v>-0.25019999999999998</v>
      </c>
      <c r="J91" s="48">
        <v>0.47049999999999997</v>
      </c>
      <c r="K91" s="48">
        <v>0.41930000000000001</v>
      </c>
      <c r="L91" s="48">
        <f t="shared" si="33"/>
        <v>1.19999999999998</v>
      </c>
      <c r="M91" s="48">
        <f t="shared" si="34"/>
        <v>0.500000000000056</v>
      </c>
      <c r="N91" s="48">
        <f t="shared" si="35"/>
        <v>0.099999999999989</v>
      </c>
      <c r="O91" s="48">
        <f t="shared" si="36"/>
        <v>0.199999999999978</v>
      </c>
      <c r="P91" s="48">
        <f t="shared" si="37"/>
        <v>50.5</v>
      </c>
      <c r="Q91" s="48">
        <f t="shared" si="38"/>
        <v>0.699999999999978</v>
      </c>
      <c r="R91" s="48">
        <f t="shared" si="39"/>
        <v>50.5143543955577</v>
      </c>
      <c r="S91" s="48">
        <f t="shared" si="40"/>
        <v>0.883176086632794</v>
      </c>
      <c r="T91" s="110"/>
      <c r="U91" s="110"/>
      <c r="V91" s="110"/>
      <c r="W91" s="110"/>
      <c r="X91" s="110"/>
      <c r="Y91" s="110"/>
      <c r="Z91" s="48">
        <v>0.54590000000000005</v>
      </c>
      <c r="AA91" s="48">
        <v>0.42699999999999999</v>
      </c>
      <c r="AB91" s="48">
        <v>7.0472000000000001</v>
      </c>
      <c r="AC91" s="48">
        <v>7.0331000000000001</v>
      </c>
      <c r="AD91" s="48">
        <f t="shared" si="42"/>
        <v>7.5931</v>
      </c>
      <c r="AE91" s="48">
        <f t="shared" si="43"/>
        <v>7.4601</v>
      </c>
      <c r="AF91" s="49" t="s">
        <v>167</v>
      </c>
      <c r="AG91" s="49" t="s">
        <v>168</v>
      </c>
      <c r="AH91" s="49">
        <v>1</v>
      </c>
      <c r="AI91" s="49" t="s">
        <v>137</v>
      </c>
      <c r="AJ91" s="2"/>
    </row>
    <row r="92" spans="1:36">
      <c r="A92" s="49">
        <v>9</v>
      </c>
      <c r="B92" s="49" t="s">
        <v>166</v>
      </c>
      <c r="C92" s="49">
        <v>0.7</v>
      </c>
      <c r="D92" s="49">
        <v>-0.25</v>
      </c>
      <c r="E92" s="49">
        <v>0.35</v>
      </c>
      <c r="F92" s="48">
        <v>0.7</v>
      </c>
      <c r="G92" s="48">
        <v>0.69950000000000001</v>
      </c>
      <c r="H92" s="48">
        <v>-0.26019999999999999</v>
      </c>
      <c r="I92" s="48">
        <v>-0.2495</v>
      </c>
      <c r="J92" s="48">
        <v>0.4</v>
      </c>
      <c r="K92" s="48">
        <v>0.34939999999999999</v>
      </c>
      <c r="L92" s="48">
        <f t="shared" si="33"/>
        <v>0</v>
      </c>
      <c r="M92" s="48">
        <f t="shared" si="34"/>
        <v>0.499999999999945</v>
      </c>
      <c r="N92" s="48">
        <f t="shared" si="35"/>
        <v>10.2</v>
      </c>
      <c r="O92" s="48">
        <f t="shared" si="36"/>
        <v>0.5</v>
      </c>
      <c r="P92" s="48">
        <f t="shared" si="37"/>
        <v>50</v>
      </c>
      <c r="Q92" s="48">
        <f t="shared" si="38"/>
        <v>0.599999999999989</v>
      </c>
      <c r="R92" s="48">
        <f t="shared" si="39"/>
        <v>51.0297952180881</v>
      </c>
      <c r="S92" s="48">
        <f t="shared" si="40"/>
        <v>0.927361849549534</v>
      </c>
      <c r="T92" s="110"/>
      <c r="U92" s="110"/>
      <c r="V92" s="110"/>
      <c r="W92" s="110"/>
      <c r="X92" s="110"/>
      <c r="Y92" s="110"/>
      <c r="Z92" s="48">
        <v>0.54059999999999997</v>
      </c>
      <c r="AA92" s="48">
        <v>0.55120000000000002</v>
      </c>
      <c r="AB92" s="48">
        <v>7.0378999999999996</v>
      </c>
      <c r="AC92" s="48">
        <v>8.1837</v>
      </c>
      <c r="AD92" s="48">
        <f t="shared" si="42"/>
        <v>7.5785</v>
      </c>
      <c r="AE92" s="48">
        <f t="shared" si="43"/>
        <v>8.7349</v>
      </c>
      <c r="AF92" s="49" t="s">
        <v>167</v>
      </c>
      <c r="AG92" s="49" t="s">
        <v>168</v>
      </c>
      <c r="AH92" s="49">
        <v>1</v>
      </c>
      <c r="AI92" s="49" t="s">
        <v>137</v>
      </c>
      <c r="AJ92" s="2"/>
    </row>
    <row r="93" spans="1:36">
      <c r="A93" s="49">
        <v>9</v>
      </c>
      <c r="B93" s="49" t="s">
        <v>169</v>
      </c>
      <c r="C93" s="49">
        <v>0.52</v>
      </c>
      <c r="D93" s="49">
        <v>-0.25</v>
      </c>
      <c r="E93" s="49">
        <v>0.42</v>
      </c>
      <c r="F93" s="48">
        <v>0.51939999999999997</v>
      </c>
      <c r="G93" s="48">
        <v>0.52</v>
      </c>
      <c r="H93" s="48">
        <v>-0.25009999999999999</v>
      </c>
      <c r="I93" s="48">
        <v>-0.24929999999999999</v>
      </c>
      <c r="J93" s="48">
        <v>0.46920000000000001</v>
      </c>
      <c r="K93" s="48">
        <v>0.42059999999999997</v>
      </c>
      <c r="L93" s="48">
        <f t="shared" si="33"/>
        <v>0.600000000000045</v>
      </c>
      <c r="M93" s="48">
        <f t="shared" si="34"/>
        <v>0</v>
      </c>
      <c r="N93" s="48">
        <f t="shared" si="35"/>
        <v>0.099999999999989</v>
      </c>
      <c r="O93" s="48">
        <f t="shared" si="36"/>
        <v>0.700000000000006</v>
      </c>
      <c r="P93" s="48">
        <f t="shared" si="37"/>
        <v>49.2</v>
      </c>
      <c r="Q93" s="48">
        <f t="shared" si="38"/>
        <v>0.599999999999989</v>
      </c>
      <c r="R93" s="48">
        <f t="shared" si="39"/>
        <v>49.2037600189254</v>
      </c>
      <c r="S93" s="48">
        <f t="shared" si="40"/>
        <v>0.921954445729287</v>
      </c>
      <c r="T93" s="110"/>
      <c r="U93" s="110"/>
      <c r="V93" s="110"/>
      <c r="W93" s="110"/>
      <c r="X93" s="110"/>
      <c r="Y93" s="110"/>
      <c r="Z93" s="48">
        <v>0.5373</v>
      </c>
      <c r="AA93" s="48">
        <v>0.53180000000000005</v>
      </c>
      <c r="AB93" s="48">
        <v>7.0473999999999997</v>
      </c>
      <c r="AC93" s="48">
        <v>6.8880999999999997</v>
      </c>
      <c r="AD93" s="48">
        <f t="shared" si="42"/>
        <v>7.5847</v>
      </c>
      <c r="AE93" s="48">
        <f t="shared" si="43"/>
        <v>7.4199</v>
      </c>
      <c r="AF93" s="49" t="s">
        <v>167</v>
      </c>
      <c r="AG93" s="49" t="s">
        <v>168</v>
      </c>
      <c r="AH93" s="49">
        <v>1</v>
      </c>
      <c r="AI93" s="49" t="s">
        <v>137</v>
      </c>
      <c r="AJ93" s="2"/>
    </row>
    <row r="94" spans="1:36">
      <c r="A94" s="49">
        <v>10</v>
      </c>
      <c r="B94" s="49" t="s">
        <v>166</v>
      </c>
      <c r="C94" s="49">
        <v>0.7</v>
      </c>
      <c r="D94" s="49">
        <v>-0.25</v>
      </c>
      <c r="E94" s="49">
        <v>0.35</v>
      </c>
      <c r="F94" s="48">
        <v>0.69930000000000003</v>
      </c>
      <c r="G94" s="48">
        <v>0.70009999999999994</v>
      </c>
      <c r="H94" s="48">
        <v>-0.25059999999999999</v>
      </c>
      <c r="I94" s="48">
        <v>-0.25</v>
      </c>
      <c r="J94" s="48">
        <v>0.4</v>
      </c>
      <c r="K94" s="48">
        <v>0.35020000000000001</v>
      </c>
      <c r="L94" s="48">
        <f t="shared" si="33"/>
        <v>0.699999999999923</v>
      </c>
      <c r="M94" s="48">
        <f t="shared" si="34"/>
        <v>0.099999999999989</v>
      </c>
      <c r="N94" s="48">
        <f t="shared" si="35"/>
        <v>0.599999999999989</v>
      </c>
      <c r="O94" s="48">
        <f t="shared" si="36"/>
        <v>0</v>
      </c>
      <c r="P94" s="48">
        <f t="shared" si="37"/>
        <v>50</v>
      </c>
      <c r="Q94" s="48">
        <f t="shared" si="38"/>
        <v>0.200000000000033</v>
      </c>
      <c r="R94" s="48">
        <f t="shared" si="39"/>
        <v>50.0084992776228</v>
      </c>
      <c r="S94" s="48">
        <f t="shared" si="40"/>
        <v>0.223606797750004</v>
      </c>
      <c r="T94" s="110"/>
      <c r="U94" s="110"/>
      <c r="V94" s="110"/>
      <c r="W94" s="110"/>
      <c r="X94" s="110"/>
      <c r="Y94" s="110"/>
      <c r="Z94" s="48">
        <v>0.54179999999999995</v>
      </c>
      <c r="AA94" s="48">
        <v>0.53139999999999998</v>
      </c>
      <c r="AB94" s="48">
        <v>7.0505000000000004</v>
      </c>
      <c r="AC94" s="48">
        <v>8.1377000000000006</v>
      </c>
      <c r="AD94" s="48">
        <f t="shared" si="42"/>
        <v>7.5923</v>
      </c>
      <c r="AE94" s="48">
        <f t="shared" si="43"/>
        <v>8.6691</v>
      </c>
      <c r="AF94" s="49" t="s">
        <v>167</v>
      </c>
      <c r="AG94" s="49" t="s">
        <v>168</v>
      </c>
      <c r="AH94" s="49">
        <v>1</v>
      </c>
      <c r="AI94" s="49" t="s">
        <v>137</v>
      </c>
      <c r="AJ94" s="2"/>
    </row>
    <row r="95" spans="1:36">
      <c r="A95" s="49">
        <v>10</v>
      </c>
      <c r="B95" s="49" t="s">
        <v>169</v>
      </c>
      <c r="C95" s="49">
        <v>0.52</v>
      </c>
      <c r="D95" s="49">
        <v>-0.25</v>
      </c>
      <c r="E95" s="49">
        <v>0.42</v>
      </c>
      <c r="F95" s="48">
        <v>0.51980000000000004</v>
      </c>
      <c r="G95" s="48">
        <v>0.51970000000000005</v>
      </c>
      <c r="H95" s="48">
        <v>-0.25040000000000001</v>
      </c>
      <c r="I95" s="48">
        <v>-0.2505</v>
      </c>
      <c r="J95" s="48">
        <v>0.47110000000000002</v>
      </c>
      <c r="K95" s="48">
        <v>0.4204</v>
      </c>
      <c r="L95" s="48">
        <f t="shared" si="33"/>
        <v>0.199999999999978</v>
      </c>
      <c r="M95" s="48">
        <f t="shared" si="34"/>
        <v>0.299999999999967</v>
      </c>
      <c r="N95" s="48">
        <f t="shared" si="35"/>
        <v>0.400000000000011</v>
      </c>
      <c r="O95" s="48">
        <f t="shared" si="36"/>
        <v>0.5</v>
      </c>
      <c r="P95" s="48">
        <f t="shared" si="37"/>
        <v>51.1</v>
      </c>
      <c r="Q95" s="48">
        <f t="shared" si="38"/>
        <v>0.400000000000011</v>
      </c>
      <c r="R95" s="48">
        <f t="shared" si="39"/>
        <v>51.1019569096919</v>
      </c>
      <c r="S95" s="48">
        <f t="shared" si="40"/>
        <v>0.70710678118654</v>
      </c>
      <c r="T95" s="111"/>
      <c r="U95" s="111"/>
      <c r="V95" s="111"/>
      <c r="W95" s="111"/>
      <c r="X95" s="111"/>
      <c r="Y95" s="111"/>
      <c r="Z95" s="48">
        <v>0.44500000000000001</v>
      </c>
      <c r="AA95" s="48">
        <v>0.53520000000000001</v>
      </c>
      <c r="AB95" s="48">
        <v>7.0407999999999999</v>
      </c>
      <c r="AC95" s="48">
        <v>9.3528000000000002</v>
      </c>
      <c r="AD95" s="48">
        <f t="shared" si="42"/>
        <v>7.4858</v>
      </c>
      <c r="AE95" s="48">
        <f t="shared" si="43"/>
        <v>9.888</v>
      </c>
      <c r="AF95" s="49" t="s">
        <v>167</v>
      </c>
      <c r="AG95" s="49" t="s">
        <v>168</v>
      </c>
      <c r="AH95" s="49">
        <v>1</v>
      </c>
      <c r="AI95" s="49" t="s">
        <v>137</v>
      </c>
      <c r="AJ95" s="2"/>
    </row>
    <row r="96" spans="1:36" ht="18.3" customHeight="1">
      <c r="A96" s="104" t="s">
        <v>170</v>
      </c>
      <c r="B96" s="105"/>
      <c r="C96" s="105"/>
      <c r="D96" s="105"/>
      <c r="E96" s="106"/>
      <c r="F96" s="108">
        <f>AVERAGE(F76:F95)-AVERAGE(G76:G95)</f>
        <v>-0.000420000000000087</v>
      </c>
      <c r="G96" s="106"/>
      <c r="H96" s="108">
        <f>AVERAGE(H76:H95)-AVERAGE(I76:I95)</f>
        <v>-0.000814999999999955</v>
      </c>
      <c r="I96" s="106"/>
      <c r="J96" s="108">
        <f>AVERAGE(J76:J95)-AVERAGE(K76:K95)</f>
        <v>0.05016</v>
      </c>
      <c r="K96" s="106"/>
      <c r="L96" s="108">
        <f>AVERAGE(L76:L95)-AVERAGE(M76:M95)</f>
        <v>0.129999999999975</v>
      </c>
      <c r="M96" s="106"/>
      <c r="N96" s="108">
        <f>AVERAGE(N76:N95)-AVERAGE(O76:O95)</f>
        <v>0.574999999999998</v>
      </c>
      <c r="O96" s="106"/>
      <c r="P96" s="108">
        <f>AVERAGE(P76:P95)-AVERAGE(Q76:Q95)</f>
        <v>49.9</v>
      </c>
      <c r="Q96" s="106"/>
      <c r="R96" s="108">
        <f>AVERAGE(R76:R95)-AVERAGE(S76:S95)</f>
        <v>49.5555563167558</v>
      </c>
      <c r="S96" s="106"/>
      <c r="T96" s="108">
        <f>AVERAGE(T76:T95)-AVERAGE(U76:U95)</f>
        <v>-0.000209265127193922</v>
      </c>
      <c r="U96" s="106"/>
      <c r="V96" s="108">
        <f>AVERAGE(V76:V95)-AVERAGE(W76:W95)</f>
        <v>0.00176694966736902</v>
      </c>
      <c r="W96" s="106"/>
      <c r="X96" s="108">
        <f>AVERAGE(X76:X95)-AVERAGE(Y76:Y95)</f>
        <v>-0.000155970736123202</v>
      </c>
      <c r="Y96" s="106"/>
      <c r="Z96" s="108">
        <f>AVERAGE(AA76:AA95)-AVERAGE(Z76:Z95)</f>
        <v>-0.0234799999999999</v>
      </c>
      <c r="AA96" s="106"/>
      <c r="AB96" s="108">
        <f>AVERAGE(AC76:AC95)-AVERAGE(AB76:AB95)</f>
        <v>0.719585</v>
      </c>
      <c r="AC96" s="106"/>
      <c r="AD96" s="108">
        <f>AVERAGE(AE76:AE95)-AVERAGE(AD76:AD95)</f>
        <v>0.696105000000001</v>
      </c>
      <c r="AE96" s="106"/>
      <c r="AF96" s="117"/>
      <c r="AG96" s="105"/>
      <c r="AH96" s="105"/>
      <c r="AI96" s="106"/>
      <c r="AJ96" s="2"/>
    </row>
    <row r="97" spans="1:36">
      <c r="A97" s="112" t="s">
        <v>174</v>
      </c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6"/>
      <c r="AJ97" s="2"/>
    </row>
    <row r="98" spans="1:36" s="2" customFormat="1" ht="16.350000000000001" customHeight="1">
      <c r="A98" s="107" t="s">
        <v>126</v>
      </c>
      <c r="B98" s="107" t="s">
        <v>143</v>
      </c>
      <c r="C98" s="107" t="s">
        <v>144</v>
      </c>
      <c r="D98" s="107" t="s">
        <v>145</v>
      </c>
      <c r="E98" s="107" t="s">
        <v>146</v>
      </c>
      <c r="F98" s="107" t="s">
        <v>147</v>
      </c>
      <c r="G98" s="106"/>
      <c r="H98" s="107" t="s">
        <v>148</v>
      </c>
      <c r="I98" s="106"/>
      <c r="J98" s="107" t="s">
        <v>149</v>
      </c>
      <c r="K98" s="106"/>
      <c r="L98" s="114" t="s">
        <v>150</v>
      </c>
      <c r="M98" s="106"/>
      <c r="N98" s="114" t="s">
        <v>151</v>
      </c>
      <c r="O98" s="106"/>
      <c r="P98" s="114" t="s">
        <v>152</v>
      </c>
      <c r="Q98" s="106"/>
      <c r="R98" s="107" t="s">
        <v>153</v>
      </c>
      <c r="S98" s="106"/>
      <c r="T98" s="107" t="s">
        <v>154</v>
      </c>
      <c r="U98" s="106"/>
      <c r="V98" s="107" t="s">
        <v>155</v>
      </c>
      <c r="W98" s="106"/>
      <c r="X98" s="107" t="s">
        <v>156</v>
      </c>
      <c r="Y98" s="106"/>
      <c r="Z98" s="107" t="s">
        <v>157</v>
      </c>
      <c r="AA98" s="106"/>
      <c r="AB98" s="107" t="s">
        <v>158</v>
      </c>
      <c r="AC98" s="106"/>
      <c r="AD98" s="107" t="s">
        <v>159</v>
      </c>
      <c r="AE98" s="106"/>
      <c r="AF98" s="107" t="s">
        <v>160</v>
      </c>
      <c r="AG98" s="107" t="s">
        <v>161</v>
      </c>
      <c r="AH98" s="107" t="s">
        <v>162</v>
      </c>
      <c r="AI98" s="107" t="s">
        <v>163</v>
      </c>
    </row>
    <row r="99" spans="1:36" s="2" customFormat="1" ht="16.350000000000001" customHeight="1">
      <c r="A99" s="111"/>
      <c r="B99" s="111"/>
      <c r="C99" s="111"/>
      <c r="D99" s="111"/>
      <c r="E99" s="111"/>
      <c r="F99" s="47" t="s">
        <v>164</v>
      </c>
      <c r="G99" s="72" t="s">
        <v>165</v>
      </c>
      <c r="H99" s="47" t="s">
        <v>164</v>
      </c>
      <c r="I99" s="72" t="s">
        <v>165</v>
      </c>
      <c r="J99" s="47" t="s">
        <v>164</v>
      </c>
      <c r="K99" s="72" t="s">
        <v>165</v>
      </c>
      <c r="L99" s="47" t="s">
        <v>164</v>
      </c>
      <c r="M99" s="72" t="s">
        <v>165</v>
      </c>
      <c r="N99" s="47" t="s">
        <v>164</v>
      </c>
      <c r="O99" s="72" t="s">
        <v>165</v>
      </c>
      <c r="P99" s="47" t="s">
        <v>164</v>
      </c>
      <c r="Q99" s="72" t="s">
        <v>165</v>
      </c>
      <c r="R99" s="47" t="s">
        <v>164</v>
      </c>
      <c r="S99" s="72" t="s">
        <v>165</v>
      </c>
      <c r="T99" s="47" t="s">
        <v>164</v>
      </c>
      <c r="U99" s="72" t="s">
        <v>165</v>
      </c>
      <c r="V99" s="47" t="s">
        <v>164</v>
      </c>
      <c r="W99" s="72" t="s">
        <v>165</v>
      </c>
      <c r="X99" s="47" t="s">
        <v>164</v>
      </c>
      <c r="Y99" s="72" t="s">
        <v>165</v>
      </c>
      <c r="Z99" s="72" t="s">
        <v>165</v>
      </c>
      <c r="AA99" s="47" t="s">
        <v>164</v>
      </c>
      <c r="AB99" s="72" t="s">
        <v>165</v>
      </c>
      <c r="AC99" s="47" t="s">
        <v>164</v>
      </c>
      <c r="AD99" s="72" t="s">
        <v>165</v>
      </c>
      <c r="AE99" s="47" t="s">
        <v>164</v>
      </c>
      <c r="AF99" s="111"/>
      <c r="AG99" s="111"/>
      <c r="AH99" s="111"/>
      <c r="AI99" s="111"/>
    </row>
    <row r="100" spans="1:36">
      <c r="A100" s="49">
        <v>1</v>
      </c>
      <c r="B100" s="49" t="s">
        <v>166</v>
      </c>
      <c r="C100" s="49">
        <v>0.62</v>
      </c>
      <c r="D100" s="49">
        <v>0.18</v>
      </c>
      <c r="E100" s="49">
        <v>0.35</v>
      </c>
      <c r="F100" s="48">
        <v>0.62029999999999996</v>
      </c>
      <c r="G100" s="48">
        <v>0.62060000000000004</v>
      </c>
      <c r="H100" s="48">
        <v>0.18029999999999999</v>
      </c>
      <c r="I100" s="48">
        <v>0.17949999999999999</v>
      </c>
      <c r="J100" s="48">
        <v>0.39979999999999999</v>
      </c>
      <c r="K100" s="48">
        <v>0.35049999999999998</v>
      </c>
      <c r="L100" s="48">
        <f t="shared" ref="L100:L119" si="44">ABS(F100-C100)*1000</f>
        <v>0.299999999999967</v>
      </c>
      <c r="M100" s="48">
        <f t="shared" ref="M100:M119" si="45">ABS(G100-C100)*1000</f>
        <v>0.600000000000045</v>
      </c>
      <c r="N100" s="48">
        <f t="shared" ref="N100:N119" si="46">ABS(H100-D100)*1000</f>
        <v>0.299999999999995</v>
      </c>
      <c r="O100" s="48">
        <f t="shared" ref="O100:O119" si="47">ABS(I100-D100)*1000</f>
        <v>0.5</v>
      </c>
      <c r="P100" s="48">
        <f t="shared" ref="P100:P119" si="48">ABS(J100-E100)*1000</f>
        <v>49.8</v>
      </c>
      <c r="Q100" s="48">
        <f t="shared" ref="Q100:Q119" si="49">ABS(K100-E100)*1000</f>
        <v>0.5</v>
      </c>
      <c r="R100" s="48">
        <f t="shared" ref="R100:R119" si="50">SQRT(SUMSQ(L100,N100,P100))</f>
        <v>49.8018071961249</v>
      </c>
      <c r="S100" s="48">
        <f t="shared" ref="S100:S119" si="51">SQRT(SUMSQ(M100,O100,Q100))</f>
        <v>0.9273618495496</v>
      </c>
      <c r="T100" s="109">
        <f t="shared" ref="T100:Y100" si="52">_xlfn.STDEV.S(F100:F119)</f>
        <v>0.051470668959689</v>
      </c>
      <c r="U100" s="109">
        <f t="shared" si="52"/>
        <v>0.0512388668266992</v>
      </c>
      <c r="V100" s="109">
        <f t="shared" si="52"/>
        <v>0.0512208520449487</v>
      </c>
      <c r="W100" s="109">
        <f t="shared" si="52"/>
        <v>0.0514502137993614</v>
      </c>
      <c r="X100" s="109">
        <f t="shared" si="52"/>
        <v>0.0356884604673039</v>
      </c>
      <c r="Y100" s="109">
        <f t="shared" si="52"/>
        <v>0.035881682762863</v>
      </c>
      <c r="Z100" s="48">
        <v>0.55230000000000001</v>
      </c>
      <c r="AA100" s="48">
        <v>0.55420000000000003</v>
      </c>
      <c r="AB100" s="48">
        <v>7.0548999999999999</v>
      </c>
      <c r="AC100" s="48">
        <v>9.0109999999999992</v>
      </c>
      <c r="AD100" s="48">
        <f t="shared" ref="AD100:AD119" si="53">AB100+Z100</f>
        <v>7.6072</v>
      </c>
      <c r="AE100" s="48">
        <f t="shared" ref="AE100:AE119" si="54">AC100+AA100</f>
        <v>9.5652</v>
      </c>
      <c r="AF100" s="49" t="s">
        <v>167</v>
      </c>
      <c r="AG100" s="49" t="s">
        <v>168</v>
      </c>
      <c r="AH100" s="49">
        <v>1</v>
      </c>
      <c r="AI100" s="49" t="s">
        <v>137</v>
      </c>
      <c r="AJ100" s="2"/>
    </row>
    <row r="101" spans="1:36">
      <c r="A101" s="49">
        <v>1</v>
      </c>
      <c r="B101" s="49" t="s">
        <v>169</v>
      </c>
      <c r="C101" s="49">
        <v>0.72</v>
      </c>
      <c r="D101" s="49">
        <v>0.28000000000000003</v>
      </c>
      <c r="E101" s="49">
        <v>0.42</v>
      </c>
      <c r="F101" s="48">
        <v>0.72070000000000001</v>
      </c>
      <c r="G101" s="48">
        <v>0.71989999999999998</v>
      </c>
      <c r="H101" s="48">
        <v>0.28089999999999998</v>
      </c>
      <c r="I101" s="48">
        <v>0.27979999999999999</v>
      </c>
      <c r="J101" s="48">
        <v>0.46899999999999997</v>
      </c>
      <c r="K101" s="48">
        <v>0.41949999999999998</v>
      </c>
      <c r="L101" s="48">
        <f t="shared" si="44"/>
        <v>0.700000000000034</v>
      </c>
      <c r="M101" s="48">
        <f t="shared" si="45"/>
        <v>0.099999999999989</v>
      </c>
      <c r="N101" s="48">
        <f t="shared" si="46"/>
        <v>0.899999999999956</v>
      </c>
      <c r="O101" s="48">
        <f t="shared" si="47"/>
        <v>0.200000000000033</v>
      </c>
      <c r="P101" s="48">
        <f t="shared" si="48"/>
        <v>49</v>
      </c>
      <c r="Q101" s="48">
        <f t="shared" si="49"/>
        <v>0.5</v>
      </c>
      <c r="R101" s="48">
        <f t="shared" si="50"/>
        <v>49.013263511013</v>
      </c>
      <c r="S101" s="48">
        <f t="shared" si="51"/>
        <v>0.547722557505177</v>
      </c>
      <c r="T101" s="110"/>
      <c r="U101" s="110"/>
      <c r="V101" s="110"/>
      <c r="W101" s="110"/>
      <c r="X101" s="110"/>
      <c r="Y101" s="110"/>
      <c r="Z101" s="48">
        <v>0.54469999999999996</v>
      </c>
      <c r="AA101" s="48">
        <v>0.53620000000000001</v>
      </c>
      <c r="AB101" s="48">
        <v>7.0404</v>
      </c>
      <c r="AC101" s="48">
        <v>7.1239999999999997</v>
      </c>
      <c r="AD101" s="48">
        <f t="shared" si="53"/>
        <v>7.5851</v>
      </c>
      <c r="AE101" s="48">
        <f t="shared" si="54"/>
        <v>7.6602</v>
      </c>
      <c r="AF101" s="49" t="s">
        <v>167</v>
      </c>
      <c r="AG101" s="49" t="s">
        <v>168</v>
      </c>
      <c r="AH101" s="49">
        <v>1</v>
      </c>
      <c r="AI101" s="49" t="s">
        <v>137</v>
      </c>
      <c r="AJ101" s="2"/>
    </row>
    <row r="102" spans="1:36">
      <c r="A102" s="49">
        <v>2</v>
      </c>
      <c r="B102" s="49" t="s">
        <v>166</v>
      </c>
      <c r="C102" s="49">
        <v>0.62</v>
      </c>
      <c r="D102" s="49">
        <v>0.18</v>
      </c>
      <c r="E102" s="49">
        <v>0.35</v>
      </c>
      <c r="F102" s="48">
        <v>0.61960000000000004</v>
      </c>
      <c r="G102" s="48">
        <v>0.61960000000000004</v>
      </c>
      <c r="H102" s="48">
        <v>0.17960000000000001</v>
      </c>
      <c r="I102" s="48">
        <v>0.17960000000000001</v>
      </c>
      <c r="J102" s="48">
        <v>0.40100000000000002</v>
      </c>
      <c r="K102" s="48">
        <v>0.3508</v>
      </c>
      <c r="L102" s="48">
        <f t="shared" si="44"/>
        <v>0.399999999999956</v>
      </c>
      <c r="M102" s="48">
        <f t="shared" si="45"/>
        <v>0.399999999999956</v>
      </c>
      <c r="N102" s="48">
        <f t="shared" si="46"/>
        <v>0.399999999999984</v>
      </c>
      <c r="O102" s="48">
        <f t="shared" si="47"/>
        <v>0.399999999999984</v>
      </c>
      <c r="P102" s="48">
        <f t="shared" si="48"/>
        <v>51</v>
      </c>
      <c r="Q102" s="48">
        <f t="shared" si="49"/>
        <v>0.800000000000023</v>
      </c>
      <c r="R102" s="48">
        <f t="shared" si="50"/>
        <v>51.0031371584141</v>
      </c>
      <c r="S102" s="48">
        <f t="shared" si="51"/>
        <v>0.979795897113265</v>
      </c>
      <c r="T102" s="110"/>
      <c r="U102" s="110"/>
      <c r="V102" s="110"/>
      <c r="W102" s="110"/>
      <c r="X102" s="110"/>
      <c r="Y102" s="110"/>
      <c r="Z102" s="48">
        <v>0.442</v>
      </c>
      <c r="AA102" s="48">
        <v>0.5423</v>
      </c>
      <c r="AB102" s="48">
        <v>7.0495000000000001</v>
      </c>
      <c r="AC102" s="48">
        <v>9.6326000000000001</v>
      </c>
      <c r="AD102" s="48">
        <f t="shared" si="53"/>
        <v>7.4915</v>
      </c>
      <c r="AE102" s="48">
        <f t="shared" si="54"/>
        <v>10.1749</v>
      </c>
      <c r="AF102" s="49" t="s">
        <v>167</v>
      </c>
      <c r="AG102" s="49" t="s">
        <v>168</v>
      </c>
      <c r="AH102" s="49">
        <v>1</v>
      </c>
      <c r="AI102" s="49" t="s">
        <v>137</v>
      </c>
      <c r="AJ102" s="2"/>
    </row>
    <row r="103" spans="1:36">
      <c r="A103" s="49">
        <v>2</v>
      </c>
      <c r="B103" s="49" t="s">
        <v>169</v>
      </c>
      <c r="C103" s="49">
        <v>0.72</v>
      </c>
      <c r="D103" s="49">
        <v>0.28000000000000003</v>
      </c>
      <c r="E103" s="49">
        <v>0.42</v>
      </c>
      <c r="F103" s="48">
        <v>0.7198</v>
      </c>
      <c r="G103" s="48">
        <v>0.72030000000000005</v>
      </c>
      <c r="H103" s="48">
        <v>0.27939999999999998</v>
      </c>
      <c r="I103" s="48">
        <v>0.27979999999999999</v>
      </c>
      <c r="J103" s="48">
        <v>0.46949999999999997</v>
      </c>
      <c r="K103" s="48">
        <v>0.4209</v>
      </c>
      <c r="L103" s="48">
        <f t="shared" si="44"/>
        <v>0.199999999999978</v>
      </c>
      <c r="M103" s="48">
        <f t="shared" si="45"/>
        <v>0.300000000000078</v>
      </c>
      <c r="N103" s="48">
        <f t="shared" si="46"/>
        <v>0.600000000000045</v>
      </c>
      <c r="O103" s="48">
        <f t="shared" si="47"/>
        <v>0.200000000000033</v>
      </c>
      <c r="P103" s="48">
        <f t="shared" si="48"/>
        <v>49.5</v>
      </c>
      <c r="Q103" s="48">
        <f t="shared" si="49"/>
        <v>0.900000000000012</v>
      </c>
      <c r="R103" s="48">
        <f t="shared" si="50"/>
        <v>49.5040402391562</v>
      </c>
      <c r="S103" s="48">
        <f t="shared" si="51"/>
        <v>0.969535971483308</v>
      </c>
      <c r="T103" s="110"/>
      <c r="U103" s="110"/>
      <c r="V103" s="110"/>
      <c r="W103" s="110"/>
      <c r="X103" s="110"/>
      <c r="Y103" s="110"/>
      <c r="Z103" s="48">
        <v>0.55069999999999997</v>
      </c>
      <c r="AA103" s="48">
        <v>0.52990000000000004</v>
      </c>
      <c r="AB103" s="48">
        <v>7.05</v>
      </c>
      <c r="AC103" s="48">
        <v>7.0739000000000001</v>
      </c>
      <c r="AD103" s="48">
        <f t="shared" si="53"/>
        <v>7.6007</v>
      </c>
      <c r="AE103" s="48">
        <f t="shared" si="54"/>
        <v>7.6038</v>
      </c>
      <c r="AF103" s="49" t="s">
        <v>167</v>
      </c>
      <c r="AG103" s="49" t="s">
        <v>168</v>
      </c>
      <c r="AH103" s="49">
        <v>1</v>
      </c>
      <c r="AI103" s="49" t="s">
        <v>137</v>
      </c>
      <c r="AJ103" s="2"/>
    </row>
    <row r="104" spans="1:36">
      <c r="A104" s="49">
        <v>3</v>
      </c>
      <c r="B104" s="49" t="s">
        <v>166</v>
      </c>
      <c r="C104" s="49">
        <v>0.62</v>
      </c>
      <c r="D104" s="49">
        <v>0.18</v>
      </c>
      <c r="E104" s="49">
        <v>0.35</v>
      </c>
      <c r="F104" s="48">
        <v>0.61990000000000001</v>
      </c>
      <c r="G104" s="48">
        <v>0.62009999999999998</v>
      </c>
      <c r="H104" s="48">
        <v>0.17910000000000001</v>
      </c>
      <c r="I104" s="48">
        <v>0.17929999999999999</v>
      </c>
      <c r="J104" s="48">
        <v>0.40050000000000002</v>
      </c>
      <c r="K104" s="48">
        <v>0.34970000000000001</v>
      </c>
      <c r="L104" s="48">
        <f t="shared" si="44"/>
        <v>0.099999999999989</v>
      </c>
      <c r="M104" s="48">
        <f t="shared" si="45"/>
        <v>0.099999999999989</v>
      </c>
      <c r="N104" s="48">
        <f t="shared" si="46"/>
        <v>0.899999999999984</v>
      </c>
      <c r="O104" s="48">
        <f t="shared" si="47"/>
        <v>0.700000000000006</v>
      </c>
      <c r="P104" s="48">
        <f t="shared" si="48"/>
        <v>50.5</v>
      </c>
      <c r="Q104" s="48">
        <f t="shared" si="49"/>
        <v>0.299999999999967</v>
      </c>
      <c r="R104" s="48">
        <f t="shared" si="50"/>
        <v>50.5081181593613</v>
      </c>
      <c r="S104" s="48">
        <f t="shared" si="51"/>
        <v>0.768114574786852</v>
      </c>
      <c r="T104" s="110"/>
      <c r="U104" s="110"/>
      <c r="V104" s="110"/>
      <c r="W104" s="110"/>
      <c r="X104" s="110"/>
      <c r="Y104" s="110"/>
      <c r="Z104" s="48">
        <v>0.54869999999999997</v>
      </c>
      <c r="AA104" s="48">
        <v>0.4405</v>
      </c>
      <c r="AB104" s="48">
        <v>7.0462999999999996</v>
      </c>
      <c r="AC104" s="48">
        <v>8.3185000000000002</v>
      </c>
      <c r="AD104" s="48">
        <f t="shared" si="53"/>
        <v>7.595</v>
      </c>
      <c r="AE104" s="48">
        <f t="shared" si="54"/>
        <v>8.759</v>
      </c>
      <c r="AF104" s="49" t="s">
        <v>167</v>
      </c>
      <c r="AG104" s="49" t="s">
        <v>168</v>
      </c>
      <c r="AH104" s="49">
        <v>1</v>
      </c>
      <c r="AI104" s="49" t="s">
        <v>137</v>
      </c>
      <c r="AJ104" s="2"/>
    </row>
    <row r="105" spans="1:36">
      <c r="A105" s="49">
        <v>3</v>
      </c>
      <c r="B105" s="49" t="s">
        <v>169</v>
      </c>
      <c r="C105" s="49">
        <v>0.72</v>
      </c>
      <c r="D105" s="49">
        <v>0.28000000000000003</v>
      </c>
      <c r="E105" s="49">
        <v>0.42</v>
      </c>
      <c r="F105" s="48">
        <v>0.71989999999999998</v>
      </c>
      <c r="G105" s="48">
        <v>0.72</v>
      </c>
      <c r="H105" s="48">
        <v>0.27850000000000003</v>
      </c>
      <c r="I105" s="48">
        <v>0.2802</v>
      </c>
      <c r="J105" s="48">
        <v>0.46989999999999998</v>
      </c>
      <c r="K105" s="48">
        <v>0.4204</v>
      </c>
      <c r="L105" s="48">
        <f t="shared" si="44"/>
        <v>0.099999999999989</v>
      </c>
      <c r="M105" s="48">
        <f t="shared" si="45"/>
        <v>0</v>
      </c>
      <c r="N105" s="48">
        <f t="shared" si="46"/>
        <v>1.5</v>
      </c>
      <c r="O105" s="48">
        <f t="shared" si="47"/>
        <v>0.199999999999978</v>
      </c>
      <c r="P105" s="48">
        <f t="shared" si="48"/>
        <v>49.9</v>
      </c>
      <c r="Q105" s="48">
        <f t="shared" si="49"/>
        <v>0.400000000000011</v>
      </c>
      <c r="R105" s="48">
        <f t="shared" si="50"/>
        <v>49.9226401545431</v>
      </c>
      <c r="S105" s="48">
        <f t="shared" si="51"/>
        <v>0.447213595499958</v>
      </c>
      <c r="T105" s="110"/>
      <c r="U105" s="110"/>
      <c r="V105" s="110"/>
      <c r="W105" s="110"/>
      <c r="X105" s="110"/>
      <c r="Y105" s="110"/>
      <c r="Z105" s="48">
        <v>0.56710000000000005</v>
      </c>
      <c r="AA105" s="48">
        <v>0.52810000000000001</v>
      </c>
      <c r="AB105" s="48">
        <v>7.0446999999999997</v>
      </c>
      <c r="AC105" s="48">
        <v>7.1679000000000004</v>
      </c>
      <c r="AD105" s="48">
        <f t="shared" si="53"/>
        <v>7.6118</v>
      </c>
      <c r="AE105" s="48">
        <f t="shared" si="54"/>
        <v>7.696</v>
      </c>
      <c r="AF105" s="49" t="s">
        <v>167</v>
      </c>
      <c r="AG105" s="49" t="s">
        <v>168</v>
      </c>
      <c r="AH105" s="49">
        <v>1</v>
      </c>
      <c r="AI105" s="49" t="s">
        <v>137</v>
      </c>
      <c r="AJ105" s="2"/>
    </row>
    <row r="106" spans="1:36">
      <c r="A106" s="49">
        <v>4</v>
      </c>
      <c r="B106" s="49" t="s">
        <v>166</v>
      </c>
      <c r="C106" s="49">
        <v>0.62</v>
      </c>
      <c r="D106" s="49">
        <v>0.18</v>
      </c>
      <c r="E106" s="49">
        <v>0.35</v>
      </c>
      <c r="F106" s="48">
        <v>0.61990000000000001</v>
      </c>
      <c r="G106" s="48">
        <v>0.62050000000000005</v>
      </c>
      <c r="H106" s="48">
        <v>0.18079999999999999</v>
      </c>
      <c r="I106" s="48">
        <v>0.1792</v>
      </c>
      <c r="J106" s="48">
        <v>0.3997</v>
      </c>
      <c r="K106" s="48">
        <v>0.35010000000000002</v>
      </c>
      <c r="L106" s="48">
        <f t="shared" si="44"/>
        <v>0.099999999999989</v>
      </c>
      <c r="M106" s="48">
        <f t="shared" si="45"/>
        <v>0.500000000000056</v>
      </c>
      <c r="N106" s="48">
        <f t="shared" si="46"/>
        <v>0.799999999999995</v>
      </c>
      <c r="O106" s="48">
        <f t="shared" si="47"/>
        <v>0.799999999999995</v>
      </c>
      <c r="P106" s="48">
        <f t="shared" si="48"/>
        <v>49.7</v>
      </c>
      <c r="Q106" s="48">
        <f t="shared" si="49"/>
        <v>0.100000000000045</v>
      </c>
      <c r="R106" s="48">
        <f t="shared" si="50"/>
        <v>49.7065388052719</v>
      </c>
      <c r="S106" s="48">
        <f t="shared" si="51"/>
        <v>0.948683298050544</v>
      </c>
      <c r="T106" s="110"/>
      <c r="U106" s="110"/>
      <c r="V106" s="110"/>
      <c r="W106" s="110"/>
      <c r="X106" s="110"/>
      <c r="Y106" s="110"/>
      <c r="Z106" s="48">
        <v>0.53990000000000005</v>
      </c>
      <c r="AA106" s="48">
        <v>0.60609999999999997</v>
      </c>
      <c r="AB106" s="48">
        <v>7.0549999999999997</v>
      </c>
      <c r="AC106" s="48">
        <v>9.8638999999999992</v>
      </c>
      <c r="AD106" s="48">
        <f t="shared" si="53"/>
        <v>7.5949</v>
      </c>
      <c r="AE106" s="48">
        <f t="shared" si="54"/>
        <v>10.47</v>
      </c>
      <c r="AF106" s="49" t="s">
        <v>167</v>
      </c>
      <c r="AG106" s="49" t="s">
        <v>168</v>
      </c>
      <c r="AH106" s="49">
        <v>1</v>
      </c>
      <c r="AI106" s="49" t="s">
        <v>137</v>
      </c>
      <c r="AJ106" s="2"/>
    </row>
    <row r="107" spans="1:36">
      <c r="A107" s="49">
        <v>4</v>
      </c>
      <c r="B107" s="49" t="s">
        <v>169</v>
      </c>
      <c r="C107" s="49">
        <v>0.72</v>
      </c>
      <c r="D107" s="49">
        <v>0.28000000000000003</v>
      </c>
      <c r="E107" s="49">
        <v>0.42</v>
      </c>
      <c r="F107" s="48">
        <v>0.72089999999999999</v>
      </c>
      <c r="G107" s="48">
        <v>0.71909999999999996</v>
      </c>
      <c r="H107" s="48">
        <v>0.28000000000000003</v>
      </c>
      <c r="I107" s="48">
        <v>0.28039999999999998</v>
      </c>
      <c r="J107" s="48">
        <v>0.46920000000000001</v>
      </c>
      <c r="K107" s="48">
        <v>0.42</v>
      </c>
      <c r="L107" s="48">
        <f t="shared" si="44"/>
        <v>0.900000000000012</v>
      </c>
      <c r="M107" s="48">
        <f t="shared" si="45"/>
        <v>0.900000000000012</v>
      </c>
      <c r="N107" s="48">
        <f t="shared" si="46"/>
        <v>0</v>
      </c>
      <c r="O107" s="48">
        <f t="shared" si="47"/>
        <v>0.399999999999956</v>
      </c>
      <c r="P107" s="48">
        <f t="shared" si="48"/>
        <v>49.2</v>
      </c>
      <c r="Q107" s="48">
        <f t="shared" si="49"/>
        <v>0</v>
      </c>
      <c r="R107" s="48">
        <f t="shared" si="50"/>
        <v>49.2082310188042</v>
      </c>
      <c r="S107" s="48">
        <f t="shared" si="51"/>
        <v>0.984885780179603</v>
      </c>
      <c r="T107" s="110"/>
      <c r="U107" s="110"/>
      <c r="V107" s="110"/>
      <c r="W107" s="110"/>
      <c r="X107" s="110"/>
      <c r="Y107" s="110"/>
      <c r="Z107" s="48">
        <v>0.54200000000000004</v>
      </c>
      <c r="AA107" s="48">
        <v>0.52769999999999995</v>
      </c>
      <c r="AB107" s="48">
        <v>7.0452000000000004</v>
      </c>
      <c r="AC107" s="48">
        <v>7.0724</v>
      </c>
      <c r="AD107" s="48">
        <f t="shared" si="53"/>
        <v>7.5872</v>
      </c>
      <c r="AE107" s="48">
        <f t="shared" si="54"/>
        <v>7.6001</v>
      </c>
      <c r="AF107" s="49" t="s">
        <v>167</v>
      </c>
      <c r="AG107" s="49" t="s">
        <v>168</v>
      </c>
      <c r="AH107" s="49">
        <v>1</v>
      </c>
      <c r="AI107" s="49" t="s">
        <v>137</v>
      </c>
      <c r="AJ107" s="2"/>
    </row>
    <row r="108" spans="1:36">
      <c r="A108" s="49">
        <v>5</v>
      </c>
      <c r="B108" s="49" t="s">
        <v>166</v>
      </c>
      <c r="C108" s="49">
        <v>0.62</v>
      </c>
      <c r="D108" s="49">
        <v>0.18</v>
      </c>
      <c r="E108" s="49">
        <v>0.35</v>
      </c>
      <c r="F108" s="48">
        <v>0.62080000000000002</v>
      </c>
      <c r="G108" s="48">
        <v>0.62</v>
      </c>
      <c r="H108" s="48">
        <v>0.17979999999999999</v>
      </c>
      <c r="I108" s="48">
        <v>0.17960000000000001</v>
      </c>
      <c r="J108" s="48">
        <v>0.39989999999999998</v>
      </c>
      <c r="K108" s="48">
        <v>0.3508</v>
      </c>
      <c r="L108" s="48">
        <f t="shared" si="44"/>
        <v>0.800000000000023</v>
      </c>
      <c r="M108" s="48">
        <f t="shared" si="45"/>
        <v>0</v>
      </c>
      <c r="N108" s="48">
        <f t="shared" si="46"/>
        <v>0.200000000000006</v>
      </c>
      <c r="O108" s="48">
        <f t="shared" si="47"/>
        <v>0.399999999999984</v>
      </c>
      <c r="P108" s="48">
        <f t="shared" si="48"/>
        <v>49.9</v>
      </c>
      <c r="Q108" s="48">
        <f t="shared" si="49"/>
        <v>0.800000000000023</v>
      </c>
      <c r="R108" s="48">
        <f t="shared" si="50"/>
        <v>49.9068131621325</v>
      </c>
      <c r="S108" s="48">
        <f t="shared" si="51"/>
        <v>0.894427190999929</v>
      </c>
      <c r="T108" s="110"/>
      <c r="U108" s="110"/>
      <c r="V108" s="110"/>
      <c r="W108" s="110"/>
      <c r="X108" s="110"/>
      <c r="Y108" s="110"/>
      <c r="Z108" s="48">
        <v>0.53859999999999997</v>
      </c>
      <c r="AA108" s="48">
        <v>0.56779999999999997</v>
      </c>
      <c r="AB108" s="48">
        <v>7.0674000000000001</v>
      </c>
      <c r="AC108" s="48">
        <v>9.5276999999999994</v>
      </c>
      <c r="AD108" s="48">
        <f t="shared" si="53"/>
        <v>7.606</v>
      </c>
      <c r="AE108" s="48">
        <f t="shared" si="54"/>
        <v>10.0955</v>
      </c>
      <c r="AF108" s="49" t="s">
        <v>167</v>
      </c>
      <c r="AG108" s="49" t="s">
        <v>168</v>
      </c>
      <c r="AH108" s="49">
        <v>1</v>
      </c>
      <c r="AI108" s="49" t="s">
        <v>137</v>
      </c>
      <c r="AJ108" s="2"/>
    </row>
    <row r="109" spans="1:36">
      <c r="A109" s="49">
        <v>5</v>
      </c>
      <c r="B109" s="49" t="s">
        <v>169</v>
      </c>
      <c r="C109" s="49">
        <v>0.72</v>
      </c>
      <c r="D109" s="49">
        <v>0.28000000000000003</v>
      </c>
      <c r="E109" s="49">
        <v>0.42</v>
      </c>
      <c r="F109" s="48">
        <v>0.71960000000000002</v>
      </c>
      <c r="G109" s="48">
        <v>0.71989999999999998</v>
      </c>
      <c r="H109" s="48">
        <v>0.27989999999999998</v>
      </c>
      <c r="I109" s="48">
        <v>0.2792</v>
      </c>
      <c r="J109" s="48">
        <v>0.47060000000000002</v>
      </c>
      <c r="K109" s="48">
        <v>0.42009999999999997</v>
      </c>
      <c r="L109" s="48">
        <f t="shared" si="44"/>
        <v>0.399999999999956</v>
      </c>
      <c r="M109" s="48">
        <f t="shared" si="45"/>
        <v>0.099999999999989</v>
      </c>
      <c r="N109" s="48">
        <f t="shared" si="46"/>
        <v>0.100000000000045</v>
      </c>
      <c r="O109" s="48">
        <f t="shared" si="47"/>
        <v>0.800000000000023</v>
      </c>
      <c r="P109" s="48">
        <f t="shared" si="48"/>
        <v>50.6</v>
      </c>
      <c r="Q109" s="48">
        <f t="shared" si="49"/>
        <v>0.099999999999989</v>
      </c>
      <c r="R109" s="48">
        <f t="shared" si="50"/>
        <v>50.6016798140141</v>
      </c>
      <c r="S109" s="48">
        <f t="shared" si="51"/>
        <v>0.812403840463616</v>
      </c>
      <c r="T109" s="110"/>
      <c r="U109" s="110"/>
      <c r="V109" s="110"/>
      <c r="W109" s="110"/>
      <c r="X109" s="110"/>
      <c r="Y109" s="110"/>
      <c r="Z109" s="48">
        <v>0.54620000000000002</v>
      </c>
      <c r="AA109" s="48">
        <v>0.5343</v>
      </c>
      <c r="AB109" s="48">
        <v>7.0381999999999998</v>
      </c>
      <c r="AC109" s="48">
        <v>7.0735000000000001</v>
      </c>
      <c r="AD109" s="48">
        <f t="shared" si="53"/>
        <v>7.5844</v>
      </c>
      <c r="AE109" s="48">
        <f t="shared" si="54"/>
        <v>7.6078</v>
      </c>
      <c r="AF109" s="49" t="s">
        <v>167</v>
      </c>
      <c r="AG109" s="49" t="s">
        <v>168</v>
      </c>
      <c r="AH109" s="49">
        <v>1</v>
      </c>
      <c r="AI109" s="49" t="s">
        <v>137</v>
      </c>
      <c r="AJ109" s="2"/>
    </row>
    <row r="110" spans="1:36">
      <c r="A110" s="49">
        <v>6</v>
      </c>
      <c r="B110" s="49" t="s">
        <v>166</v>
      </c>
      <c r="C110" s="49">
        <v>0.62</v>
      </c>
      <c r="D110" s="49">
        <v>0.18</v>
      </c>
      <c r="E110" s="49">
        <v>0.35</v>
      </c>
      <c r="F110" s="48">
        <v>0.62070000000000003</v>
      </c>
      <c r="G110" s="48">
        <v>0.61980000000000002</v>
      </c>
      <c r="H110" s="48">
        <v>0.1794</v>
      </c>
      <c r="I110" s="48">
        <v>0.1804</v>
      </c>
      <c r="J110" s="48">
        <v>0.40079999999999999</v>
      </c>
      <c r="K110" s="48">
        <v>0.34939999999999999</v>
      </c>
      <c r="L110" s="48">
        <f t="shared" si="44"/>
        <v>0.700000000000034</v>
      </c>
      <c r="M110" s="48">
        <f t="shared" si="45"/>
        <v>0.199999999999978</v>
      </c>
      <c r="N110" s="48">
        <f t="shared" si="46"/>
        <v>0.599999999999989</v>
      </c>
      <c r="O110" s="48">
        <f t="shared" si="47"/>
        <v>0.400000000000011</v>
      </c>
      <c r="P110" s="48">
        <f t="shared" si="48"/>
        <v>50.8</v>
      </c>
      <c r="Q110" s="48">
        <f t="shared" si="49"/>
        <v>0.599999999999989</v>
      </c>
      <c r="R110" s="48">
        <f t="shared" si="50"/>
        <v>50.8083654529449</v>
      </c>
      <c r="S110" s="48">
        <f t="shared" si="51"/>
        <v>0.74833147735478</v>
      </c>
      <c r="T110" s="110"/>
      <c r="U110" s="110"/>
      <c r="V110" s="110"/>
      <c r="W110" s="110"/>
      <c r="X110" s="110"/>
      <c r="Y110" s="110"/>
      <c r="Z110" s="48">
        <v>0.5716</v>
      </c>
      <c r="AA110" s="48">
        <v>0.4577</v>
      </c>
      <c r="AB110" s="48">
        <v>7.0477999999999996</v>
      </c>
      <c r="AC110" s="48">
        <v>9.9741</v>
      </c>
      <c r="AD110" s="48">
        <f t="shared" si="53"/>
        <v>7.6194</v>
      </c>
      <c r="AE110" s="48">
        <f t="shared" si="54"/>
        <v>10.4318</v>
      </c>
      <c r="AF110" s="49" t="s">
        <v>167</v>
      </c>
      <c r="AG110" s="49" t="s">
        <v>168</v>
      </c>
      <c r="AH110" s="49">
        <v>1</v>
      </c>
      <c r="AI110" s="49" t="s">
        <v>137</v>
      </c>
      <c r="AJ110" s="2"/>
    </row>
    <row r="111" spans="1:36">
      <c r="A111" s="49">
        <v>6</v>
      </c>
      <c r="B111" s="49" t="s">
        <v>169</v>
      </c>
      <c r="C111" s="49">
        <v>0.72</v>
      </c>
      <c r="D111" s="49">
        <v>0.28000000000000003</v>
      </c>
      <c r="E111" s="49">
        <v>0.42</v>
      </c>
      <c r="F111" s="48">
        <v>0.72019999999999995</v>
      </c>
      <c r="G111" s="48">
        <v>0.72019999999999995</v>
      </c>
      <c r="H111" s="48">
        <v>0.27960000000000002</v>
      </c>
      <c r="I111" s="48">
        <v>0.28060000000000002</v>
      </c>
      <c r="J111" s="48">
        <v>0.47099999999999997</v>
      </c>
      <c r="K111" s="48">
        <v>0.42</v>
      </c>
      <c r="L111" s="48">
        <f t="shared" si="44"/>
        <v>0.199999999999978</v>
      </c>
      <c r="M111" s="48">
        <f t="shared" si="45"/>
        <v>0.199999999999978</v>
      </c>
      <c r="N111" s="48">
        <f t="shared" si="46"/>
        <v>0.400000000000011</v>
      </c>
      <c r="O111" s="48">
        <f t="shared" si="47"/>
        <v>0.599999999999989</v>
      </c>
      <c r="P111" s="48">
        <f t="shared" si="48"/>
        <v>51</v>
      </c>
      <c r="Q111" s="48">
        <f t="shared" si="49"/>
        <v>0</v>
      </c>
      <c r="R111" s="48">
        <f t="shared" si="50"/>
        <v>51.0019607466223</v>
      </c>
      <c r="S111" s="48">
        <f t="shared" si="51"/>
        <v>0.632455532033659</v>
      </c>
      <c r="T111" s="110"/>
      <c r="U111" s="110"/>
      <c r="V111" s="110"/>
      <c r="W111" s="110"/>
      <c r="X111" s="110"/>
      <c r="Y111" s="110"/>
      <c r="Z111" s="48">
        <v>0.55759999999999998</v>
      </c>
      <c r="AA111" s="48">
        <v>0.53910000000000002</v>
      </c>
      <c r="AB111" s="48">
        <v>7.0372000000000003</v>
      </c>
      <c r="AC111" s="48">
        <v>7.0358000000000001</v>
      </c>
      <c r="AD111" s="48">
        <f t="shared" si="53"/>
        <v>7.5948</v>
      </c>
      <c r="AE111" s="48">
        <f t="shared" si="54"/>
        <v>7.5749</v>
      </c>
      <c r="AF111" s="49" t="s">
        <v>167</v>
      </c>
      <c r="AG111" s="49" t="s">
        <v>168</v>
      </c>
      <c r="AH111" s="49">
        <v>1</v>
      </c>
      <c r="AI111" s="49" t="s">
        <v>137</v>
      </c>
      <c r="AJ111" s="2"/>
    </row>
    <row r="112" spans="1:36">
      <c r="A112" s="49">
        <v>7</v>
      </c>
      <c r="B112" s="49" t="s">
        <v>166</v>
      </c>
      <c r="C112" s="49">
        <v>0.62</v>
      </c>
      <c r="D112" s="49">
        <v>0.18</v>
      </c>
      <c r="E112" s="49">
        <v>0.35</v>
      </c>
      <c r="F112" s="48">
        <v>0.61990000000000001</v>
      </c>
      <c r="G112" s="48">
        <v>0.62009999999999998</v>
      </c>
      <c r="H112" s="48">
        <v>0.17879999999999999</v>
      </c>
      <c r="I112" s="48">
        <v>0.18079999999999999</v>
      </c>
      <c r="J112" s="48">
        <v>0.40079999999999999</v>
      </c>
      <c r="K112" s="48">
        <v>0.35020000000000001</v>
      </c>
      <c r="L112" s="48">
        <f t="shared" si="44"/>
        <v>0.099999999999989</v>
      </c>
      <c r="M112" s="48">
        <f t="shared" si="45"/>
        <v>0.099999999999989</v>
      </c>
      <c r="N112" s="48">
        <f t="shared" si="46"/>
        <v>1.20000000000001</v>
      </c>
      <c r="O112" s="48">
        <f t="shared" si="47"/>
        <v>0.799999999999995</v>
      </c>
      <c r="P112" s="48">
        <f t="shared" si="48"/>
        <v>50.8</v>
      </c>
      <c r="Q112" s="48">
        <f t="shared" si="49"/>
        <v>0.200000000000033</v>
      </c>
      <c r="R112" s="48">
        <f t="shared" si="50"/>
        <v>50.814269649381</v>
      </c>
      <c r="S112" s="48">
        <f t="shared" si="51"/>
        <v>0.83066238629181</v>
      </c>
      <c r="T112" s="110"/>
      <c r="U112" s="110"/>
      <c r="V112" s="110"/>
      <c r="W112" s="110"/>
      <c r="X112" s="110"/>
      <c r="Y112" s="110"/>
      <c r="Z112" s="48">
        <v>0.54059999999999997</v>
      </c>
      <c r="AA112" s="48">
        <v>0.56799999999999995</v>
      </c>
      <c r="AB112" s="48">
        <v>7.0515999999999996</v>
      </c>
      <c r="AC112" s="48">
        <v>9.4617000000000004</v>
      </c>
      <c r="AD112" s="48">
        <f t="shared" si="53"/>
        <v>7.5922</v>
      </c>
      <c r="AE112" s="48">
        <f t="shared" si="54"/>
        <v>10.0297</v>
      </c>
      <c r="AF112" s="49" t="s">
        <v>167</v>
      </c>
      <c r="AG112" s="49" t="s">
        <v>168</v>
      </c>
      <c r="AH112" s="49">
        <v>1</v>
      </c>
      <c r="AI112" s="49" t="s">
        <v>137</v>
      </c>
      <c r="AJ112" s="2"/>
    </row>
    <row r="113" spans="1:36">
      <c r="A113" s="49">
        <v>7</v>
      </c>
      <c r="B113" s="49" t="s">
        <v>169</v>
      </c>
      <c r="C113" s="49">
        <v>0.72</v>
      </c>
      <c r="D113" s="49">
        <v>0.28000000000000003</v>
      </c>
      <c r="E113" s="49">
        <v>0.42</v>
      </c>
      <c r="F113" s="48">
        <v>0.72009999999999996</v>
      </c>
      <c r="G113" s="48">
        <v>0.72070000000000001</v>
      </c>
      <c r="H113" s="48">
        <v>0.27950000000000003</v>
      </c>
      <c r="I113" s="48">
        <v>0.28000000000000003</v>
      </c>
      <c r="J113" s="48">
        <v>0.46960000000000002</v>
      </c>
      <c r="K113" s="48">
        <v>0.4194</v>
      </c>
      <c r="L113" s="48">
        <f t="shared" si="44"/>
        <v>0.099999999999989</v>
      </c>
      <c r="M113" s="48">
        <f t="shared" si="45"/>
        <v>0.700000000000034</v>
      </c>
      <c r="N113" s="48">
        <f t="shared" si="46"/>
        <v>0.5</v>
      </c>
      <c r="O113" s="48">
        <f t="shared" si="47"/>
        <v>0</v>
      </c>
      <c r="P113" s="48">
        <f t="shared" si="48"/>
        <v>49.6</v>
      </c>
      <c r="Q113" s="48">
        <f t="shared" si="49"/>
        <v>0.599999999999989</v>
      </c>
      <c r="R113" s="48">
        <f t="shared" si="50"/>
        <v>49.6026208984969</v>
      </c>
      <c r="S113" s="48">
        <f t="shared" si="51"/>
        <v>0.921954445729308</v>
      </c>
      <c r="T113" s="110"/>
      <c r="U113" s="110"/>
      <c r="V113" s="110"/>
      <c r="W113" s="110"/>
      <c r="X113" s="110"/>
      <c r="Y113" s="110"/>
      <c r="Z113" s="48">
        <v>0.64710000000000001</v>
      </c>
      <c r="AA113" s="48">
        <v>0.53239999999999998</v>
      </c>
      <c r="AB113" s="48">
        <v>7.0433000000000003</v>
      </c>
      <c r="AC113" s="48">
        <v>7.0989000000000004</v>
      </c>
      <c r="AD113" s="48">
        <f t="shared" si="53"/>
        <v>7.6904</v>
      </c>
      <c r="AE113" s="48">
        <f t="shared" si="54"/>
        <v>7.6313</v>
      </c>
      <c r="AF113" s="49" t="s">
        <v>167</v>
      </c>
      <c r="AG113" s="49" t="s">
        <v>168</v>
      </c>
      <c r="AH113" s="49">
        <v>1</v>
      </c>
      <c r="AI113" s="49" t="s">
        <v>137</v>
      </c>
      <c r="AJ113" s="2"/>
    </row>
    <row r="114" spans="1:36">
      <c r="A114" s="49">
        <v>8</v>
      </c>
      <c r="B114" s="49" t="s">
        <v>166</v>
      </c>
      <c r="C114" s="49">
        <v>0.62</v>
      </c>
      <c r="D114" s="49">
        <v>0.18</v>
      </c>
      <c r="E114" s="49">
        <v>0.35</v>
      </c>
      <c r="F114" s="48">
        <v>0.61950000000000005</v>
      </c>
      <c r="G114" s="48">
        <v>0.61970000000000003</v>
      </c>
      <c r="H114" s="48">
        <v>0.18079999999999999</v>
      </c>
      <c r="I114" s="48">
        <v>0.18049999999999999</v>
      </c>
      <c r="J114" s="48">
        <v>0.39950000000000002</v>
      </c>
      <c r="K114" s="48">
        <v>0.3498</v>
      </c>
      <c r="L114" s="48">
        <f t="shared" si="44"/>
        <v>0.499999999999945</v>
      </c>
      <c r="M114" s="48">
        <f t="shared" si="45"/>
        <v>0.299999999999967</v>
      </c>
      <c r="N114" s="48">
        <f t="shared" si="46"/>
        <v>0.799999999999995</v>
      </c>
      <c r="O114" s="48">
        <f t="shared" si="47"/>
        <v>0.5</v>
      </c>
      <c r="P114" s="48">
        <f t="shared" si="48"/>
        <v>49.5</v>
      </c>
      <c r="Q114" s="48">
        <f t="shared" si="49"/>
        <v>0.199999999999978</v>
      </c>
      <c r="R114" s="48">
        <f t="shared" si="50"/>
        <v>49.5089890827919</v>
      </c>
      <c r="S114" s="48">
        <f t="shared" si="51"/>
        <v>0.616441400296875</v>
      </c>
      <c r="T114" s="110"/>
      <c r="U114" s="110"/>
      <c r="V114" s="110"/>
      <c r="W114" s="110"/>
      <c r="X114" s="110"/>
      <c r="Y114" s="110"/>
      <c r="Z114" s="48">
        <v>0.59250000000000003</v>
      </c>
      <c r="AA114" s="48">
        <v>0.53839999999999999</v>
      </c>
      <c r="AB114" s="48">
        <v>7.0632000000000001</v>
      </c>
      <c r="AC114" s="48">
        <v>8.9678000000000004</v>
      </c>
      <c r="AD114" s="48">
        <f t="shared" si="53"/>
        <v>7.6557</v>
      </c>
      <c r="AE114" s="48">
        <f t="shared" si="54"/>
        <v>9.5062</v>
      </c>
      <c r="AF114" s="49" t="s">
        <v>167</v>
      </c>
      <c r="AG114" s="49" t="s">
        <v>168</v>
      </c>
      <c r="AH114" s="49">
        <v>1</v>
      </c>
      <c r="AI114" s="49" t="s">
        <v>137</v>
      </c>
      <c r="AJ114" s="2"/>
    </row>
    <row r="115" spans="1:36">
      <c r="A115" s="49">
        <v>8</v>
      </c>
      <c r="B115" s="49" t="s">
        <v>169</v>
      </c>
      <c r="C115" s="49">
        <v>0.72</v>
      </c>
      <c r="D115" s="49">
        <v>0.28000000000000003</v>
      </c>
      <c r="E115" s="49">
        <v>0.42</v>
      </c>
      <c r="F115" s="48">
        <v>0.7208</v>
      </c>
      <c r="G115" s="48">
        <v>0.71940000000000004</v>
      </c>
      <c r="H115" s="48">
        <v>0.2797</v>
      </c>
      <c r="I115" s="48">
        <v>0.27960000000000002</v>
      </c>
      <c r="J115" s="48">
        <v>0.46970000000000001</v>
      </c>
      <c r="K115" s="48">
        <v>0.42049999999999998</v>
      </c>
      <c r="L115" s="48">
        <f t="shared" si="44"/>
        <v>0.800000000000023</v>
      </c>
      <c r="M115" s="48">
        <f t="shared" si="45"/>
        <v>0.599999999999934</v>
      </c>
      <c r="N115" s="48">
        <f t="shared" si="46"/>
        <v>0.300000000000022</v>
      </c>
      <c r="O115" s="48">
        <f t="shared" si="47"/>
        <v>0.400000000000011</v>
      </c>
      <c r="P115" s="48">
        <f t="shared" si="48"/>
        <v>49.7</v>
      </c>
      <c r="Q115" s="48">
        <f t="shared" si="49"/>
        <v>0.5</v>
      </c>
      <c r="R115" s="48">
        <f t="shared" si="50"/>
        <v>49.707343521858</v>
      </c>
      <c r="S115" s="48">
        <f t="shared" si="51"/>
        <v>0.877496438739173</v>
      </c>
      <c r="T115" s="110"/>
      <c r="U115" s="110"/>
      <c r="V115" s="110"/>
      <c r="W115" s="110"/>
      <c r="X115" s="110"/>
      <c r="Y115" s="110"/>
      <c r="Z115" s="48">
        <v>0.53969999999999996</v>
      </c>
      <c r="AA115" s="48">
        <v>0.53129999999999999</v>
      </c>
      <c r="AB115" s="48">
        <v>7.0449000000000002</v>
      </c>
      <c r="AC115" s="48">
        <v>7.0964</v>
      </c>
      <c r="AD115" s="48">
        <f t="shared" si="53"/>
        <v>7.5846</v>
      </c>
      <c r="AE115" s="48">
        <f t="shared" si="54"/>
        <v>7.6277</v>
      </c>
      <c r="AF115" s="49" t="s">
        <v>167</v>
      </c>
      <c r="AG115" s="49" t="s">
        <v>168</v>
      </c>
      <c r="AH115" s="49">
        <v>1</v>
      </c>
      <c r="AI115" s="49" t="s">
        <v>137</v>
      </c>
      <c r="AJ115" s="2"/>
    </row>
    <row r="116" spans="1:36">
      <c r="A116" s="49">
        <v>9</v>
      </c>
      <c r="B116" s="49" t="s">
        <v>166</v>
      </c>
      <c r="C116" s="49">
        <v>0.62</v>
      </c>
      <c r="D116" s="49">
        <v>0.18</v>
      </c>
      <c r="E116" s="49">
        <v>0.35</v>
      </c>
      <c r="F116" s="48">
        <v>0.61899999999999999</v>
      </c>
      <c r="G116" s="48">
        <v>0.61990000000000001</v>
      </c>
      <c r="H116" s="48">
        <v>0.17949999999999999</v>
      </c>
      <c r="I116" s="48">
        <v>0.1792</v>
      </c>
      <c r="J116" s="48">
        <v>0.40050000000000002</v>
      </c>
      <c r="K116" s="48">
        <v>0.34960000000000002</v>
      </c>
      <c r="L116" s="48">
        <f t="shared" si="44"/>
        <v>1</v>
      </c>
      <c r="M116" s="48">
        <f t="shared" si="45"/>
        <v>0.099999999999989</v>
      </c>
      <c r="N116" s="48">
        <f t="shared" si="46"/>
        <v>0.5</v>
      </c>
      <c r="O116" s="48">
        <f t="shared" si="47"/>
        <v>0.799999999999995</v>
      </c>
      <c r="P116" s="48">
        <f t="shared" si="48"/>
        <v>50.5</v>
      </c>
      <c r="Q116" s="48">
        <f t="shared" si="49"/>
        <v>0.399999999999956</v>
      </c>
      <c r="R116" s="48">
        <f t="shared" si="50"/>
        <v>50.5123747214482</v>
      </c>
      <c r="S116" s="48">
        <f t="shared" si="51"/>
        <v>0.899999999999975</v>
      </c>
      <c r="T116" s="110"/>
      <c r="U116" s="110"/>
      <c r="V116" s="110"/>
      <c r="W116" s="110"/>
      <c r="X116" s="110"/>
      <c r="Y116" s="110"/>
      <c r="Z116" s="48">
        <v>0.55020000000000002</v>
      </c>
      <c r="AA116" s="48">
        <v>0.53779999999999994</v>
      </c>
      <c r="AB116" s="48">
        <v>7.0487000000000002</v>
      </c>
      <c r="AC116" s="48">
        <v>8.3025000000000002</v>
      </c>
      <c r="AD116" s="48">
        <f t="shared" si="53"/>
        <v>7.5989</v>
      </c>
      <c r="AE116" s="48">
        <f t="shared" si="54"/>
        <v>8.8403</v>
      </c>
      <c r="AF116" s="49" t="s">
        <v>167</v>
      </c>
      <c r="AG116" s="49" t="s">
        <v>168</v>
      </c>
      <c r="AH116" s="49">
        <v>1</v>
      </c>
      <c r="AI116" s="49" t="s">
        <v>137</v>
      </c>
      <c r="AJ116" s="2"/>
    </row>
    <row r="117" spans="1:36">
      <c r="A117" s="49">
        <v>9</v>
      </c>
      <c r="B117" s="49" t="s">
        <v>169</v>
      </c>
      <c r="C117" s="49">
        <v>0.72</v>
      </c>
      <c r="D117" s="49">
        <v>0.28000000000000003</v>
      </c>
      <c r="E117" s="49">
        <v>0.42</v>
      </c>
      <c r="F117" s="48">
        <v>0.7208</v>
      </c>
      <c r="G117" s="48">
        <v>0.71960000000000002</v>
      </c>
      <c r="H117" s="48">
        <v>0.2797</v>
      </c>
      <c r="I117" s="48">
        <v>0.28060000000000002</v>
      </c>
      <c r="J117" s="48">
        <v>0.46970000000000001</v>
      </c>
      <c r="K117" s="48">
        <v>0.42030000000000001</v>
      </c>
      <c r="L117" s="48">
        <f t="shared" si="44"/>
        <v>0.800000000000023</v>
      </c>
      <c r="M117" s="48">
        <f t="shared" si="45"/>
        <v>0.399999999999956</v>
      </c>
      <c r="N117" s="48">
        <f t="shared" si="46"/>
        <v>0.300000000000022</v>
      </c>
      <c r="O117" s="48">
        <f t="shared" si="47"/>
        <v>0.599999999999989</v>
      </c>
      <c r="P117" s="48">
        <f t="shared" si="48"/>
        <v>49.7</v>
      </c>
      <c r="Q117" s="48">
        <f t="shared" si="49"/>
        <v>0.300000000000022</v>
      </c>
      <c r="R117" s="48">
        <f t="shared" si="50"/>
        <v>49.707343521858</v>
      </c>
      <c r="S117" s="48">
        <f t="shared" si="51"/>
        <v>0.781024967590643</v>
      </c>
      <c r="T117" s="110"/>
      <c r="U117" s="110"/>
      <c r="V117" s="110"/>
      <c r="W117" s="110"/>
      <c r="X117" s="110"/>
      <c r="Y117" s="110"/>
      <c r="Z117" s="48">
        <v>0.5524</v>
      </c>
      <c r="AA117" s="48">
        <v>0.53129999999999999</v>
      </c>
      <c r="AB117" s="48">
        <v>7.0446999999999997</v>
      </c>
      <c r="AC117" s="48">
        <v>7.0964</v>
      </c>
      <c r="AD117" s="48">
        <f t="shared" si="53"/>
        <v>7.5971</v>
      </c>
      <c r="AE117" s="48">
        <f t="shared" si="54"/>
        <v>7.6277</v>
      </c>
      <c r="AF117" s="49" t="s">
        <v>167</v>
      </c>
      <c r="AG117" s="49" t="s">
        <v>168</v>
      </c>
      <c r="AH117" s="49">
        <v>1</v>
      </c>
      <c r="AI117" s="49" t="s">
        <v>137</v>
      </c>
      <c r="AJ117" s="2"/>
    </row>
    <row r="118" spans="1:36">
      <c r="A118" s="49">
        <v>10</v>
      </c>
      <c r="B118" s="49" t="s">
        <v>166</v>
      </c>
      <c r="C118" s="49">
        <v>0.62</v>
      </c>
      <c r="D118" s="49">
        <v>0.18</v>
      </c>
      <c r="E118" s="49">
        <v>0.35</v>
      </c>
      <c r="F118" s="48">
        <v>0.62039999999999995</v>
      </c>
      <c r="G118" s="48">
        <v>0.61970000000000003</v>
      </c>
      <c r="H118" s="48">
        <v>0.18060000000000001</v>
      </c>
      <c r="I118" s="48">
        <v>0.17960000000000001</v>
      </c>
      <c r="J118" s="48">
        <v>0.40079999999999999</v>
      </c>
      <c r="K118" s="48">
        <v>0.3508</v>
      </c>
      <c r="L118" s="48">
        <f t="shared" si="44"/>
        <v>0.399999999999956</v>
      </c>
      <c r="M118" s="48">
        <f t="shared" si="45"/>
        <v>0.299999999999967</v>
      </c>
      <c r="N118" s="48">
        <f t="shared" si="46"/>
        <v>0.600000000000017</v>
      </c>
      <c r="O118" s="48">
        <f t="shared" si="47"/>
        <v>0.399999999999984</v>
      </c>
      <c r="P118" s="48">
        <f t="shared" si="48"/>
        <v>50.8</v>
      </c>
      <c r="Q118" s="48">
        <f t="shared" si="49"/>
        <v>0.800000000000023</v>
      </c>
      <c r="R118" s="48">
        <f t="shared" si="50"/>
        <v>50.8051178524369</v>
      </c>
      <c r="S118" s="48">
        <f t="shared" si="51"/>
        <v>0.943398113205662</v>
      </c>
      <c r="T118" s="110"/>
      <c r="U118" s="110"/>
      <c r="V118" s="110"/>
      <c r="W118" s="110"/>
      <c r="X118" s="110"/>
      <c r="Y118" s="110"/>
      <c r="Z118" s="48">
        <v>0.54969999999999997</v>
      </c>
      <c r="AA118" s="48">
        <v>0.53310000000000002</v>
      </c>
      <c r="AB118" s="48">
        <v>7.0472000000000001</v>
      </c>
      <c r="AC118" s="48">
        <v>8.3134999999999994</v>
      </c>
      <c r="AD118" s="48">
        <f t="shared" si="53"/>
        <v>7.5969</v>
      </c>
      <c r="AE118" s="48">
        <f t="shared" si="54"/>
        <v>8.8466</v>
      </c>
      <c r="AF118" s="49" t="s">
        <v>167</v>
      </c>
      <c r="AG118" s="49" t="s">
        <v>168</v>
      </c>
      <c r="AH118" s="49">
        <v>1</v>
      </c>
      <c r="AI118" s="49" t="s">
        <v>137</v>
      </c>
      <c r="AJ118" s="2"/>
    </row>
    <row r="119" spans="1:36">
      <c r="A119" s="49">
        <v>10</v>
      </c>
      <c r="B119" s="49" t="s">
        <v>169</v>
      </c>
      <c r="C119" s="49">
        <v>0.72</v>
      </c>
      <c r="D119" s="49">
        <v>0.28000000000000003</v>
      </c>
      <c r="E119" s="49">
        <v>0.42</v>
      </c>
      <c r="F119" s="48">
        <v>0.72050000000000003</v>
      </c>
      <c r="G119" s="48">
        <v>0.71970000000000001</v>
      </c>
      <c r="H119" s="48">
        <v>0.27989999999999998</v>
      </c>
      <c r="I119" s="48">
        <v>0.28039999999999998</v>
      </c>
      <c r="J119" s="48">
        <v>0.47070000000000001</v>
      </c>
      <c r="K119" s="48">
        <v>0.42</v>
      </c>
      <c r="L119" s="48">
        <f t="shared" si="44"/>
        <v>0.500000000000056</v>
      </c>
      <c r="M119" s="48">
        <f t="shared" si="45"/>
        <v>0.299999999999967</v>
      </c>
      <c r="N119" s="48">
        <f t="shared" si="46"/>
        <v>0.100000000000045</v>
      </c>
      <c r="O119" s="48">
        <f t="shared" si="47"/>
        <v>0.399999999999956</v>
      </c>
      <c r="P119" s="48">
        <f t="shared" si="48"/>
        <v>50.7</v>
      </c>
      <c r="Q119" s="48">
        <f t="shared" si="49"/>
        <v>0</v>
      </c>
      <c r="R119" s="48">
        <f t="shared" si="50"/>
        <v>50.7025640377289</v>
      </c>
      <c r="S119" s="48">
        <f t="shared" si="51"/>
        <v>0.499999999999945</v>
      </c>
      <c r="T119" s="111"/>
      <c r="U119" s="111"/>
      <c r="V119" s="111"/>
      <c r="W119" s="111"/>
      <c r="X119" s="111"/>
      <c r="Y119" s="111"/>
      <c r="Z119" s="48">
        <v>0.56020000000000003</v>
      </c>
      <c r="AA119" s="48">
        <v>0.54700000000000004</v>
      </c>
      <c r="AB119" s="48">
        <v>7.0697000000000001</v>
      </c>
      <c r="AC119" s="48">
        <v>7.1186999999999996</v>
      </c>
      <c r="AD119" s="48">
        <f t="shared" si="53"/>
        <v>7.6299</v>
      </c>
      <c r="AE119" s="48">
        <f t="shared" si="54"/>
        <v>7.6657</v>
      </c>
      <c r="AF119" s="49" t="s">
        <v>167</v>
      </c>
      <c r="AG119" s="49" t="s">
        <v>168</v>
      </c>
      <c r="AH119" s="49">
        <v>1</v>
      </c>
      <c r="AI119" s="49" t="s">
        <v>137</v>
      </c>
      <c r="AJ119" s="2"/>
    </row>
    <row r="120" spans="1:36" ht="18.3" customHeight="1">
      <c r="A120" s="104" t="s">
        <v>170</v>
      </c>
      <c r="B120" s="105"/>
      <c r="C120" s="105"/>
      <c r="D120" s="105"/>
      <c r="E120" s="106"/>
      <c r="F120" s="108">
        <f>AVERAGE(F100:F119)-AVERAGE(G100:G119)</f>
        <v>0.000225000000000031</v>
      </c>
      <c r="G120" s="106"/>
      <c r="H120" s="108">
        <f>AVERAGE(H100:H119)-AVERAGE(I100:I119)</f>
        <v>-0.000125000000000014</v>
      </c>
      <c r="I120" s="106"/>
      <c r="J120" s="108">
        <f>AVERAGE(J100:J119)-AVERAGE(K100:K119)</f>
        <v>0.04997</v>
      </c>
      <c r="K120" s="106"/>
      <c r="L120" s="108">
        <f>AVERAGE(L100:L119)-AVERAGE(M100:M119)</f>
        <v>0.145000000000001</v>
      </c>
      <c r="M120" s="106"/>
      <c r="N120" s="108">
        <f>AVERAGE(N100:N119)-AVERAGE(O100:O119)</f>
        <v>0.0750000000000098</v>
      </c>
      <c r="O120" s="106"/>
      <c r="P120" s="108">
        <f>AVERAGE(P100:P119)-AVERAGE(Q100:Q119)</f>
        <v>49.71</v>
      </c>
      <c r="Q120" s="106"/>
      <c r="R120" s="108">
        <f>AVERAGE(R100:R119)-AVERAGE(S100:S119)</f>
        <v>49.3157654693764</v>
      </c>
      <c r="S120" s="106"/>
      <c r="T120" s="108">
        <f>AVERAGE(T100:T119)-AVERAGE(U100:U119)</f>
        <v>0.000231802132989858</v>
      </c>
      <c r="U120" s="106"/>
      <c r="V120" s="108">
        <f>AVERAGE(V100:V119)-AVERAGE(W100:W119)</f>
        <v>-0.00022936175441271</v>
      </c>
      <c r="W120" s="106"/>
      <c r="X120" s="108">
        <f>AVERAGE(X100:X119)-AVERAGE(Y100:Y119)</f>
        <v>-0.000193222295559022</v>
      </c>
      <c r="Y120" s="106"/>
      <c r="Z120" s="108">
        <f>AVERAGE(AA100:AA119)-AVERAGE(Z100:Z119)</f>
        <v>-0.01753</v>
      </c>
      <c r="AA120" s="106"/>
      <c r="AB120" s="108">
        <f>AVERAGE(AC100:AC119)-AVERAGE(AB100:AB119)</f>
        <v>1.067065</v>
      </c>
      <c r="AC120" s="106"/>
      <c r="AD120" s="108">
        <f>AVERAGE(AE100:AE119)-AVERAGE(AD100:AD119)</f>
        <v>1.049535</v>
      </c>
      <c r="AE120" s="106"/>
      <c r="AF120" s="117"/>
      <c r="AG120" s="105"/>
      <c r="AH120" s="105"/>
      <c r="AI120" s="106"/>
      <c r="AJ120" s="2"/>
    </row>
    <row r="121" spans="1:36">
      <c r="A121" s="112" t="s">
        <v>175</v>
      </c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6"/>
      <c r="AJ121" s="2"/>
    </row>
    <row r="122" spans="1:36" s="2" customFormat="1" ht="16.350000000000001" customHeight="1">
      <c r="A122" s="107" t="s">
        <v>126</v>
      </c>
      <c r="B122" s="107" t="s">
        <v>143</v>
      </c>
      <c r="C122" s="107" t="s">
        <v>144</v>
      </c>
      <c r="D122" s="107" t="s">
        <v>145</v>
      </c>
      <c r="E122" s="107" t="s">
        <v>146</v>
      </c>
      <c r="F122" s="107" t="s">
        <v>147</v>
      </c>
      <c r="G122" s="106"/>
      <c r="H122" s="107" t="s">
        <v>148</v>
      </c>
      <c r="I122" s="106"/>
      <c r="J122" s="107" t="s">
        <v>149</v>
      </c>
      <c r="K122" s="106"/>
      <c r="L122" s="114" t="s">
        <v>150</v>
      </c>
      <c r="M122" s="106"/>
      <c r="N122" s="114" t="s">
        <v>151</v>
      </c>
      <c r="O122" s="106"/>
      <c r="P122" s="114" t="s">
        <v>152</v>
      </c>
      <c r="Q122" s="106"/>
      <c r="R122" s="107" t="s">
        <v>153</v>
      </c>
      <c r="S122" s="106"/>
      <c r="T122" s="107" t="s">
        <v>154</v>
      </c>
      <c r="U122" s="106"/>
      <c r="V122" s="107" t="s">
        <v>155</v>
      </c>
      <c r="W122" s="106"/>
      <c r="X122" s="107" t="s">
        <v>156</v>
      </c>
      <c r="Y122" s="106"/>
      <c r="Z122" s="107" t="s">
        <v>157</v>
      </c>
      <c r="AA122" s="106"/>
      <c r="AB122" s="107" t="s">
        <v>158</v>
      </c>
      <c r="AC122" s="106"/>
      <c r="AD122" s="107" t="s">
        <v>159</v>
      </c>
      <c r="AE122" s="106"/>
      <c r="AF122" s="107" t="s">
        <v>160</v>
      </c>
      <c r="AG122" s="107" t="s">
        <v>161</v>
      </c>
      <c r="AH122" s="107" t="s">
        <v>162</v>
      </c>
      <c r="AI122" s="107" t="s">
        <v>163</v>
      </c>
    </row>
    <row r="123" spans="1:36" s="2" customFormat="1" ht="16.350000000000001" customHeight="1">
      <c r="A123" s="111"/>
      <c r="B123" s="111"/>
      <c r="C123" s="111"/>
      <c r="D123" s="111"/>
      <c r="E123" s="111"/>
      <c r="F123" s="47" t="s">
        <v>164</v>
      </c>
      <c r="G123" s="72" t="s">
        <v>165</v>
      </c>
      <c r="H123" s="47" t="s">
        <v>164</v>
      </c>
      <c r="I123" s="72" t="s">
        <v>165</v>
      </c>
      <c r="J123" s="47" t="s">
        <v>164</v>
      </c>
      <c r="K123" s="72" t="s">
        <v>165</v>
      </c>
      <c r="L123" s="47" t="s">
        <v>164</v>
      </c>
      <c r="M123" s="72" t="s">
        <v>165</v>
      </c>
      <c r="N123" s="47" t="s">
        <v>164</v>
      </c>
      <c r="O123" s="72" t="s">
        <v>165</v>
      </c>
      <c r="P123" s="47" t="s">
        <v>164</v>
      </c>
      <c r="Q123" s="72" t="s">
        <v>165</v>
      </c>
      <c r="R123" s="47" t="s">
        <v>164</v>
      </c>
      <c r="S123" s="72" t="s">
        <v>165</v>
      </c>
      <c r="T123" s="47" t="s">
        <v>164</v>
      </c>
      <c r="U123" s="72" t="s">
        <v>165</v>
      </c>
      <c r="V123" s="47" t="s">
        <v>164</v>
      </c>
      <c r="W123" s="72" t="s">
        <v>165</v>
      </c>
      <c r="X123" s="47" t="s">
        <v>164</v>
      </c>
      <c r="Y123" s="72" t="s">
        <v>165</v>
      </c>
      <c r="Z123" s="72" t="s">
        <v>165</v>
      </c>
      <c r="AA123" s="47" t="s">
        <v>164</v>
      </c>
      <c r="AB123" s="72" t="s">
        <v>165</v>
      </c>
      <c r="AC123" s="47" t="s">
        <v>164</v>
      </c>
      <c r="AD123" s="72" t="s">
        <v>165</v>
      </c>
      <c r="AE123" s="47" t="s">
        <v>164</v>
      </c>
      <c r="AF123" s="111"/>
      <c r="AG123" s="111"/>
      <c r="AH123" s="111"/>
      <c r="AI123" s="111"/>
    </row>
    <row r="124" spans="1:36">
      <c r="A124" s="49">
        <v>1</v>
      </c>
      <c r="B124" s="49" t="s">
        <v>166</v>
      </c>
      <c r="C124" s="49">
        <v>0.5</v>
      </c>
      <c r="D124" s="49">
        <v>-0.3</v>
      </c>
      <c r="E124" s="49">
        <v>0.35</v>
      </c>
      <c r="F124" s="48">
        <v>0.49969999999999998</v>
      </c>
      <c r="G124" s="48">
        <v>0.50019999999999998</v>
      </c>
      <c r="H124" s="48">
        <v>-0.30049999999999999</v>
      </c>
      <c r="I124" s="48">
        <v>-0.30049999999999999</v>
      </c>
      <c r="J124" s="48">
        <v>0.39979999999999999</v>
      </c>
      <c r="K124" s="48">
        <v>0.35070000000000001</v>
      </c>
      <c r="L124" s="48">
        <f t="shared" ref="L124:L133" si="55">ABS(F124-C124)*1000</f>
        <v>0.300000000000022</v>
      </c>
      <c r="M124" s="48">
        <f t="shared" ref="M124:M143" si="56">ABS(G124-C124)*1000</f>
        <v>0.199999999999978</v>
      </c>
      <c r="N124" s="48">
        <f t="shared" ref="N124:N143" si="57">ABS(H124-D124)*1000</f>
        <v>0.5</v>
      </c>
      <c r="O124" s="48">
        <f t="shared" ref="O124:O143" si="58">ABS(I124-D124)*1000</f>
        <v>0.5</v>
      </c>
      <c r="P124" s="48">
        <f t="shared" ref="P124:P143" si="59">ABS(J124-E124)*1000</f>
        <v>49.8</v>
      </c>
      <c r="Q124" s="48">
        <f t="shared" ref="Q124:Q143" si="60">ABS(K124-E124)*1000</f>
        <v>0.700000000000034</v>
      </c>
      <c r="R124" s="48">
        <f t="shared" ref="R124:R143" si="61">SQRT(SUMSQ(L124,N124,P124))</f>
        <v>49.8034135376281</v>
      </c>
      <c r="S124" s="48">
        <f t="shared" ref="S124:S143" si="62">SQRT(SUMSQ(M124,O124,Q124))</f>
        <v>0.883176086632807</v>
      </c>
      <c r="T124" s="109">
        <f t="shared" ref="T124:Y124" si="63">_xlfn.STDEV.S(F124:F143)</f>
        <v>0.128387118041287</v>
      </c>
      <c r="U124" s="109">
        <f t="shared" si="63"/>
        <v>0.128314723588034</v>
      </c>
      <c r="V124" s="109">
        <f t="shared" si="63"/>
        <v>0.205206962537055</v>
      </c>
      <c r="W124" s="109">
        <f t="shared" si="63"/>
        <v>0.205313955930911</v>
      </c>
      <c r="X124" s="109">
        <f t="shared" si="63"/>
        <v>0.0359187749615273</v>
      </c>
      <c r="Y124" s="109">
        <f t="shared" si="63"/>
        <v>0.0359797644151323</v>
      </c>
      <c r="Z124" s="48">
        <v>0.55569999999999997</v>
      </c>
      <c r="AA124" s="48">
        <v>0.55679999999999996</v>
      </c>
      <c r="AB124" s="48">
        <v>7.0549999999999997</v>
      </c>
      <c r="AC124" s="48">
        <v>8.4837000000000007</v>
      </c>
      <c r="AD124" s="48">
        <f t="shared" ref="AD124:AD143" si="64">AB124+Z124</f>
        <v>7.6107</v>
      </c>
      <c r="AE124" s="48">
        <f t="shared" ref="AE124:AE143" si="65">AC124+AA124</f>
        <v>9.0405</v>
      </c>
      <c r="AF124" s="49" t="s">
        <v>167</v>
      </c>
      <c r="AG124" s="49" t="s">
        <v>168</v>
      </c>
      <c r="AH124" s="49">
        <v>1</v>
      </c>
      <c r="AI124" s="49" t="s">
        <v>137</v>
      </c>
      <c r="AJ124" s="2"/>
    </row>
    <row r="125" spans="1:36">
      <c r="A125" s="49">
        <v>1</v>
      </c>
      <c r="B125" s="49" t="s">
        <v>169</v>
      </c>
      <c r="C125" s="49">
        <v>0.75</v>
      </c>
      <c r="D125" s="49">
        <v>0.1</v>
      </c>
      <c r="E125" s="49">
        <v>0.42</v>
      </c>
      <c r="F125" s="48">
        <v>0.74950000000000006</v>
      </c>
      <c r="G125" s="48">
        <v>0.75039999999999996</v>
      </c>
      <c r="H125" s="48">
        <v>0.1004</v>
      </c>
      <c r="I125" s="48">
        <v>9.9599999999999994E-2</v>
      </c>
      <c r="J125" s="48">
        <v>0.46970000000000001</v>
      </c>
      <c r="K125" s="48">
        <v>0.41980000000000001</v>
      </c>
      <c r="L125" s="48">
        <f t="shared" si="55"/>
        <v>0.499999999999945</v>
      </c>
      <c r="M125" s="48">
        <f t="shared" si="56"/>
        <v>0.399999999999956</v>
      </c>
      <c r="N125" s="48">
        <f t="shared" si="57"/>
        <v>0.399999999999998</v>
      </c>
      <c r="O125" s="48">
        <f t="shared" si="58"/>
        <v>0.400000000000011</v>
      </c>
      <c r="P125" s="48">
        <f t="shared" si="59"/>
        <v>49.7</v>
      </c>
      <c r="Q125" s="48">
        <f t="shared" si="60"/>
        <v>0.199999999999978</v>
      </c>
      <c r="R125" s="48">
        <f t="shared" si="61"/>
        <v>49.7041245773427</v>
      </c>
      <c r="S125" s="48">
        <f t="shared" si="62"/>
        <v>0.599999999999971</v>
      </c>
      <c r="T125" s="110"/>
      <c r="U125" s="110"/>
      <c r="V125" s="110"/>
      <c r="W125" s="110"/>
      <c r="X125" s="110"/>
      <c r="Y125" s="110"/>
      <c r="Z125" s="48">
        <v>0.54979999999999996</v>
      </c>
      <c r="AA125" s="48">
        <v>0.55430000000000001</v>
      </c>
      <c r="AB125" s="48">
        <v>7.0488999999999997</v>
      </c>
      <c r="AC125" s="48">
        <v>7.3848000000000003</v>
      </c>
      <c r="AD125" s="48">
        <f t="shared" si="64"/>
        <v>7.5987</v>
      </c>
      <c r="AE125" s="48">
        <f t="shared" si="65"/>
        <v>7.9391</v>
      </c>
      <c r="AF125" s="49" t="s">
        <v>167</v>
      </c>
      <c r="AG125" s="49" t="s">
        <v>168</v>
      </c>
      <c r="AH125" s="49">
        <v>1</v>
      </c>
      <c r="AI125" s="49" t="s">
        <v>137</v>
      </c>
      <c r="AJ125" s="2"/>
    </row>
    <row r="126" spans="1:36">
      <c r="A126" s="49">
        <v>2</v>
      </c>
      <c r="B126" s="49" t="s">
        <v>166</v>
      </c>
      <c r="C126" s="49">
        <v>0.5</v>
      </c>
      <c r="D126" s="49">
        <v>-0.3</v>
      </c>
      <c r="E126" s="49">
        <v>0.35</v>
      </c>
      <c r="F126" s="48">
        <v>0.49940000000000001</v>
      </c>
      <c r="G126" s="48">
        <v>0.49959999999999999</v>
      </c>
      <c r="H126" s="48">
        <v>-0.30059999999999998</v>
      </c>
      <c r="I126" s="48">
        <v>-0.30059999999999998</v>
      </c>
      <c r="J126" s="48">
        <v>0.39950000000000002</v>
      </c>
      <c r="K126" s="48">
        <v>0.34939999999999999</v>
      </c>
      <c r="L126" s="48">
        <f t="shared" si="55"/>
        <v>0.599999999999989</v>
      </c>
      <c r="M126" s="48">
        <f t="shared" si="56"/>
        <v>0.400000000000011</v>
      </c>
      <c r="N126" s="48">
        <f t="shared" si="57"/>
        <v>0.599999999999989</v>
      </c>
      <c r="O126" s="48">
        <f t="shared" si="58"/>
        <v>0.599999999999989</v>
      </c>
      <c r="P126" s="48">
        <f t="shared" si="59"/>
        <v>49.5</v>
      </c>
      <c r="Q126" s="48">
        <f t="shared" si="60"/>
        <v>0.599999999999989</v>
      </c>
      <c r="R126" s="48">
        <f t="shared" si="61"/>
        <v>49.507272193083</v>
      </c>
      <c r="S126" s="48">
        <f t="shared" si="62"/>
        <v>0.938083151964677</v>
      </c>
      <c r="T126" s="110"/>
      <c r="U126" s="110"/>
      <c r="V126" s="110"/>
      <c r="W126" s="110"/>
      <c r="X126" s="110"/>
      <c r="Y126" s="110"/>
      <c r="Z126" s="48">
        <v>0.5444</v>
      </c>
      <c r="AA126" s="48">
        <v>0.53290000000000004</v>
      </c>
      <c r="AB126" s="48">
        <v>7.6651999999999996</v>
      </c>
      <c r="AC126" s="48">
        <v>8.4855999999999998</v>
      </c>
      <c r="AD126" s="48">
        <f t="shared" si="64"/>
        <v>8.2096</v>
      </c>
      <c r="AE126" s="48">
        <f t="shared" si="65"/>
        <v>9.0185</v>
      </c>
      <c r="AF126" s="49" t="s">
        <v>167</v>
      </c>
      <c r="AG126" s="49" t="s">
        <v>168</v>
      </c>
      <c r="AH126" s="49">
        <v>1</v>
      </c>
      <c r="AI126" s="49" t="s">
        <v>137</v>
      </c>
      <c r="AJ126" s="2"/>
    </row>
    <row r="127" spans="1:36">
      <c r="A127" s="49">
        <v>2</v>
      </c>
      <c r="B127" s="49" t="s">
        <v>169</v>
      </c>
      <c r="C127" s="49">
        <v>0.75</v>
      </c>
      <c r="D127" s="49">
        <v>0.1</v>
      </c>
      <c r="E127" s="49">
        <v>0.42</v>
      </c>
      <c r="F127" s="48">
        <v>0.74950000000000006</v>
      </c>
      <c r="G127" s="48">
        <v>0.75080000000000002</v>
      </c>
      <c r="H127" s="48">
        <v>0.1004</v>
      </c>
      <c r="I127" s="48">
        <v>9.9900000000000003E-2</v>
      </c>
      <c r="J127" s="48">
        <v>0.47020000000000001</v>
      </c>
      <c r="K127" s="48">
        <v>0.41970000000000002</v>
      </c>
      <c r="L127" s="48">
        <f t="shared" si="55"/>
        <v>0.499999999999945</v>
      </c>
      <c r="M127" s="48">
        <f t="shared" si="56"/>
        <v>0.800000000000023</v>
      </c>
      <c r="N127" s="48">
        <f t="shared" si="57"/>
        <v>0.399999999999998</v>
      </c>
      <c r="O127" s="48">
        <f t="shared" si="58"/>
        <v>0.100000000000003</v>
      </c>
      <c r="P127" s="48">
        <f t="shared" si="59"/>
        <v>50.2</v>
      </c>
      <c r="Q127" s="48">
        <f t="shared" si="60"/>
        <v>0.299999999999967</v>
      </c>
      <c r="R127" s="48">
        <f t="shared" si="61"/>
        <v>50.2040834992533</v>
      </c>
      <c r="S127" s="48">
        <f t="shared" si="62"/>
        <v>0.860232526704273</v>
      </c>
      <c r="T127" s="110"/>
      <c r="U127" s="110"/>
      <c r="V127" s="110"/>
      <c r="W127" s="110"/>
      <c r="X127" s="110"/>
      <c r="Y127" s="110"/>
      <c r="Z127" s="48">
        <v>0.54369999999999996</v>
      </c>
      <c r="AA127" s="48">
        <v>0.54179999999999995</v>
      </c>
      <c r="AB127" s="48">
        <v>7.6608000000000001</v>
      </c>
      <c r="AC127" s="48">
        <v>7.3742999999999999</v>
      </c>
      <c r="AD127" s="48">
        <f t="shared" si="64"/>
        <v>8.2045</v>
      </c>
      <c r="AE127" s="48">
        <f t="shared" si="65"/>
        <v>7.9161</v>
      </c>
      <c r="AF127" s="49" t="s">
        <v>167</v>
      </c>
      <c r="AG127" s="49" t="s">
        <v>168</v>
      </c>
      <c r="AH127" s="49">
        <v>1</v>
      </c>
      <c r="AI127" s="49" t="s">
        <v>137</v>
      </c>
      <c r="AJ127" s="2"/>
    </row>
    <row r="128" spans="1:36">
      <c r="A128" s="49">
        <v>3</v>
      </c>
      <c r="B128" s="49" t="s">
        <v>166</v>
      </c>
      <c r="C128" s="49">
        <v>0.5</v>
      </c>
      <c r="D128" s="49">
        <v>-0.3</v>
      </c>
      <c r="E128" s="49">
        <v>0.35</v>
      </c>
      <c r="F128" s="48">
        <v>0.50039999999999996</v>
      </c>
      <c r="G128" s="48">
        <v>0.4995</v>
      </c>
      <c r="H128" s="48">
        <v>-0.30059999999999998</v>
      </c>
      <c r="I128" s="48">
        <v>-0.29980000000000001</v>
      </c>
      <c r="J128" s="48">
        <v>0.3992</v>
      </c>
      <c r="K128" s="48">
        <v>0.35060000000000002</v>
      </c>
      <c r="L128" s="48">
        <f t="shared" si="55"/>
        <v>0.399999999999956</v>
      </c>
      <c r="M128" s="48">
        <f t="shared" si="56"/>
        <v>0.5</v>
      </c>
      <c r="N128" s="48">
        <f t="shared" si="57"/>
        <v>0.599999999999989</v>
      </c>
      <c r="O128" s="48">
        <f t="shared" si="58"/>
        <v>0.199999999999978</v>
      </c>
      <c r="P128" s="48">
        <f t="shared" si="59"/>
        <v>49.2</v>
      </c>
      <c r="Q128" s="48">
        <f t="shared" si="60"/>
        <v>0.600000000000045</v>
      </c>
      <c r="R128" s="48">
        <f t="shared" si="61"/>
        <v>49.2052842690702</v>
      </c>
      <c r="S128" s="48">
        <f t="shared" si="62"/>
        <v>0.806225774829883</v>
      </c>
      <c r="T128" s="110"/>
      <c r="U128" s="110"/>
      <c r="V128" s="110"/>
      <c r="W128" s="110"/>
      <c r="X128" s="110"/>
      <c r="Y128" s="110"/>
      <c r="Z128" s="48">
        <v>0.54730000000000001</v>
      </c>
      <c r="AA128" s="48">
        <v>0.55189999999999995</v>
      </c>
      <c r="AB128" s="48">
        <v>7.0449999999999999</v>
      </c>
      <c r="AC128" s="48">
        <v>9.3641000000000005</v>
      </c>
      <c r="AD128" s="48">
        <f t="shared" si="64"/>
        <v>7.5923</v>
      </c>
      <c r="AE128" s="48">
        <f t="shared" si="65"/>
        <v>9.916</v>
      </c>
      <c r="AF128" s="49" t="s">
        <v>167</v>
      </c>
      <c r="AG128" s="49" t="s">
        <v>168</v>
      </c>
      <c r="AH128" s="49">
        <v>1</v>
      </c>
      <c r="AI128" s="49" t="s">
        <v>137</v>
      </c>
      <c r="AJ128" s="2"/>
    </row>
    <row r="129" spans="1:36">
      <c r="A129" s="49">
        <v>3</v>
      </c>
      <c r="B129" s="49" t="s">
        <v>169</v>
      </c>
      <c r="C129" s="49">
        <v>0.75</v>
      </c>
      <c r="D129" s="49">
        <v>0.1</v>
      </c>
      <c r="E129" s="49">
        <v>0.42</v>
      </c>
      <c r="F129" s="48">
        <v>0.74939999999999996</v>
      </c>
      <c r="G129" s="48">
        <v>0.75</v>
      </c>
      <c r="H129" s="48">
        <v>0.1003</v>
      </c>
      <c r="I129" s="48">
        <v>0.10059999999999999</v>
      </c>
      <c r="J129" s="48">
        <v>0.46939999999999998</v>
      </c>
      <c r="K129" s="48">
        <v>0.42059999999999997</v>
      </c>
      <c r="L129" s="48">
        <f t="shared" si="55"/>
        <v>0.600000000000045</v>
      </c>
      <c r="M129" s="48">
        <f t="shared" si="56"/>
        <v>0</v>
      </c>
      <c r="N129" s="48">
        <f t="shared" si="57"/>
        <v>0.299999999999995</v>
      </c>
      <c r="O129" s="48">
        <f t="shared" si="58"/>
        <v>0.599999999999989</v>
      </c>
      <c r="P129" s="48">
        <f t="shared" si="59"/>
        <v>49.4</v>
      </c>
      <c r="Q129" s="48">
        <f t="shared" si="60"/>
        <v>0.599999999999989</v>
      </c>
      <c r="R129" s="48">
        <f t="shared" si="61"/>
        <v>49.4045544459213</v>
      </c>
      <c r="S129" s="48">
        <f t="shared" si="62"/>
        <v>0.848528137423842</v>
      </c>
      <c r="T129" s="110"/>
      <c r="U129" s="110"/>
      <c r="V129" s="110"/>
      <c r="W129" s="110"/>
      <c r="X129" s="110"/>
      <c r="Y129" s="110"/>
      <c r="Z129" s="48">
        <v>0.55059999999999998</v>
      </c>
      <c r="AA129" s="48">
        <v>0.5484</v>
      </c>
      <c r="AB129" s="48">
        <v>7.6558000000000002</v>
      </c>
      <c r="AC129" s="48">
        <v>9.0731000000000002</v>
      </c>
      <c r="AD129" s="48">
        <f t="shared" si="64"/>
        <v>8.2064</v>
      </c>
      <c r="AE129" s="48">
        <f t="shared" si="65"/>
        <v>9.6215</v>
      </c>
      <c r="AF129" s="49" t="s">
        <v>167</v>
      </c>
      <c r="AG129" s="49" t="s">
        <v>168</v>
      </c>
      <c r="AH129" s="49">
        <v>1</v>
      </c>
      <c r="AI129" s="49" t="s">
        <v>137</v>
      </c>
      <c r="AJ129" s="2"/>
    </row>
    <row r="130" spans="1:36">
      <c r="A130" s="49">
        <v>4</v>
      </c>
      <c r="B130" s="49" t="s">
        <v>166</v>
      </c>
      <c r="C130" s="49">
        <v>0.5</v>
      </c>
      <c r="D130" s="49">
        <v>-0.3</v>
      </c>
      <c r="E130" s="49">
        <v>0.35</v>
      </c>
      <c r="F130" s="48">
        <v>0.49880000000000002</v>
      </c>
      <c r="G130" s="48">
        <v>0.50090000000000001</v>
      </c>
      <c r="H130" s="48">
        <v>-0.30070000000000002</v>
      </c>
      <c r="I130" s="48">
        <v>-0.30030000000000001</v>
      </c>
      <c r="J130" s="48">
        <v>0.39960000000000001</v>
      </c>
      <c r="K130" s="48">
        <v>0.34970000000000001</v>
      </c>
      <c r="L130" s="48">
        <f t="shared" si="55"/>
        <v>1.19999999999998</v>
      </c>
      <c r="M130" s="48">
        <f t="shared" si="56"/>
        <v>0.900000000000012</v>
      </c>
      <c r="N130" s="48">
        <f t="shared" si="57"/>
        <v>0.700000000000034</v>
      </c>
      <c r="O130" s="48">
        <f t="shared" si="58"/>
        <v>0.300000000000022</v>
      </c>
      <c r="P130" s="48">
        <f t="shared" si="59"/>
        <v>49.6</v>
      </c>
      <c r="Q130" s="48">
        <f t="shared" si="60"/>
        <v>0.299999999999967</v>
      </c>
      <c r="R130" s="48">
        <f t="shared" si="61"/>
        <v>49.6194518309101</v>
      </c>
      <c r="S130" s="48">
        <f t="shared" si="62"/>
        <v>0.994987437106628</v>
      </c>
      <c r="T130" s="110"/>
      <c r="U130" s="110"/>
      <c r="V130" s="110"/>
      <c r="W130" s="110"/>
      <c r="X130" s="110"/>
      <c r="Y130" s="110"/>
      <c r="Z130" s="48">
        <v>0.54800000000000004</v>
      </c>
      <c r="AA130" s="48">
        <v>0.53990000000000005</v>
      </c>
      <c r="AB130" s="48">
        <v>7.0430000000000001</v>
      </c>
      <c r="AC130" s="48">
        <v>8.5879999999999992</v>
      </c>
      <c r="AD130" s="48">
        <f t="shared" si="64"/>
        <v>7.591</v>
      </c>
      <c r="AE130" s="48">
        <f t="shared" si="65"/>
        <v>9.1279</v>
      </c>
      <c r="AF130" s="49" t="s">
        <v>167</v>
      </c>
      <c r="AG130" s="49" t="s">
        <v>168</v>
      </c>
      <c r="AH130" s="49">
        <v>1</v>
      </c>
      <c r="AI130" s="49" t="s">
        <v>137</v>
      </c>
      <c r="AJ130" s="2"/>
    </row>
    <row r="131" spans="1:36">
      <c r="A131" s="49">
        <v>4</v>
      </c>
      <c r="B131" s="49" t="s">
        <v>169</v>
      </c>
      <c r="C131" s="49">
        <v>0.75</v>
      </c>
      <c r="D131" s="49">
        <v>0.1</v>
      </c>
      <c r="E131" s="49">
        <v>0.42</v>
      </c>
      <c r="F131" s="48">
        <v>0.75019999999999998</v>
      </c>
      <c r="G131" s="48">
        <v>0.74990000000000001</v>
      </c>
      <c r="H131" s="48">
        <v>9.9500000000000005E-2</v>
      </c>
      <c r="I131" s="48">
        <v>0.1</v>
      </c>
      <c r="J131" s="48">
        <v>0.46839999999999998</v>
      </c>
      <c r="K131" s="48">
        <v>0.4209</v>
      </c>
      <c r="L131" s="48">
        <f t="shared" si="55"/>
        <v>0.199999999999978</v>
      </c>
      <c r="M131" s="48">
        <f t="shared" si="56"/>
        <v>0.099999999999989</v>
      </c>
      <c r="N131" s="48">
        <f t="shared" si="57"/>
        <v>0.5</v>
      </c>
      <c r="O131" s="48">
        <f t="shared" si="58"/>
        <v>0</v>
      </c>
      <c r="P131" s="48">
        <f t="shared" si="59"/>
        <v>48.4</v>
      </c>
      <c r="Q131" s="48">
        <f t="shared" si="60"/>
        <v>0.900000000000012</v>
      </c>
      <c r="R131" s="48">
        <f t="shared" si="61"/>
        <v>48.4029957750551</v>
      </c>
      <c r="S131" s="48">
        <f t="shared" si="62"/>
        <v>0.905538513813752</v>
      </c>
      <c r="T131" s="110"/>
      <c r="U131" s="110"/>
      <c r="V131" s="110"/>
      <c r="W131" s="110"/>
      <c r="X131" s="110"/>
      <c r="Y131" s="110"/>
      <c r="Z131" s="48">
        <v>0.55510000000000004</v>
      </c>
      <c r="AA131" s="48">
        <v>0.54010000000000002</v>
      </c>
      <c r="AB131" s="48">
        <v>7.0419999999999998</v>
      </c>
      <c r="AC131" s="48">
        <v>7.3795999999999999</v>
      </c>
      <c r="AD131" s="48">
        <f t="shared" si="64"/>
        <v>7.5971</v>
      </c>
      <c r="AE131" s="48">
        <f t="shared" si="65"/>
        <v>7.9197</v>
      </c>
      <c r="AF131" s="49" t="s">
        <v>167</v>
      </c>
      <c r="AG131" s="49" t="s">
        <v>168</v>
      </c>
      <c r="AH131" s="49">
        <v>1</v>
      </c>
      <c r="AI131" s="49" t="s">
        <v>137</v>
      </c>
      <c r="AJ131" s="2"/>
    </row>
    <row r="132" spans="1:36">
      <c r="A132" s="49">
        <v>5</v>
      </c>
      <c r="B132" s="49" t="s">
        <v>166</v>
      </c>
      <c r="C132" s="49">
        <v>0.5</v>
      </c>
      <c r="D132" s="49">
        <v>-0.3</v>
      </c>
      <c r="E132" s="49">
        <v>0.35</v>
      </c>
      <c r="F132" s="48">
        <v>0.5</v>
      </c>
      <c r="G132" s="48">
        <v>0.50080000000000002</v>
      </c>
      <c r="H132" s="48">
        <v>-0.29899999999999999</v>
      </c>
      <c r="I132" s="48">
        <v>-0.30030000000000001</v>
      </c>
      <c r="J132" s="48">
        <v>0.39979999999999999</v>
      </c>
      <c r="K132" s="48">
        <v>0.34989999999999999</v>
      </c>
      <c r="L132" s="48">
        <f t="shared" si="55"/>
        <v>0</v>
      </c>
      <c r="M132" s="48">
        <f t="shared" si="56"/>
        <v>0.800000000000023</v>
      </c>
      <c r="N132" s="48">
        <f t="shared" si="57"/>
        <v>1</v>
      </c>
      <c r="O132" s="48">
        <f t="shared" si="58"/>
        <v>0.300000000000022</v>
      </c>
      <c r="P132" s="48">
        <f t="shared" si="59"/>
        <v>49.8</v>
      </c>
      <c r="Q132" s="48">
        <f t="shared" si="60"/>
        <v>0.099999999999989</v>
      </c>
      <c r="R132" s="48">
        <f t="shared" si="61"/>
        <v>49.8100391487499</v>
      </c>
      <c r="S132" s="48">
        <f t="shared" si="62"/>
        <v>0.860232526704291</v>
      </c>
      <c r="T132" s="110"/>
      <c r="U132" s="110"/>
      <c r="V132" s="110"/>
      <c r="W132" s="110"/>
      <c r="X132" s="110"/>
      <c r="Y132" s="110"/>
      <c r="Z132" s="48">
        <v>0.64859999999999995</v>
      </c>
      <c r="AA132" s="48">
        <v>0.55700000000000005</v>
      </c>
      <c r="AB132" s="48">
        <v>7.0312999999999999</v>
      </c>
      <c r="AC132" s="48">
        <v>8.4785000000000004</v>
      </c>
      <c r="AD132" s="48">
        <f t="shared" si="64"/>
        <v>7.6799</v>
      </c>
      <c r="AE132" s="48">
        <f t="shared" si="65"/>
        <v>9.0355</v>
      </c>
      <c r="AF132" s="49" t="s">
        <v>167</v>
      </c>
      <c r="AG132" s="49" t="s">
        <v>168</v>
      </c>
      <c r="AH132" s="49">
        <v>1</v>
      </c>
      <c r="AI132" s="49" t="s">
        <v>137</v>
      </c>
      <c r="AJ132" s="2"/>
    </row>
    <row r="133" spans="1:36">
      <c r="A133" s="49">
        <v>5</v>
      </c>
      <c r="B133" s="49" t="s">
        <v>169</v>
      </c>
      <c r="C133" s="49">
        <v>0.75</v>
      </c>
      <c r="D133" s="49">
        <v>0.1</v>
      </c>
      <c r="E133" s="49">
        <v>0.42</v>
      </c>
      <c r="F133" s="48">
        <v>0.75060000000000004</v>
      </c>
      <c r="G133" s="48">
        <v>0.74970000000000003</v>
      </c>
      <c r="H133" s="48">
        <v>0.1007</v>
      </c>
      <c r="I133" s="48">
        <v>0.1007</v>
      </c>
      <c r="J133" s="48">
        <v>0.4698</v>
      </c>
      <c r="K133" s="48">
        <v>0.42</v>
      </c>
      <c r="L133" s="48">
        <f t="shared" si="55"/>
        <v>0.600000000000045</v>
      </c>
      <c r="M133" s="48">
        <f t="shared" si="56"/>
        <v>0.299999999999967</v>
      </c>
      <c r="N133" s="48">
        <f t="shared" si="57"/>
        <v>0.699999999999992</v>
      </c>
      <c r="O133" s="48">
        <f t="shared" si="58"/>
        <v>0.699999999999992</v>
      </c>
      <c r="P133" s="48">
        <f t="shared" si="59"/>
        <v>49.8</v>
      </c>
      <c r="Q133" s="48">
        <f t="shared" si="60"/>
        <v>0</v>
      </c>
      <c r="R133" s="48">
        <f t="shared" si="61"/>
        <v>49.8085334054317</v>
      </c>
      <c r="S133" s="48">
        <f t="shared" si="62"/>
        <v>0.761577310586371</v>
      </c>
      <c r="T133" s="110"/>
      <c r="U133" s="110"/>
      <c r="V133" s="110"/>
      <c r="W133" s="110"/>
      <c r="X133" s="110"/>
      <c r="Y133" s="110"/>
      <c r="Z133" s="48">
        <v>0.56299999999999994</v>
      </c>
      <c r="AA133" s="48">
        <v>0.55220000000000002</v>
      </c>
      <c r="AB133" s="48">
        <v>7.04</v>
      </c>
      <c r="AC133" s="48">
        <v>7.3281999999999998</v>
      </c>
      <c r="AD133" s="48">
        <f t="shared" si="64"/>
        <v>7.603</v>
      </c>
      <c r="AE133" s="48">
        <f t="shared" si="65"/>
        <v>7.8804</v>
      </c>
      <c r="AF133" s="49" t="s">
        <v>167</v>
      </c>
      <c r="AG133" s="49" t="s">
        <v>168</v>
      </c>
      <c r="AH133" s="49">
        <v>1</v>
      </c>
      <c r="AI133" s="49" t="s">
        <v>137</v>
      </c>
      <c r="AJ133" s="2"/>
    </row>
    <row r="134" spans="1:36">
      <c r="A134" s="49">
        <v>6</v>
      </c>
      <c r="B134" s="49" t="s">
        <v>166</v>
      </c>
      <c r="C134" s="49">
        <v>0.5</v>
      </c>
      <c r="D134" s="49">
        <v>-0.3</v>
      </c>
      <c r="E134" s="49">
        <v>0.35</v>
      </c>
      <c r="F134" s="48">
        <v>0.50009999999999999</v>
      </c>
      <c r="G134" s="48">
        <v>0.4995</v>
      </c>
      <c r="H134" s="48">
        <v>-0.29959999999999998</v>
      </c>
      <c r="I134" s="48">
        <v>-0.3</v>
      </c>
      <c r="J134" s="48">
        <v>0.40010000000000001</v>
      </c>
      <c r="K134" s="48">
        <v>0.34920000000000001</v>
      </c>
      <c r="L134" s="48">
        <f>ABS(F134-G134)*1000</f>
        <v>0.599999999999989</v>
      </c>
      <c r="M134" s="48">
        <f t="shared" si="56"/>
        <v>0.5</v>
      </c>
      <c r="N134" s="48">
        <f t="shared" si="57"/>
        <v>0.400000000000011</v>
      </c>
      <c r="O134" s="48">
        <f t="shared" si="58"/>
        <v>0</v>
      </c>
      <c r="P134" s="48">
        <f t="shared" si="59"/>
        <v>50.1</v>
      </c>
      <c r="Q134" s="48">
        <f t="shared" si="60"/>
        <v>0.799999999999967</v>
      </c>
      <c r="R134" s="48">
        <f t="shared" si="61"/>
        <v>50.1051893520023</v>
      </c>
      <c r="S134" s="48">
        <f t="shared" si="62"/>
        <v>0.943398113205633</v>
      </c>
      <c r="T134" s="110"/>
      <c r="U134" s="110"/>
      <c r="V134" s="110"/>
      <c r="W134" s="110"/>
      <c r="X134" s="110"/>
      <c r="Y134" s="110"/>
      <c r="Z134" s="48">
        <v>0.54800000000000004</v>
      </c>
      <c r="AA134" s="48">
        <v>0.53639999999999999</v>
      </c>
      <c r="AB134" s="48">
        <v>7.0327000000000002</v>
      </c>
      <c r="AC134" s="48">
        <v>8.4898000000000007</v>
      </c>
      <c r="AD134" s="48">
        <f t="shared" si="64"/>
        <v>7.5807</v>
      </c>
      <c r="AE134" s="48">
        <f t="shared" si="65"/>
        <v>9.0262</v>
      </c>
      <c r="AF134" s="49" t="s">
        <v>167</v>
      </c>
      <c r="AG134" s="49" t="s">
        <v>168</v>
      </c>
      <c r="AH134" s="49">
        <v>1</v>
      </c>
      <c r="AI134" s="49" t="s">
        <v>137</v>
      </c>
      <c r="AJ134" s="2"/>
    </row>
    <row r="135" spans="1:36">
      <c r="A135" s="49">
        <v>6</v>
      </c>
      <c r="B135" s="49" t="s">
        <v>169</v>
      </c>
      <c r="C135" s="49">
        <v>0.75</v>
      </c>
      <c r="D135" s="49">
        <v>0.1</v>
      </c>
      <c r="E135" s="49">
        <v>0.42</v>
      </c>
      <c r="F135" s="30">
        <v>0.75019999999999998</v>
      </c>
      <c r="G135" s="48">
        <v>0.75009999999999999</v>
      </c>
      <c r="H135" s="48">
        <v>9.9599999999999994E-2</v>
      </c>
      <c r="I135" s="48">
        <v>0.1</v>
      </c>
      <c r="J135" s="48">
        <v>0.46920000000000001</v>
      </c>
      <c r="K135" s="48">
        <v>0.41970000000000002</v>
      </c>
      <c r="L135" s="48">
        <f t="shared" ref="L135:L143" si="66">ABS(F135-C135)*1000</f>
        <v>0.199999999999978</v>
      </c>
      <c r="M135" s="48">
        <f t="shared" si="56"/>
        <v>0.099999999999989</v>
      </c>
      <c r="N135" s="48">
        <f t="shared" si="57"/>
        <v>0.400000000000011</v>
      </c>
      <c r="O135" s="48">
        <f t="shared" si="58"/>
        <v>0</v>
      </c>
      <c r="P135" s="48">
        <f t="shared" si="59"/>
        <v>49.2</v>
      </c>
      <c r="Q135" s="48">
        <f t="shared" si="60"/>
        <v>0.299999999999967</v>
      </c>
      <c r="R135" s="48">
        <f t="shared" si="61"/>
        <v>49.2020324783438</v>
      </c>
      <c r="S135" s="48">
        <f t="shared" si="62"/>
        <v>0.316227766016803</v>
      </c>
      <c r="T135" s="110"/>
      <c r="U135" s="110"/>
      <c r="V135" s="110"/>
      <c r="W135" s="110"/>
      <c r="X135" s="110"/>
      <c r="Y135" s="110"/>
      <c r="Z135" s="48">
        <v>0.53779999999999994</v>
      </c>
      <c r="AA135" s="48">
        <v>0.53569999999999995</v>
      </c>
      <c r="AB135" s="48">
        <v>7.0609999999999999</v>
      </c>
      <c r="AC135" s="48">
        <v>7.39</v>
      </c>
      <c r="AD135" s="48">
        <f t="shared" si="64"/>
        <v>7.5988</v>
      </c>
      <c r="AE135" s="48">
        <f t="shared" si="65"/>
        <v>7.9257</v>
      </c>
      <c r="AF135" s="49" t="s">
        <v>167</v>
      </c>
      <c r="AG135" s="49" t="s">
        <v>168</v>
      </c>
      <c r="AH135" s="49">
        <v>1</v>
      </c>
      <c r="AI135" s="49" t="s">
        <v>137</v>
      </c>
      <c r="AJ135" s="2"/>
    </row>
    <row r="136" spans="1:36">
      <c r="A136" s="49">
        <v>7</v>
      </c>
      <c r="B136" s="49" t="s">
        <v>166</v>
      </c>
      <c r="C136" s="49">
        <v>0.5</v>
      </c>
      <c r="D136" s="49">
        <v>-0.3</v>
      </c>
      <c r="E136" s="49">
        <v>0.35</v>
      </c>
      <c r="F136" s="48">
        <v>0.49990000000000001</v>
      </c>
      <c r="G136" s="48">
        <v>0.50029999999999997</v>
      </c>
      <c r="H136" s="48">
        <v>-0.30009999999999998</v>
      </c>
      <c r="I136" s="48">
        <v>-0.30049999999999999</v>
      </c>
      <c r="J136" s="48">
        <v>0.3987</v>
      </c>
      <c r="K136" s="48">
        <v>0.35010000000000002</v>
      </c>
      <c r="L136" s="48">
        <f t="shared" si="66"/>
        <v>0.099999999999989</v>
      </c>
      <c r="M136" s="48">
        <f t="shared" si="56"/>
        <v>0.299999999999967</v>
      </c>
      <c r="N136" s="48">
        <f t="shared" si="57"/>
        <v>0.099999999999989</v>
      </c>
      <c r="O136" s="48">
        <f t="shared" si="58"/>
        <v>0.5</v>
      </c>
      <c r="P136" s="48">
        <f t="shared" si="59"/>
        <v>48.7</v>
      </c>
      <c r="Q136" s="48">
        <f t="shared" si="60"/>
        <v>0.100000000000045</v>
      </c>
      <c r="R136" s="48">
        <f t="shared" si="61"/>
        <v>48.7002053383762</v>
      </c>
      <c r="S136" s="48">
        <f t="shared" si="62"/>
        <v>0.591607978309953</v>
      </c>
      <c r="T136" s="110"/>
      <c r="U136" s="110"/>
      <c r="V136" s="110"/>
      <c r="W136" s="110"/>
      <c r="X136" s="110"/>
      <c r="Y136" s="110"/>
      <c r="Z136" s="48">
        <v>0.56220000000000003</v>
      </c>
      <c r="AA136" s="48">
        <v>0.55369999999999997</v>
      </c>
      <c r="AB136" s="48">
        <v>7.0418000000000003</v>
      </c>
      <c r="AC136" s="48">
        <v>8.5696999999999992</v>
      </c>
      <c r="AD136" s="48">
        <f t="shared" si="64"/>
        <v>7.604</v>
      </c>
      <c r="AE136" s="48">
        <f t="shared" si="65"/>
        <v>9.1234</v>
      </c>
      <c r="AF136" s="49" t="s">
        <v>167</v>
      </c>
      <c r="AG136" s="49" t="s">
        <v>168</v>
      </c>
      <c r="AH136" s="49">
        <v>1</v>
      </c>
      <c r="AI136" s="49" t="s">
        <v>137</v>
      </c>
      <c r="AJ136" s="2"/>
    </row>
    <row r="137" spans="1:36">
      <c r="A137" s="49">
        <v>7</v>
      </c>
      <c r="B137" s="49" t="s">
        <v>169</v>
      </c>
      <c r="C137" s="49">
        <v>0.75</v>
      </c>
      <c r="D137" s="49">
        <v>0.1</v>
      </c>
      <c r="E137" s="49">
        <v>0.42</v>
      </c>
      <c r="F137" s="48">
        <v>0.75070000000000003</v>
      </c>
      <c r="G137" s="48">
        <v>0.74980000000000002</v>
      </c>
      <c r="H137" s="48">
        <v>9.9299999999999999E-2</v>
      </c>
      <c r="I137" s="48">
        <v>9.9500000000000005E-2</v>
      </c>
      <c r="J137" s="48">
        <v>0.46889999999999998</v>
      </c>
      <c r="K137" s="48">
        <v>0.41920000000000002</v>
      </c>
      <c r="L137" s="48">
        <f t="shared" si="66"/>
        <v>0.700000000000034</v>
      </c>
      <c r="M137" s="48">
        <f t="shared" si="56"/>
        <v>0.199999999999978</v>
      </c>
      <c r="N137" s="48">
        <f t="shared" si="57"/>
        <v>0.700000000000006</v>
      </c>
      <c r="O137" s="48">
        <f t="shared" si="58"/>
        <v>0.5</v>
      </c>
      <c r="P137" s="48">
        <f t="shared" si="59"/>
        <v>48.9</v>
      </c>
      <c r="Q137" s="48">
        <f t="shared" si="60"/>
        <v>0.799999999999967</v>
      </c>
      <c r="R137" s="48">
        <f t="shared" si="61"/>
        <v>48.9100194234269</v>
      </c>
      <c r="S137" s="48">
        <f t="shared" si="62"/>
        <v>0.964365076099264</v>
      </c>
      <c r="T137" s="110"/>
      <c r="U137" s="110"/>
      <c r="V137" s="110"/>
      <c r="W137" s="110"/>
      <c r="X137" s="110"/>
      <c r="Y137" s="110"/>
      <c r="Z137" s="48">
        <v>0.54359999999999997</v>
      </c>
      <c r="AA137" s="48">
        <v>0.52769999999999995</v>
      </c>
      <c r="AB137" s="48">
        <v>7.0335999999999999</v>
      </c>
      <c r="AC137" s="48">
        <v>7.3765999999999998</v>
      </c>
      <c r="AD137" s="48">
        <f t="shared" si="64"/>
        <v>7.5772</v>
      </c>
      <c r="AE137" s="48">
        <f t="shared" si="65"/>
        <v>7.9043</v>
      </c>
      <c r="AF137" s="49" t="s">
        <v>167</v>
      </c>
      <c r="AG137" s="49" t="s">
        <v>168</v>
      </c>
      <c r="AH137" s="49">
        <v>1</v>
      </c>
      <c r="AI137" s="49" t="s">
        <v>137</v>
      </c>
      <c r="AJ137" s="2"/>
    </row>
    <row r="138" spans="1:36">
      <c r="A138" s="49">
        <v>8</v>
      </c>
      <c r="B138" s="49" t="s">
        <v>166</v>
      </c>
      <c r="C138" s="49">
        <v>0.5</v>
      </c>
      <c r="D138" s="49">
        <v>-0.3</v>
      </c>
      <c r="E138" s="49">
        <v>0.35</v>
      </c>
      <c r="F138" s="48">
        <v>0.50090000000000001</v>
      </c>
      <c r="G138" s="48">
        <v>0.5</v>
      </c>
      <c r="H138" s="48">
        <v>-0.30030000000000001</v>
      </c>
      <c r="I138" s="48">
        <v>-0.30049999999999999</v>
      </c>
      <c r="J138" s="48">
        <v>0.3997</v>
      </c>
      <c r="K138" s="48">
        <v>0.34920000000000001</v>
      </c>
      <c r="L138" s="48">
        <f t="shared" si="66"/>
        <v>0.900000000000012</v>
      </c>
      <c r="M138" s="48">
        <f t="shared" si="56"/>
        <v>0</v>
      </c>
      <c r="N138" s="48">
        <f t="shared" si="57"/>
        <v>0.300000000000022</v>
      </c>
      <c r="O138" s="48">
        <f t="shared" si="58"/>
        <v>0.5</v>
      </c>
      <c r="P138" s="48">
        <f t="shared" si="59"/>
        <v>49.7</v>
      </c>
      <c r="Q138" s="48">
        <f t="shared" si="60"/>
        <v>0.799999999999967</v>
      </c>
      <c r="R138" s="48">
        <f t="shared" si="61"/>
        <v>49.7090535013493</v>
      </c>
      <c r="S138" s="48">
        <f t="shared" si="62"/>
        <v>0.943398113205633</v>
      </c>
      <c r="T138" s="110"/>
      <c r="U138" s="110"/>
      <c r="V138" s="110"/>
      <c r="W138" s="110"/>
      <c r="X138" s="110"/>
      <c r="Y138" s="110"/>
      <c r="Z138" s="48">
        <v>0.55640000000000001</v>
      </c>
      <c r="AA138" s="48">
        <v>0.5343</v>
      </c>
      <c r="AB138" s="48">
        <v>7.0486000000000004</v>
      </c>
      <c r="AC138" s="48">
        <v>9.6887000000000008</v>
      </c>
      <c r="AD138" s="48">
        <f t="shared" si="64"/>
        <v>7.605</v>
      </c>
      <c r="AE138" s="48">
        <f t="shared" si="65"/>
        <v>10.223</v>
      </c>
      <c r="AF138" s="49" t="s">
        <v>167</v>
      </c>
      <c r="AG138" s="49" t="s">
        <v>168</v>
      </c>
      <c r="AH138" s="49">
        <v>1</v>
      </c>
      <c r="AI138" s="49" t="s">
        <v>137</v>
      </c>
      <c r="AJ138" s="2"/>
    </row>
    <row r="139" spans="1:36">
      <c r="A139" s="49">
        <v>8</v>
      </c>
      <c r="B139" s="49" t="s">
        <v>169</v>
      </c>
      <c r="C139" s="49">
        <v>0.75</v>
      </c>
      <c r="D139" s="49">
        <v>0.1</v>
      </c>
      <c r="E139" s="49">
        <v>0.42</v>
      </c>
      <c r="F139" s="48">
        <v>0.75070000000000003</v>
      </c>
      <c r="G139" s="48">
        <v>0.75009999999999999</v>
      </c>
      <c r="H139" s="48">
        <v>9.8199999999999996E-2</v>
      </c>
      <c r="I139" s="48">
        <v>9.98E-2</v>
      </c>
      <c r="J139" s="48">
        <v>0.47010000000000002</v>
      </c>
      <c r="K139" s="48">
        <v>0.42070000000000002</v>
      </c>
      <c r="L139" s="48">
        <f t="shared" si="66"/>
        <v>0.700000000000034</v>
      </c>
      <c r="M139" s="48">
        <f t="shared" si="56"/>
        <v>0.099999999999989</v>
      </c>
      <c r="N139" s="48">
        <f t="shared" si="57"/>
        <v>1.80000000000001</v>
      </c>
      <c r="O139" s="48">
        <f t="shared" si="58"/>
        <v>0.200000000000006</v>
      </c>
      <c r="P139" s="48">
        <f t="shared" si="59"/>
        <v>50.1</v>
      </c>
      <c r="Q139" s="48">
        <f t="shared" si="60"/>
        <v>0.700000000000034</v>
      </c>
      <c r="R139" s="48">
        <f t="shared" si="61"/>
        <v>50.1372117294132</v>
      </c>
      <c r="S139" s="48">
        <f t="shared" si="62"/>
        <v>0.734846922834986</v>
      </c>
      <c r="T139" s="110"/>
      <c r="U139" s="110"/>
      <c r="V139" s="110"/>
      <c r="W139" s="110"/>
      <c r="X139" s="110"/>
      <c r="Y139" s="110"/>
      <c r="Z139" s="48">
        <v>0.54249999999999998</v>
      </c>
      <c r="AA139" s="48">
        <v>0.5514</v>
      </c>
      <c r="AB139" s="48">
        <v>7.0444000000000004</v>
      </c>
      <c r="AC139" s="48">
        <v>8.9656000000000002</v>
      </c>
      <c r="AD139" s="48">
        <f t="shared" si="64"/>
        <v>7.5869</v>
      </c>
      <c r="AE139" s="48">
        <f t="shared" si="65"/>
        <v>9.517</v>
      </c>
      <c r="AF139" s="49" t="s">
        <v>167</v>
      </c>
      <c r="AG139" s="49" t="s">
        <v>168</v>
      </c>
      <c r="AH139" s="49">
        <v>1</v>
      </c>
      <c r="AI139" s="49" t="s">
        <v>137</v>
      </c>
      <c r="AJ139" s="2"/>
    </row>
    <row r="140" spans="1:36">
      <c r="A140" s="49">
        <v>9</v>
      </c>
      <c r="B140" s="49" t="s">
        <v>166</v>
      </c>
      <c r="C140" s="49">
        <v>0.5</v>
      </c>
      <c r="D140" s="49">
        <v>-0.3</v>
      </c>
      <c r="E140" s="49">
        <v>0.35</v>
      </c>
      <c r="F140" s="48">
        <v>0.50029999999999997</v>
      </c>
      <c r="G140" s="48">
        <v>0.49959999999999999</v>
      </c>
      <c r="H140" s="48">
        <v>-0.30009999999999998</v>
      </c>
      <c r="I140" s="48">
        <v>-0.3</v>
      </c>
      <c r="J140" s="48">
        <v>0.40010000000000001</v>
      </c>
      <c r="K140" s="48">
        <v>0.35</v>
      </c>
      <c r="L140" s="48">
        <f t="shared" si="66"/>
        <v>0.299999999999967</v>
      </c>
      <c r="M140" s="48">
        <f t="shared" si="56"/>
        <v>0.400000000000011</v>
      </c>
      <c r="N140" s="48">
        <f t="shared" si="57"/>
        <v>0.099999999999989</v>
      </c>
      <c r="O140" s="48">
        <f t="shared" si="58"/>
        <v>0</v>
      </c>
      <c r="P140" s="48">
        <f t="shared" si="59"/>
        <v>50.1</v>
      </c>
      <c r="Q140" s="48">
        <f t="shared" si="60"/>
        <v>0</v>
      </c>
      <c r="R140" s="48">
        <f t="shared" si="61"/>
        <v>50.100997994052</v>
      </c>
      <c r="S140" s="48">
        <f t="shared" si="62"/>
        <v>0.400000000000011</v>
      </c>
      <c r="T140" s="110"/>
      <c r="U140" s="110"/>
      <c r="V140" s="110"/>
      <c r="W140" s="110"/>
      <c r="X140" s="110"/>
      <c r="Y140" s="110"/>
      <c r="Z140" s="48">
        <v>0.54330000000000001</v>
      </c>
      <c r="AA140" s="48">
        <v>0.54679999999999995</v>
      </c>
      <c r="AB140" s="48">
        <v>7.6933999999999996</v>
      </c>
      <c r="AC140" s="48">
        <v>8.4943000000000008</v>
      </c>
      <c r="AD140" s="48">
        <f t="shared" si="64"/>
        <v>8.2367</v>
      </c>
      <c r="AE140" s="48">
        <f t="shared" si="65"/>
        <v>9.0411</v>
      </c>
      <c r="AF140" s="49" t="s">
        <v>167</v>
      </c>
      <c r="AG140" s="49" t="s">
        <v>168</v>
      </c>
      <c r="AH140" s="49">
        <v>1</v>
      </c>
      <c r="AI140" s="49" t="s">
        <v>137</v>
      </c>
      <c r="AJ140" s="2"/>
    </row>
    <row r="141" spans="1:36">
      <c r="A141" s="49">
        <v>9</v>
      </c>
      <c r="B141" s="49" t="s">
        <v>169</v>
      </c>
      <c r="C141" s="49">
        <v>0.75</v>
      </c>
      <c r="D141" s="49">
        <v>0.1</v>
      </c>
      <c r="E141" s="49">
        <v>0.42</v>
      </c>
      <c r="F141" s="48">
        <v>0.74970000000000003</v>
      </c>
      <c r="G141" s="48">
        <v>0.75060000000000004</v>
      </c>
      <c r="H141" s="48">
        <v>0.1007</v>
      </c>
      <c r="I141" s="48">
        <v>9.98E-2</v>
      </c>
      <c r="J141" s="48">
        <v>0.47</v>
      </c>
      <c r="K141" s="48">
        <v>0.41980000000000001</v>
      </c>
      <c r="L141" s="48">
        <f t="shared" si="66"/>
        <v>0.299999999999967</v>
      </c>
      <c r="M141" s="48">
        <f t="shared" si="56"/>
        <v>0.600000000000045</v>
      </c>
      <c r="N141" s="48">
        <f t="shared" si="57"/>
        <v>0.699999999999992</v>
      </c>
      <c r="O141" s="48">
        <f t="shared" si="58"/>
        <v>0.200000000000006</v>
      </c>
      <c r="P141" s="48">
        <f t="shared" si="59"/>
        <v>50</v>
      </c>
      <c r="Q141" s="48">
        <f t="shared" si="60"/>
        <v>0.199999999999978</v>
      </c>
      <c r="R141" s="48">
        <f t="shared" si="61"/>
        <v>50.005799663639</v>
      </c>
      <c r="S141" s="48">
        <f t="shared" si="62"/>
        <v>0.663324958071116</v>
      </c>
      <c r="T141" s="110"/>
      <c r="U141" s="110"/>
      <c r="V141" s="110"/>
      <c r="W141" s="110"/>
      <c r="X141" s="110"/>
      <c r="Y141" s="110"/>
      <c r="Z141" s="48">
        <v>0.53410000000000002</v>
      </c>
      <c r="AA141" s="48">
        <v>0.54090000000000005</v>
      </c>
      <c r="AB141" s="48">
        <v>7.0472000000000001</v>
      </c>
      <c r="AC141" s="48">
        <v>7.3997000000000002</v>
      </c>
      <c r="AD141" s="48">
        <f t="shared" si="64"/>
        <v>7.5813</v>
      </c>
      <c r="AE141" s="48">
        <f t="shared" si="65"/>
        <v>7.9406</v>
      </c>
      <c r="AF141" s="49" t="s">
        <v>167</v>
      </c>
      <c r="AG141" s="49" t="s">
        <v>168</v>
      </c>
      <c r="AH141" s="49">
        <v>1</v>
      </c>
      <c r="AI141" s="49" t="s">
        <v>137</v>
      </c>
      <c r="AJ141" s="2"/>
    </row>
    <row r="142" spans="1:36">
      <c r="A142" s="49">
        <v>10</v>
      </c>
      <c r="B142" s="49" t="s">
        <v>166</v>
      </c>
      <c r="C142" s="49">
        <v>0.5</v>
      </c>
      <c r="D142" s="49">
        <v>-0.3</v>
      </c>
      <c r="E142" s="49">
        <v>0.35</v>
      </c>
      <c r="F142" s="48">
        <v>0.49909999999999999</v>
      </c>
      <c r="G142" s="48">
        <v>0.50019999999999998</v>
      </c>
      <c r="H142" s="48">
        <v>-0.29980000000000001</v>
      </c>
      <c r="I142" s="48">
        <v>-0.29970000000000002</v>
      </c>
      <c r="J142" s="48">
        <v>0.39989999999999998</v>
      </c>
      <c r="K142" s="48">
        <v>0.35039999999999999</v>
      </c>
      <c r="L142" s="48">
        <f t="shared" si="66"/>
        <v>0.900000000000012</v>
      </c>
      <c r="M142" s="48">
        <f t="shared" si="56"/>
        <v>0.199999999999978</v>
      </c>
      <c r="N142" s="48">
        <f t="shared" si="57"/>
        <v>0.199999999999978</v>
      </c>
      <c r="O142" s="48">
        <f t="shared" si="58"/>
        <v>0.299999999999967</v>
      </c>
      <c r="P142" s="48">
        <f t="shared" si="59"/>
        <v>49.9</v>
      </c>
      <c r="Q142" s="48">
        <f t="shared" si="60"/>
        <v>0.400000000000011</v>
      </c>
      <c r="R142" s="48">
        <f t="shared" si="61"/>
        <v>49.9085163073398</v>
      </c>
      <c r="S142" s="48">
        <f t="shared" si="62"/>
        <v>0.538516480713432</v>
      </c>
      <c r="T142" s="110"/>
      <c r="U142" s="110"/>
      <c r="V142" s="110"/>
      <c r="W142" s="110"/>
      <c r="X142" s="110"/>
      <c r="Y142" s="110"/>
      <c r="Z142" s="48">
        <v>0.55759999999999998</v>
      </c>
      <c r="AA142" s="48">
        <v>0.54679999999999995</v>
      </c>
      <c r="AB142" s="48">
        <v>7.0472000000000001</v>
      </c>
      <c r="AC142" s="48">
        <v>9.3226999999999993</v>
      </c>
      <c r="AD142" s="48">
        <f t="shared" si="64"/>
        <v>7.6048</v>
      </c>
      <c r="AE142" s="48">
        <f t="shared" si="65"/>
        <v>9.8695</v>
      </c>
      <c r="AF142" s="49" t="s">
        <v>167</v>
      </c>
      <c r="AG142" s="49" t="s">
        <v>168</v>
      </c>
      <c r="AH142" s="49">
        <v>1</v>
      </c>
      <c r="AI142" s="49" t="s">
        <v>137</v>
      </c>
      <c r="AJ142" s="2"/>
    </row>
    <row r="143" spans="1:36">
      <c r="A143" s="49">
        <v>10</v>
      </c>
      <c r="B143" s="49" t="s">
        <v>169</v>
      </c>
      <c r="C143" s="49">
        <v>0.75</v>
      </c>
      <c r="D143" s="49">
        <v>0.1</v>
      </c>
      <c r="E143" s="49">
        <v>0.42</v>
      </c>
      <c r="F143" s="48">
        <v>0.75080000000000002</v>
      </c>
      <c r="G143" s="48">
        <v>0.75049999999999994</v>
      </c>
      <c r="H143" s="48">
        <v>9.98E-2</v>
      </c>
      <c r="I143" s="48">
        <v>0.1002</v>
      </c>
      <c r="J143" s="48">
        <v>0.4708</v>
      </c>
      <c r="K143" s="48">
        <v>0.42009999999999997</v>
      </c>
      <c r="L143" s="48">
        <f t="shared" si="66"/>
        <v>0.800000000000023</v>
      </c>
      <c r="M143" s="48">
        <f t="shared" si="56"/>
        <v>0.499999999999945</v>
      </c>
      <c r="N143" s="48">
        <f t="shared" si="57"/>
        <v>0.200000000000006</v>
      </c>
      <c r="O143" s="48">
        <f t="shared" si="58"/>
        <v>0.199999999999992</v>
      </c>
      <c r="P143" s="48">
        <f t="shared" si="59"/>
        <v>50.8</v>
      </c>
      <c r="Q143" s="48">
        <f t="shared" si="60"/>
        <v>0.099999999999989</v>
      </c>
      <c r="R143" s="48">
        <f t="shared" si="61"/>
        <v>50.8066924725474</v>
      </c>
      <c r="S143" s="48">
        <f t="shared" si="62"/>
        <v>0.547722557505111</v>
      </c>
      <c r="T143" s="111"/>
      <c r="U143" s="111"/>
      <c r="V143" s="111"/>
      <c r="W143" s="111"/>
      <c r="X143" s="111"/>
      <c r="Y143" s="111"/>
      <c r="Z143" s="48">
        <v>0.54079999999999995</v>
      </c>
      <c r="AA143" s="48">
        <v>0.54669999999999996</v>
      </c>
      <c r="AB143" s="48">
        <v>7.0468999999999999</v>
      </c>
      <c r="AC143" s="48">
        <v>8.9907000000000004</v>
      </c>
      <c r="AD143" s="48">
        <f t="shared" si="64"/>
        <v>7.5877</v>
      </c>
      <c r="AE143" s="48">
        <f t="shared" si="65"/>
        <v>9.5374</v>
      </c>
      <c r="AF143" s="49" t="s">
        <v>167</v>
      </c>
      <c r="AG143" s="49" t="s">
        <v>168</v>
      </c>
      <c r="AH143" s="49">
        <v>1</v>
      </c>
      <c r="AI143" s="49" t="s">
        <v>137</v>
      </c>
      <c r="AJ143" s="2"/>
    </row>
    <row r="144" spans="1:36" ht="18.3" customHeight="1">
      <c r="A144" s="104" t="s">
        <v>170</v>
      </c>
      <c r="B144" s="105"/>
      <c r="C144" s="105"/>
      <c r="D144" s="105"/>
      <c r="E144" s="106"/>
      <c r="F144" s="108">
        <f>AVERAGE(F124:F143)-AVERAGE(G124:G143)</f>
        <v>-0.000129999999999963</v>
      </c>
      <c r="G144" s="106"/>
      <c r="H144" s="108">
        <f>AVERAGE(H124:H143)-AVERAGE(I124:I143)</f>
        <v>-1.49999999999872e-05</v>
      </c>
      <c r="I144" s="106"/>
      <c r="J144" s="108">
        <f>AVERAGE(J124:J143)-AVERAGE(K124:K143)</f>
        <v>0.04966</v>
      </c>
      <c r="K144" s="106"/>
      <c r="L144" s="108">
        <f>AVERAGE(L124:L143)-AVERAGE(M124:M143)</f>
        <v>0.155000000000002</v>
      </c>
      <c r="M144" s="106"/>
      <c r="N144" s="108">
        <f>AVERAGE(N124:N143)-AVERAGE(O124:O143)</f>
        <v>0.225000000000002</v>
      </c>
      <c r="O144" s="106"/>
      <c r="P144" s="108">
        <f>AVERAGE(P124:P143)-AVERAGE(Q124:Q143)</f>
        <v>49.22</v>
      </c>
      <c r="Q144" s="106"/>
      <c r="R144" s="108">
        <f>AVERAGE(R124:R143)-AVERAGE(S124:S143)</f>
        <v>48.8976740755603</v>
      </c>
      <c r="S144" s="106"/>
      <c r="T144" s="108">
        <f>AVERAGE(T124:T143)-AVERAGE(U124:U143)</f>
        <v>7.23944532526055e-05</v>
      </c>
      <c r="U144" s="106"/>
      <c r="V144" s="108">
        <f>AVERAGE(V124:V143)-AVERAGE(W124:W143)</f>
        <v>-0.000106993393856059</v>
      </c>
      <c r="W144" s="106"/>
      <c r="X144" s="108">
        <f>AVERAGE(X124:X143)-AVERAGE(Y124:Y143)</f>
        <v>-6.09894536049843e-05</v>
      </c>
      <c r="Y144" s="106"/>
      <c r="Z144" s="108">
        <f>AVERAGE(AA124:AA143)-AVERAGE(Z124:Z143)</f>
        <v>-0.00884000000000007</v>
      </c>
      <c r="AA144" s="106"/>
      <c r="AB144" s="108">
        <f>AVERAGE(AC124:AC143)-AVERAGE(AB124:AB143)</f>
        <v>1.162195</v>
      </c>
      <c r="AC144" s="106"/>
      <c r="AD144" s="108">
        <f>AVERAGE(AE124:AE143)-AVERAGE(AD124:AD143)</f>
        <v>1.153355</v>
      </c>
      <c r="AE144" s="106"/>
      <c r="AF144" s="117"/>
      <c r="AG144" s="105"/>
      <c r="AH144" s="105"/>
      <c r="AI144" s="106"/>
      <c r="AJ144" s="2"/>
    </row>
    <row r="145" spans="1:36">
      <c r="A145" s="112" t="s">
        <v>176</v>
      </c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6"/>
      <c r="AJ145" s="2"/>
    </row>
    <row r="146" spans="1:36" s="2" customFormat="1" ht="16.350000000000001" customHeight="1">
      <c r="A146" s="107" t="s">
        <v>126</v>
      </c>
      <c r="B146" s="107" t="s">
        <v>143</v>
      </c>
      <c r="C146" s="107" t="s">
        <v>144</v>
      </c>
      <c r="D146" s="107" t="s">
        <v>145</v>
      </c>
      <c r="E146" s="107" t="s">
        <v>146</v>
      </c>
      <c r="F146" s="107" t="s">
        <v>147</v>
      </c>
      <c r="G146" s="106"/>
      <c r="H146" s="107" t="s">
        <v>148</v>
      </c>
      <c r="I146" s="106"/>
      <c r="J146" s="107" t="s">
        <v>149</v>
      </c>
      <c r="K146" s="106"/>
      <c r="L146" s="114" t="s">
        <v>150</v>
      </c>
      <c r="M146" s="106"/>
      <c r="N146" s="114" t="s">
        <v>151</v>
      </c>
      <c r="O146" s="106"/>
      <c r="P146" s="114" t="s">
        <v>152</v>
      </c>
      <c r="Q146" s="106"/>
      <c r="R146" s="107" t="s">
        <v>153</v>
      </c>
      <c r="S146" s="106"/>
      <c r="T146" s="107" t="s">
        <v>154</v>
      </c>
      <c r="U146" s="106"/>
      <c r="V146" s="107" t="s">
        <v>155</v>
      </c>
      <c r="W146" s="106"/>
      <c r="X146" s="107" t="s">
        <v>156</v>
      </c>
      <c r="Y146" s="106"/>
      <c r="Z146" s="107" t="s">
        <v>157</v>
      </c>
      <c r="AA146" s="106"/>
      <c r="AB146" s="107" t="s">
        <v>158</v>
      </c>
      <c r="AC146" s="106"/>
      <c r="AD146" s="107" t="s">
        <v>159</v>
      </c>
      <c r="AE146" s="106"/>
      <c r="AF146" s="107" t="s">
        <v>160</v>
      </c>
      <c r="AG146" s="107" t="s">
        <v>161</v>
      </c>
      <c r="AH146" s="107" t="s">
        <v>162</v>
      </c>
      <c r="AI146" s="107" t="s">
        <v>163</v>
      </c>
    </row>
    <row r="147" spans="1:36" s="2" customFormat="1" ht="16.350000000000001" customHeight="1">
      <c r="A147" s="111"/>
      <c r="B147" s="111"/>
      <c r="C147" s="111"/>
      <c r="D147" s="111"/>
      <c r="E147" s="111"/>
      <c r="F147" s="47" t="s">
        <v>164</v>
      </c>
      <c r="G147" s="72" t="s">
        <v>165</v>
      </c>
      <c r="H147" s="47" t="s">
        <v>164</v>
      </c>
      <c r="I147" s="72" t="s">
        <v>165</v>
      </c>
      <c r="J147" s="47" t="s">
        <v>164</v>
      </c>
      <c r="K147" s="72" t="s">
        <v>165</v>
      </c>
      <c r="L147" s="47" t="s">
        <v>164</v>
      </c>
      <c r="M147" s="72" t="s">
        <v>165</v>
      </c>
      <c r="N147" s="47" t="s">
        <v>164</v>
      </c>
      <c r="O147" s="72" t="s">
        <v>165</v>
      </c>
      <c r="P147" s="47" t="s">
        <v>164</v>
      </c>
      <c r="Q147" s="72" t="s">
        <v>165</v>
      </c>
      <c r="R147" s="47" t="s">
        <v>164</v>
      </c>
      <c r="S147" s="72" t="s">
        <v>165</v>
      </c>
      <c r="T147" s="47" t="s">
        <v>164</v>
      </c>
      <c r="U147" s="72" t="s">
        <v>165</v>
      </c>
      <c r="V147" s="47" t="s">
        <v>164</v>
      </c>
      <c r="W147" s="72" t="s">
        <v>165</v>
      </c>
      <c r="X147" s="47" t="s">
        <v>164</v>
      </c>
      <c r="Y147" s="72" t="s">
        <v>165</v>
      </c>
      <c r="Z147" s="72" t="s">
        <v>165</v>
      </c>
      <c r="AA147" s="47" t="s">
        <v>164</v>
      </c>
      <c r="AB147" s="72" t="s">
        <v>165</v>
      </c>
      <c r="AC147" s="47" t="s">
        <v>164</v>
      </c>
      <c r="AD147" s="72" t="s">
        <v>165</v>
      </c>
      <c r="AE147" s="47" t="s">
        <v>164</v>
      </c>
      <c r="AF147" s="111"/>
      <c r="AG147" s="111"/>
      <c r="AH147" s="111"/>
      <c r="AI147" s="111"/>
    </row>
    <row r="148" spans="1:36">
      <c r="A148" s="49">
        <v>1</v>
      </c>
      <c r="B148" s="49" t="s">
        <v>166</v>
      </c>
      <c r="C148" s="49">
        <v>0.75</v>
      </c>
      <c r="D148" s="49">
        <v>-0.1</v>
      </c>
      <c r="E148" s="49">
        <v>0.35</v>
      </c>
      <c r="F148" s="48">
        <v>0.74970000000000003</v>
      </c>
      <c r="G148" s="48">
        <v>0.75039999999999996</v>
      </c>
      <c r="H148" s="48">
        <v>-9.9500000000000005E-2</v>
      </c>
      <c r="I148" s="48">
        <v>-9.9599999999999994E-2</v>
      </c>
      <c r="J148" s="48">
        <v>0.39960000000000001</v>
      </c>
      <c r="K148" s="48">
        <v>0.34989999999999999</v>
      </c>
      <c r="L148" s="48">
        <f t="shared" ref="L148:L167" si="67">ABS(F148-C148)*1000</f>
        <v>0.299999999999967</v>
      </c>
      <c r="M148" s="48">
        <f t="shared" ref="M148:M167" si="68">ABS(G148-C148)*1000</f>
        <v>0.399999999999956</v>
      </c>
      <c r="N148" s="48">
        <f t="shared" ref="N148:N167" si="69">ABS(H148-D148)*1000</f>
        <v>0.5</v>
      </c>
      <c r="O148" s="48">
        <f t="shared" ref="O148:O167" si="70">ABS(I148-D148)*1000</f>
        <v>0.400000000000011</v>
      </c>
      <c r="P148" s="48">
        <f t="shared" ref="P148:P167" si="71">ABS(J148-E148)*1000</f>
        <v>49.6</v>
      </c>
      <c r="Q148" s="48">
        <f t="shared" ref="Q148:Q167" si="72">ABS(K148-E148)*1000</f>
        <v>0.099999999999989</v>
      </c>
      <c r="R148" s="48">
        <f t="shared" ref="R148:R167" si="73">SQRT(SUMSQ(L148,N148,P148))</f>
        <v>49.6034273009437</v>
      </c>
      <c r="S148" s="48">
        <f t="shared" ref="S148:S167" si="74">SQRT(SUMSQ(M148,O148,Q148))</f>
        <v>0.574456264653778</v>
      </c>
      <c r="T148" s="109">
        <f t="shared" ref="T148:Y148" si="75">_xlfn.STDEV.S(F148:F167)</f>
        <v>0.128109917751577</v>
      </c>
      <c r="U148" s="109">
        <f t="shared" si="75"/>
        <v>0.128248208769681</v>
      </c>
      <c r="V148" s="109">
        <f t="shared" si="75"/>
        <v>0.205211830158113</v>
      </c>
      <c r="W148" s="109">
        <f t="shared" si="75"/>
        <v>0.205139588611729</v>
      </c>
      <c r="X148" s="109">
        <f t="shared" si="75"/>
        <v>0.0466476648030633</v>
      </c>
      <c r="Y148" s="109">
        <f t="shared" si="75"/>
        <v>0.0359939410105879</v>
      </c>
      <c r="Z148" s="48">
        <v>0.53480000000000005</v>
      </c>
      <c r="AA148" s="48">
        <v>0.54400000000000004</v>
      </c>
      <c r="AB148" s="48">
        <v>7.8834999999999997</v>
      </c>
      <c r="AC148" s="48">
        <v>8.8721999999999994</v>
      </c>
      <c r="AD148" s="48">
        <f t="shared" ref="AD148:AD167" si="76">AB148+Z148</f>
        <v>8.4183</v>
      </c>
      <c r="AE148" s="48">
        <f t="shared" ref="AE148:AE167" si="77">AC148+AA148</f>
        <v>9.4162</v>
      </c>
      <c r="AF148" s="49" t="s">
        <v>167</v>
      </c>
      <c r="AG148" s="49" t="s">
        <v>168</v>
      </c>
      <c r="AH148" s="49">
        <v>1</v>
      </c>
      <c r="AI148" s="49" t="s">
        <v>137</v>
      </c>
      <c r="AJ148" s="2"/>
    </row>
    <row r="149" spans="1:36">
      <c r="A149" s="49">
        <v>1</v>
      </c>
      <c r="B149" s="49" t="s">
        <v>169</v>
      </c>
      <c r="C149" s="49">
        <v>0.5</v>
      </c>
      <c r="D149" s="49">
        <v>0.3</v>
      </c>
      <c r="E149" s="49">
        <v>0.42</v>
      </c>
      <c r="F149" s="48">
        <v>0.5</v>
      </c>
      <c r="G149" s="48">
        <v>0.50070000000000003</v>
      </c>
      <c r="H149" s="48">
        <v>0.3</v>
      </c>
      <c r="I149" s="48">
        <v>0.30009999999999998</v>
      </c>
      <c r="J149" s="48">
        <v>0.47070000000000001</v>
      </c>
      <c r="K149" s="48">
        <v>0.42020000000000002</v>
      </c>
      <c r="L149" s="48">
        <f t="shared" si="67"/>
        <v>0</v>
      </c>
      <c r="M149" s="48">
        <f t="shared" si="68"/>
        <v>0.700000000000034</v>
      </c>
      <c r="N149" s="48">
        <f t="shared" si="69"/>
        <v>0</v>
      </c>
      <c r="O149" s="48">
        <f t="shared" si="70"/>
        <v>0.099999999999989</v>
      </c>
      <c r="P149" s="48">
        <f t="shared" si="71"/>
        <v>50.7</v>
      </c>
      <c r="Q149" s="48">
        <f t="shared" si="72"/>
        <v>0.200000000000033</v>
      </c>
      <c r="R149" s="48">
        <f t="shared" si="73"/>
        <v>50.7</v>
      </c>
      <c r="S149" s="48">
        <f t="shared" si="74"/>
        <v>0.734846922834993</v>
      </c>
      <c r="T149" s="110"/>
      <c r="U149" s="110"/>
      <c r="V149" s="110"/>
      <c r="W149" s="110"/>
      <c r="X149" s="110"/>
      <c r="Y149" s="110"/>
      <c r="Z149" s="48">
        <v>0.54979999999999996</v>
      </c>
      <c r="AA149" s="48">
        <v>0.54959999999999998</v>
      </c>
      <c r="AB149" s="48">
        <v>7.8922999999999996</v>
      </c>
      <c r="AC149" s="48">
        <v>7.3785999999999996</v>
      </c>
      <c r="AD149" s="48">
        <f t="shared" si="76"/>
        <v>8.4421</v>
      </c>
      <c r="AE149" s="48">
        <f t="shared" si="77"/>
        <v>7.9282</v>
      </c>
      <c r="AF149" s="49" t="s">
        <v>167</v>
      </c>
      <c r="AG149" s="49" t="s">
        <v>168</v>
      </c>
      <c r="AH149" s="49">
        <v>1</v>
      </c>
      <c r="AI149" s="49" t="s">
        <v>137</v>
      </c>
      <c r="AJ149" s="2"/>
    </row>
    <row r="150" spans="1:36">
      <c r="A150" s="49">
        <v>2</v>
      </c>
      <c r="B150" s="49" t="s">
        <v>166</v>
      </c>
      <c r="C150" s="49">
        <v>0.75</v>
      </c>
      <c r="D150" s="49">
        <v>-0.1</v>
      </c>
      <c r="E150" s="49">
        <v>0.35</v>
      </c>
      <c r="F150" s="48">
        <v>0.75009999999999999</v>
      </c>
      <c r="G150" s="48">
        <v>0.74980000000000002</v>
      </c>
      <c r="H150" s="48">
        <v>-9.9500000000000005E-2</v>
      </c>
      <c r="I150" s="48">
        <v>-0.10059999999999999</v>
      </c>
      <c r="J150" s="48">
        <v>0.40010000000000001</v>
      </c>
      <c r="K150" s="48">
        <v>0.34960000000000002</v>
      </c>
      <c r="L150" s="48">
        <f t="shared" si="67"/>
        <v>0.099999999999989</v>
      </c>
      <c r="M150" s="48">
        <f t="shared" si="68"/>
        <v>0.199999999999978</v>
      </c>
      <c r="N150" s="48">
        <f t="shared" si="69"/>
        <v>0.5</v>
      </c>
      <c r="O150" s="48">
        <f t="shared" si="70"/>
        <v>0.599999999999989</v>
      </c>
      <c r="P150" s="48">
        <f t="shared" si="71"/>
        <v>50.1</v>
      </c>
      <c r="Q150" s="48">
        <f t="shared" si="72"/>
        <v>0.399999999999956</v>
      </c>
      <c r="R150" s="48">
        <f t="shared" si="73"/>
        <v>50.1025947431867</v>
      </c>
      <c r="S150" s="48">
        <f t="shared" si="74"/>
        <v>0.74833147735475</v>
      </c>
      <c r="T150" s="110"/>
      <c r="U150" s="110"/>
      <c r="V150" s="110"/>
      <c r="W150" s="110"/>
      <c r="X150" s="110"/>
      <c r="Y150" s="110"/>
      <c r="Z150" s="48">
        <v>0.53920000000000001</v>
      </c>
      <c r="AA150" s="48">
        <v>0.55210000000000004</v>
      </c>
      <c r="AB150" s="48">
        <v>7.0460000000000003</v>
      </c>
      <c r="AC150" s="48">
        <v>8.8285999999999998</v>
      </c>
      <c r="AD150" s="48">
        <f t="shared" si="76"/>
        <v>7.5852</v>
      </c>
      <c r="AE150" s="48">
        <f t="shared" si="77"/>
        <v>9.3807</v>
      </c>
      <c r="AF150" s="49" t="s">
        <v>167</v>
      </c>
      <c r="AG150" s="49" t="s">
        <v>168</v>
      </c>
      <c r="AH150" s="49">
        <v>1</v>
      </c>
      <c r="AI150" s="49" t="s">
        <v>137</v>
      </c>
      <c r="AJ150" s="2"/>
    </row>
    <row r="151" spans="1:36">
      <c r="A151" s="49">
        <v>2</v>
      </c>
      <c r="B151" s="49" t="s">
        <v>169</v>
      </c>
      <c r="C151" s="49">
        <v>0.5</v>
      </c>
      <c r="D151" s="49">
        <v>0.3</v>
      </c>
      <c r="E151" s="49">
        <v>0.42</v>
      </c>
      <c r="F151" s="48">
        <v>0.5</v>
      </c>
      <c r="G151" s="48">
        <v>0.50080000000000002</v>
      </c>
      <c r="H151" s="48">
        <v>0.29920000000000002</v>
      </c>
      <c r="I151" s="48">
        <v>0.29980000000000001</v>
      </c>
      <c r="J151" s="48">
        <v>0.47</v>
      </c>
      <c r="K151" s="48">
        <v>0.41970000000000002</v>
      </c>
      <c r="L151" s="48">
        <f t="shared" si="67"/>
        <v>0</v>
      </c>
      <c r="M151" s="48">
        <f t="shared" si="68"/>
        <v>0.800000000000023</v>
      </c>
      <c r="N151" s="48">
        <f t="shared" si="69"/>
        <v>0.799999999999967</v>
      </c>
      <c r="O151" s="48">
        <f t="shared" si="70"/>
        <v>0.199999999999978</v>
      </c>
      <c r="P151" s="48">
        <f t="shared" si="71"/>
        <v>50</v>
      </c>
      <c r="Q151" s="48">
        <f t="shared" si="72"/>
        <v>0.299999999999967</v>
      </c>
      <c r="R151" s="48">
        <f t="shared" si="73"/>
        <v>50.0063995904524</v>
      </c>
      <c r="S151" s="48">
        <f t="shared" si="74"/>
        <v>0.877496438739217</v>
      </c>
      <c r="T151" s="110"/>
      <c r="U151" s="110"/>
      <c r="V151" s="110"/>
      <c r="W151" s="110"/>
      <c r="X151" s="110"/>
      <c r="Y151" s="110"/>
      <c r="Z151" s="48">
        <v>0.54730000000000001</v>
      </c>
      <c r="AA151" s="48">
        <v>0.5504</v>
      </c>
      <c r="AB151" s="48">
        <v>7.0480999999999998</v>
      </c>
      <c r="AC151" s="48">
        <v>7.3739999999999997</v>
      </c>
      <c r="AD151" s="48">
        <f t="shared" si="76"/>
        <v>7.5954</v>
      </c>
      <c r="AE151" s="48">
        <f t="shared" si="77"/>
        <v>7.9244</v>
      </c>
      <c r="AF151" s="49" t="s">
        <v>167</v>
      </c>
      <c r="AG151" s="49" t="s">
        <v>168</v>
      </c>
      <c r="AH151" s="49">
        <v>1</v>
      </c>
      <c r="AI151" s="49" t="s">
        <v>137</v>
      </c>
      <c r="AJ151" s="2"/>
    </row>
    <row r="152" spans="1:36">
      <c r="A152" s="49">
        <v>3</v>
      </c>
      <c r="B152" s="49" t="s">
        <v>166</v>
      </c>
      <c r="C152" s="49">
        <v>0.75</v>
      </c>
      <c r="D152" s="49">
        <v>-0.1</v>
      </c>
      <c r="E152" s="49">
        <v>0.35</v>
      </c>
      <c r="F152" s="48">
        <v>0.74939999999999996</v>
      </c>
      <c r="G152" s="48">
        <v>0.75070000000000003</v>
      </c>
      <c r="H152" s="48">
        <v>-9.9599999999999994E-2</v>
      </c>
      <c r="I152" s="48">
        <v>-9.9900000000000003E-2</v>
      </c>
      <c r="J152" s="48">
        <v>0.40010000000000001</v>
      </c>
      <c r="K152" s="48">
        <v>0.34970000000000001</v>
      </c>
      <c r="L152" s="48">
        <f t="shared" si="67"/>
        <v>0.600000000000045</v>
      </c>
      <c r="M152" s="48">
        <f t="shared" si="68"/>
        <v>0.700000000000034</v>
      </c>
      <c r="N152" s="48">
        <f t="shared" si="69"/>
        <v>0.400000000000011</v>
      </c>
      <c r="O152" s="48">
        <f t="shared" si="70"/>
        <v>0.100000000000003</v>
      </c>
      <c r="P152" s="48">
        <f t="shared" si="71"/>
        <v>50.1</v>
      </c>
      <c r="Q152" s="48">
        <f t="shared" si="72"/>
        <v>0.299999999999967</v>
      </c>
      <c r="R152" s="48">
        <f t="shared" si="73"/>
        <v>50.1051893520023</v>
      </c>
      <c r="S152" s="48">
        <f t="shared" si="74"/>
        <v>0.768114574786879</v>
      </c>
      <c r="T152" s="110"/>
      <c r="U152" s="110"/>
      <c r="V152" s="110"/>
      <c r="W152" s="110"/>
      <c r="X152" s="110"/>
      <c r="Y152" s="110"/>
      <c r="Z152" s="48">
        <v>0.53910000000000002</v>
      </c>
      <c r="AA152" s="48">
        <v>0.55049999999999999</v>
      </c>
      <c r="AB152" s="48">
        <v>7.0656999999999996</v>
      </c>
      <c r="AC152" s="48">
        <v>8.1250999999999998</v>
      </c>
      <c r="AD152" s="48">
        <f t="shared" si="76"/>
        <v>7.6048</v>
      </c>
      <c r="AE152" s="48">
        <f t="shared" si="77"/>
        <v>8.6756</v>
      </c>
      <c r="AF152" s="49" t="s">
        <v>167</v>
      </c>
      <c r="AG152" s="49" t="s">
        <v>168</v>
      </c>
      <c r="AH152" s="49">
        <v>1</v>
      </c>
      <c r="AI152" s="49" t="s">
        <v>137</v>
      </c>
      <c r="AJ152" s="2"/>
    </row>
    <row r="153" spans="1:36">
      <c r="A153" s="49">
        <v>3</v>
      </c>
      <c r="B153" s="49" t="s">
        <v>169</v>
      </c>
      <c r="C153" s="49">
        <v>0.5</v>
      </c>
      <c r="D153" s="49">
        <v>0.3</v>
      </c>
      <c r="E153" s="49">
        <v>0.42</v>
      </c>
      <c r="F153" s="48">
        <v>0.50029999999999997</v>
      </c>
      <c r="G153" s="48">
        <v>0.50049999999999994</v>
      </c>
      <c r="H153" s="48">
        <v>0.30009999999999998</v>
      </c>
      <c r="I153" s="48">
        <v>0.29959999999999998</v>
      </c>
      <c r="J153" s="48">
        <v>0.47</v>
      </c>
      <c r="K153" s="48">
        <v>0.41930000000000001</v>
      </c>
      <c r="L153" s="48">
        <f t="shared" si="67"/>
        <v>0.299999999999967</v>
      </c>
      <c r="M153" s="48">
        <f t="shared" si="68"/>
        <v>0.499999999999945</v>
      </c>
      <c r="N153" s="48">
        <f t="shared" si="69"/>
        <v>0.099999999999989</v>
      </c>
      <c r="O153" s="48">
        <f t="shared" si="70"/>
        <v>0.400000000000011</v>
      </c>
      <c r="P153" s="48">
        <f t="shared" si="71"/>
        <v>50</v>
      </c>
      <c r="Q153" s="48">
        <f t="shared" si="72"/>
        <v>0.699999999999978</v>
      </c>
      <c r="R153" s="48">
        <f t="shared" si="73"/>
        <v>50.0009999900002</v>
      </c>
      <c r="S153" s="48">
        <f t="shared" si="74"/>
        <v>0.948683298050474</v>
      </c>
      <c r="T153" s="110"/>
      <c r="U153" s="110"/>
      <c r="V153" s="110"/>
      <c r="W153" s="110"/>
      <c r="X153" s="110"/>
      <c r="Y153" s="110"/>
      <c r="Z153" s="48">
        <v>0.55320000000000003</v>
      </c>
      <c r="AA153" s="48">
        <v>0.53539999999999999</v>
      </c>
      <c r="AB153" s="48">
        <v>7.9332000000000003</v>
      </c>
      <c r="AC153" s="48">
        <v>7.4120999999999997</v>
      </c>
      <c r="AD153" s="48">
        <f t="shared" si="76"/>
        <v>8.4864</v>
      </c>
      <c r="AE153" s="48">
        <f t="shared" si="77"/>
        <v>7.9475</v>
      </c>
      <c r="AF153" s="49" t="s">
        <v>167</v>
      </c>
      <c r="AG153" s="49" t="s">
        <v>168</v>
      </c>
      <c r="AH153" s="49">
        <v>1</v>
      </c>
      <c r="AI153" s="49" t="s">
        <v>137</v>
      </c>
      <c r="AJ153" s="2"/>
    </row>
    <row r="154" spans="1:36">
      <c r="A154" s="49">
        <v>4</v>
      </c>
      <c r="B154" s="49" t="s">
        <v>166</v>
      </c>
      <c r="C154" s="49">
        <v>0.75</v>
      </c>
      <c r="D154" s="49">
        <v>-0.1</v>
      </c>
      <c r="E154" s="49">
        <v>0.35</v>
      </c>
      <c r="F154" s="48">
        <v>0.75070000000000003</v>
      </c>
      <c r="G154" s="48">
        <v>0.75080000000000002</v>
      </c>
      <c r="H154" s="48">
        <v>-0.1002</v>
      </c>
      <c r="I154" s="48">
        <v>-9.9599999999999994E-2</v>
      </c>
      <c r="J154" s="48">
        <v>0.40060000000000001</v>
      </c>
      <c r="K154" s="48">
        <v>0.35039999999999999</v>
      </c>
      <c r="L154" s="48">
        <f t="shared" si="67"/>
        <v>0.700000000000034</v>
      </c>
      <c r="M154" s="48">
        <f t="shared" si="68"/>
        <v>0.800000000000023</v>
      </c>
      <c r="N154" s="48">
        <f t="shared" si="69"/>
        <v>0.199999999999992</v>
      </c>
      <c r="O154" s="48">
        <f t="shared" si="70"/>
        <v>0.400000000000011</v>
      </c>
      <c r="P154" s="48">
        <f t="shared" si="71"/>
        <v>50.6</v>
      </c>
      <c r="Q154" s="48">
        <f t="shared" si="72"/>
        <v>0.400000000000011</v>
      </c>
      <c r="R154" s="48">
        <f t="shared" si="73"/>
        <v>50.6052368831528</v>
      </c>
      <c r="S154" s="48">
        <f t="shared" si="74"/>
        <v>0.979795897113299</v>
      </c>
      <c r="T154" s="110"/>
      <c r="U154" s="110"/>
      <c r="V154" s="110"/>
      <c r="W154" s="110"/>
      <c r="X154" s="110"/>
      <c r="Y154" s="110"/>
      <c r="Z154" s="48">
        <v>0.54610000000000003</v>
      </c>
      <c r="AA154" s="48">
        <v>0.52839999999999998</v>
      </c>
      <c r="AB154" s="48">
        <v>7.0578000000000003</v>
      </c>
      <c r="AC154" s="48">
        <v>8.1318999999999999</v>
      </c>
      <c r="AD154" s="48">
        <f t="shared" si="76"/>
        <v>7.6039</v>
      </c>
      <c r="AE154" s="48">
        <f t="shared" si="77"/>
        <v>8.6603</v>
      </c>
      <c r="AF154" s="49" t="s">
        <v>167</v>
      </c>
      <c r="AG154" s="49" t="s">
        <v>168</v>
      </c>
      <c r="AH154" s="49">
        <v>1</v>
      </c>
      <c r="AI154" s="49" t="s">
        <v>137</v>
      </c>
      <c r="AJ154" s="2"/>
    </row>
    <row r="155" spans="1:36">
      <c r="A155" s="49">
        <v>4</v>
      </c>
      <c r="B155" s="49" t="s">
        <v>169</v>
      </c>
      <c r="C155" s="49">
        <v>0.5</v>
      </c>
      <c r="D155" s="49">
        <v>0.3</v>
      </c>
      <c r="E155" s="49">
        <v>0.42</v>
      </c>
      <c r="F155" s="48">
        <v>0.50090000000000001</v>
      </c>
      <c r="G155" s="48">
        <v>0.49909999999999999</v>
      </c>
      <c r="H155" s="48">
        <v>0.30059999999999998</v>
      </c>
      <c r="I155" s="48">
        <v>0.29970000000000002</v>
      </c>
      <c r="J155" s="48">
        <v>0.47070000000000001</v>
      </c>
      <c r="K155" s="48">
        <v>0.42009999999999997</v>
      </c>
      <c r="L155" s="48">
        <f t="shared" si="67"/>
        <v>0.900000000000012</v>
      </c>
      <c r="M155" s="48">
        <f t="shared" si="68"/>
        <v>0.900000000000012</v>
      </c>
      <c r="N155" s="48">
        <f t="shared" si="69"/>
        <v>0.599999999999989</v>
      </c>
      <c r="O155" s="48">
        <f t="shared" si="70"/>
        <v>0.299999999999967</v>
      </c>
      <c r="P155" s="48">
        <f t="shared" si="71"/>
        <v>50.7</v>
      </c>
      <c r="Q155" s="48">
        <f t="shared" si="72"/>
        <v>0.099999999999989</v>
      </c>
      <c r="R155" s="48">
        <f t="shared" si="73"/>
        <v>50.711537148858</v>
      </c>
      <c r="S155" s="48">
        <f t="shared" si="74"/>
        <v>0.953939201416945</v>
      </c>
      <c r="T155" s="110"/>
      <c r="U155" s="110"/>
      <c r="V155" s="110"/>
      <c r="W155" s="110"/>
      <c r="X155" s="110"/>
      <c r="Y155" s="110"/>
      <c r="Z155" s="48">
        <v>0.54479999999999995</v>
      </c>
      <c r="AA155" s="48">
        <v>0.53649999999999998</v>
      </c>
      <c r="AB155" s="48">
        <v>7.8930999999999996</v>
      </c>
      <c r="AC155" s="48">
        <v>7.3832000000000004</v>
      </c>
      <c r="AD155" s="48">
        <f t="shared" si="76"/>
        <v>8.4379</v>
      </c>
      <c r="AE155" s="48">
        <f t="shared" si="77"/>
        <v>7.9197</v>
      </c>
      <c r="AF155" s="49" t="s">
        <v>167</v>
      </c>
      <c r="AG155" s="49" t="s">
        <v>168</v>
      </c>
      <c r="AH155" s="49">
        <v>1</v>
      </c>
      <c r="AI155" s="49" t="s">
        <v>137</v>
      </c>
      <c r="AJ155" s="2"/>
    </row>
    <row r="156" spans="1:36">
      <c r="A156" s="49">
        <v>5</v>
      </c>
      <c r="B156" s="49" t="s">
        <v>166</v>
      </c>
      <c r="C156" s="49">
        <v>0.75</v>
      </c>
      <c r="D156" s="49">
        <v>-0.1</v>
      </c>
      <c r="E156" s="49">
        <v>0.35</v>
      </c>
      <c r="F156" s="48">
        <v>0.75029999999999997</v>
      </c>
      <c r="G156" s="48">
        <v>0.74980000000000002</v>
      </c>
      <c r="H156" s="48">
        <v>-9.9599999999999994E-2</v>
      </c>
      <c r="I156" s="48">
        <v>-0.1004</v>
      </c>
      <c r="J156" s="48">
        <v>0.40089999999999998</v>
      </c>
      <c r="K156" s="48">
        <v>0.34989999999999999</v>
      </c>
      <c r="L156" s="48">
        <f t="shared" si="67"/>
        <v>0.299999999999967</v>
      </c>
      <c r="M156" s="48">
        <f t="shared" si="68"/>
        <v>0.199999999999978</v>
      </c>
      <c r="N156" s="48">
        <f t="shared" si="69"/>
        <v>0.400000000000011</v>
      </c>
      <c r="O156" s="48">
        <f t="shared" si="70"/>
        <v>0.399999999999998</v>
      </c>
      <c r="P156" s="48">
        <f t="shared" si="71"/>
        <v>50.9</v>
      </c>
      <c r="Q156" s="48">
        <f t="shared" si="72"/>
        <v>0.099999999999989</v>
      </c>
      <c r="R156" s="48">
        <f t="shared" si="73"/>
        <v>50.9024557364377</v>
      </c>
      <c r="S156" s="48">
        <f t="shared" si="74"/>
        <v>0.45825756949557</v>
      </c>
      <c r="T156" s="110"/>
      <c r="U156" s="110"/>
      <c r="V156" s="110"/>
      <c r="W156" s="110"/>
      <c r="X156" s="110"/>
      <c r="Y156" s="110"/>
      <c r="Z156" s="48">
        <v>0.54620000000000002</v>
      </c>
      <c r="AA156" s="48">
        <v>0.54849999999999999</v>
      </c>
      <c r="AB156" s="48">
        <v>7.91</v>
      </c>
      <c r="AC156" s="48">
        <v>8.1172000000000004</v>
      </c>
      <c r="AD156" s="48">
        <f t="shared" si="76"/>
        <v>8.4562</v>
      </c>
      <c r="AE156" s="48">
        <f t="shared" si="77"/>
        <v>8.6657</v>
      </c>
      <c r="AF156" s="49" t="s">
        <v>167</v>
      </c>
      <c r="AG156" s="49" t="s">
        <v>168</v>
      </c>
      <c r="AH156" s="49">
        <v>1</v>
      </c>
      <c r="AI156" s="49" t="s">
        <v>137</v>
      </c>
      <c r="AJ156" s="2"/>
    </row>
    <row r="157" spans="1:36">
      <c r="A157" s="49">
        <v>5</v>
      </c>
      <c r="B157" s="49" t="s">
        <v>169</v>
      </c>
      <c r="C157" s="49">
        <v>0.5</v>
      </c>
      <c r="D157" s="49">
        <v>0.3</v>
      </c>
      <c r="E157" s="49">
        <v>0.42</v>
      </c>
      <c r="F157" s="48">
        <v>0.50070000000000003</v>
      </c>
      <c r="G157" s="48">
        <v>0.50009999999999999</v>
      </c>
      <c r="H157" s="48">
        <v>0.29920000000000002</v>
      </c>
      <c r="I157" s="48">
        <v>0.2999</v>
      </c>
      <c r="J157" s="48">
        <v>0.4703</v>
      </c>
      <c r="K157" s="48">
        <v>0.42049999999999998</v>
      </c>
      <c r="L157" s="48">
        <f t="shared" si="67"/>
        <v>0.700000000000034</v>
      </c>
      <c r="M157" s="48">
        <f t="shared" si="68"/>
        <v>0.099999999999989</v>
      </c>
      <c r="N157" s="48">
        <f t="shared" si="69"/>
        <v>0.799999999999967</v>
      </c>
      <c r="O157" s="48">
        <f t="shared" si="70"/>
        <v>0.099999999999989</v>
      </c>
      <c r="P157" s="48">
        <f t="shared" si="71"/>
        <v>50.3</v>
      </c>
      <c r="Q157" s="48">
        <f t="shared" si="72"/>
        <v>0.5</v>
      </c>
      <c r="R157" s="48">
        <f t="shared" si="73"/>
        <v>50.3112313504649</v>
      </c>
      <c r="S157" s="48">
        <f t="shared" si="74"/>
        <v>0.519615242270659</v>
      </c>
      <c r="T157" s="110"/>
      <c r="U157" s="110"/>
      <c r="V157" s="110"/>
      <c r="W157" s="110"/>
      <c r="X157" s="110"/>
      <c r="Y157" s="110"/>
      <c r="Z157" s="48">
        <v>0.54630000000000001</v>
      </c>
      <c r="AA157" s="48">
        <v>0.52329999999999999</v>
      </c>
      <c r="AB157" s="48">
        <v>7.0376000000000003</v>
      </c>
      <c r="AC157" s="48">
        <v>7.4169999999999998</v>
      </c>
      <c r="AD157" s="48">
        <f t="shared" si="76"/>
        <v>7.5839</v>
      </c>
      <c r="AE157" s="48">
        <f t="shared" si="77"/>
        <v>7.9403</v>
      </c>
      <c r="AF157" s="49" t="s">
        <v>167</v>
      </c>
      <c r="AG157" s="49" t="s">
        <v>168</v>
      </c>
      <c r="AH157" s="49">
        <v>1</v>
      </c>
      <c r="AI157" s="49" t="s">
        <v>137</v>
      </c>
      <c r="AJ157" s="2"/>
    </row>
    <row r="158" spans="1:36">
      <c r="A158" s="49">
        <v>6</v>
      </c>
      <c r="B158" s="49" t="s">
        <v>166</v>
      </c>
      <c r="C158" s="49">
        <v>0.75</v>
      </c>
      <c r="D158" s="49">
        <v>-0.1</v>
      </c>
      <c r="E158" s="49">
        <v>0.35</v>
      </c>
      <c r="F158" s="48">
        <v>0.75039999999999996</v>
      </c>
      <c r="G158" s="48">
        <v>0.75</v>
      </c>
      <c r="H158" s="48">
        <v>-0.1016</v>
      </c>
      <c r="I158" s="48">
        <v>-9.9500000000000005E-2</v>
      </c>
      <c r="J158" s="48">
        <v>0.4002</v>
      </c>
      <c r="K158" s="48">
        <v>0.34949999999999998</v>
      </c>
      <c r="L158" s="48">
        <f t="shared" si="67"/>
        <v>0.399999999999956</v>
      </c>
      <c r="M158" s="48">
        <f t="shared" si="68"/>
        <v>0</v>
      </c>
      <c r="N158" s="48">
        <f t="shared" si="69"/>
        <v>1.59999999999999</v>
      </c>
      <c r="O158" s="48">
        <f t="shared" si="70"/>
        <v>0.5</v>
      </c>
      <c r="P158" s="48">
        <f t="shared" si="71"/>
        <v>50.2</v>
      </c>
      <c r="Q158" s="48">
        <f t="shared" si="72"/>
        <v>0.5</v>
      </c>
      <c r="R158" s="48">
        <f t="shared" si="73"/>
        <v>50.227084327084</v>
      </c>
      <c r="S158" s="48">
        <f t="shared" si="74"/>
        <v>0.707106781186548</v>
      </c>
      <c r="T158" s="110"/>
      <c r="U158" s="110"/>
      <c r="V158" s="110"/>
      <c r="W158" s="110"/>
      <c r="X158" s="110"/>
      <c r="Y158" s="110"/>
      <c r="Z158" s="48">
        <v>0.54149999999999998</v>
      </c>
      <c r="AA158" s="48">
        <v>0.65380000000000005</v>
      </c>
      <c r="AB158" s="48">
        <v>7.0617000000000001</v>
      </c>
      <c r="AC158" s="48">
        <v>8.1279000000000003</v>
      </c>
      <c r="AD158" s="48">
        <f t="shared" si="76"/>
        <v>7.6032</v>
      </c>
      <c r="AE158" s="48">
        <f t="shared" si="77"/>
        <v>8.7817</v>
      </c>
      <c r="AF158" s="49" t="s">
        <v>167</v>
      </c>
      <c r="AG158" s="49" t="s">
        <v>168</v>
      </c>
      <c r="AH158" s="49">
        <v>1</v>
      </c>
      <c r="AI158" s="49" t="s">
        <v>137</v>
      </c>
      <c r="AJ158" s="2"/>
    </row>
    <row r="159" spans="1:36">
      <c r="A159" s="49">
        <v>6</v>
      </c>
      <c r="B159" s="49" t="s">
        <v>169</v>
      </c>
      <c r="C159" s="49">
        <v>0.5</v>
      </c>
      <c r="D159" s="49">
        <v>0.3</v>
      </c>
      <c r="E159" s="49">
        <v>0.42</v>
      </c>
      <c r="F159" s="48">
        <v>0.50109999999999999</v>
      </c>
      <c r="G159" s="48">
        <v>0.50009999999999999</v>
      </c>
      <c r="H159" s="48">
        <v>0.29959999999999998</v>
      </c>
      <c r="I159" s="48">
        <v>0.2999</v>
      </c>
      <c r="J159" s="48">
        <v>0.47039999999999998</v>
      </c>
      <c r="K159" s="48">
        <v>0.42020000000000002</v>
      </c>
      <c r="L159" s="48">
        <f t="shared" si="67"/>
        <v>1.09999999999999</v>
      </c>
      <c r="M159" s="48">
        <f t="shared" si="68"/>
        <v>0.099999999999989</v>
      </c>
      <c r="N159" s="48">
        <f t="shared" si="69"/>
        <v>0.400000000000011</v>
      </c>
      <c r="O159" s="48">
        <f t="shared" si="70"/>
        <v>0.099999999999989</v>
      </c>
      <c r="P159" s="48">
        <f t="shared" si="71"/>
        <v>50.4</v>
      </c>
      <c r="Q159" s="48">
        <f t="shared" si="72"/>
        <v>0.200000000000033</v>
      </c>
      <c r="R159" s="48">
        <f t="shared" si="73"/>
        <v>50.4135894377697</v>
      </c>
      <c r="S159" s="48">
        <f t="shared" si="74"/>
        <v>0.244948974278336</v>
      </c>
      <c r="T159" s="110"/>
      <c r="U159" s="110"/>
      <c r="V159" s="110"/>
      <c r="W159" s="110"/>
      <c r="X159" s="110"/>
      <c r="Y159" s="110"/>
      <c r="Z159" s="48">
        <v>0.54620000000000002</v>
      </c>
      <c r="AA159" s="48">
        <v>0.63890000000000002</v>
      </c>
      <c r="AB159" s="48">
        <v>7.0376000000000003</v>
      </c>
      <c r="AC159" s="48">
        <v>7.3856000000000002</v>
      </c>
      <c r="AD159" s="48">
        <f t="shared" si="76"/>
        <v>7.5838</v>
      </c>
      <c r="AE159" s="48">
        <f t="shared" si="77"/>
        <v>8.0245</v>
      </c>
      <c r="AF159" s="49" t="s">
        <v>167</v>
      </c>
      <c r="AG159" s="49" t="s">
        <v>168</v>
      </c>
      <c r="AH159" s="49">
        <v>1</v>
      </c>
      <c r="AI159" s="49" t="s">
        <v>137</v>
      </c>
      <c r="AJ159" s="2"/>
    </row>
    <row r="160" spans="1:36">
      <c r="A160" s="49">
        <v>7</v>
      </c>
      <c r="B160" s="49" t="s">
        <v>166</v>
      </c>
      <c r="C160" s="49">
        <v>0.75</v>
      </c>
      <c r="D160" s="49">
        <v>-0.1</v>
      </c>
      <c r="E160" s="49">
        <v>0.35</v>
      </c>
      <c r="F160" s="48">
        <v>0.74929999999999997</v>
      </c>
      <c r="G160" s="48">
        <v>0.75049999999999994</v>
      </c>
      <c r="H160" s="48">
        <v>-0.10050000000000001</v>
      </c>
      <c r="I160" s="48">
        <v>-0.10050000000000001</v>
      </c>
      <c r="J160" s="48">
        <v>0.4</v>
      </c>
      <c r="K160" s="48">
        <v>0.34960000000000002</v>
      </c>
      <c r="L160" s="48">
        <f t="shared" si="67"/>
        <v>0.700000000000034</v>
      </c>
      <c r="M160" s="48">
        <f t="shared" si="68"/>
        <v>0.499999999999945</v>
      </c>
      <c r="N160" s="48">
        <f t="shared" si="69"/>
        <v>0.5</v>
      </c>
      <c r="O160" s="48">
        <f t="shared" si="70"/>
        <v>0.5</v>
      </c>
      <c r="P160" s="48">
        <f t="shared" si="71"/>
        <v>50</v>
      </c>
      <c r="Q160" s="48">
        <f t="shared" si="72"/>
        <v>0.399999999999956</v>
      </c>
      <c r="R160" s="48">
        <f t="shared" si="73"/>
        <v>50.0073994524811</v>
      </c>
      <c r="S160" s="48">
        <f t="shared" si="74"/>
        <v>0.812403840463541</v>
      </c>
      <c r="T160" s="110"/>
      <c r="U160" s="110"/>
      <c r="V160" s="110"/>
      <c r="W160" s="110"/>
      <c r="X160" s="110"/>
      <c r="Y160" s="110"/>
      <c r="Z160" s="48">
        <v>0.64319999999999999</v>
      </c>
      <c r="AA160" s="48">
        <v>0.57169999999999999</v>
      </c>
      <c r="AB160" s="48">
        <v>7.0488</v>
      </c>
      <c r="AC160" s="48">
        <v>8.7288999999999994</v>
      </c>
      <c r="AD160" s="48">
        <f t="shared" si="76"/>
        <v>7.692</v>
      </c>
      <c r="AE160" s="48">
        <f t="shared" si="77"/>
        <v>9.3006</v>
      </c>
      <c r="AF160" s="49" t="s">
        <v>167</v>
      </c>
      <c r="AG160" s="49" t="s">
        <v>168</v>
      </c>
      <c r="AH160" s="49">
        <v>1</v>
      </c>
      <c r="AI160" s="49" t="s">
        <v>137</v>
      </c>
      <c r="AJ160" s="2"/>
    </row>
    <row r="161" spans="1:36">
      <c r="A161" s="49">
        <v>7</v>
      </c>
      <c r="B161" s="49" t="s">
        <v>169</v>
      </c>
      <c r="C161" s="49">
        <v>0.5</v>
      </c>
      <c r="D161" s="49">
        <v>0.3</v>
      </c>
      <c r="E161" s="49">
        <v>0.42</v>
      </c>
      <c r="F161" s="48">
        <v>0.50019999999999998</v>
      </c>
      <c r="G161" s="48">
        <v>0.50049999999999994</v>
      </c>
      <c r="H161" s="48">
        <v>0.3</v>
      </c>
      <c r="I161" s="48">
        <v>0.3</v>
      </c>
      <c r="J161" s="48">
        <v>0.4708</v>
      </c>
      <c r="K161" s="48">
        <v>0.4204</v>
      </c>
      <c r="L161" s="48">
        <f t="shared" si="67"/>
        <v>0.199999999999978</v>
      </c>
      <c r="M161" s="48">
        <f t="shared" si="68"/>
        <v>0.499999999999945</v>
      </c>
      <c r="N161" s="48">
        <f t="shared" si="69"/>
        <v>0</v>
      </c>
      <c r="O161" s="48">
        <f t="shared" si="70"/>
        <v>0</v>
      </c>
      <c r="P161" s="48">
        <f t="shared" si="71"/>
        <v>50.8</v>
      </c>
      <c r="Q161" s="48">
        <f t="shared" si="72"/>
        <v>0.400000000000011</v>
      </c>
      <c r="R161" s="48">
        <f t="shared" si="73"/>
        <v>50.8003936992618</v>
      </c>
      <c r="S161" s="48">
        <f t="shared" si="74"/>
        <v>0.640312423743249</v>
      </c>
      <c r="T161" s="110"/>
      <c r="U161" s="110"/>
      <c r="V161" s="110"/>
      <c r="W161" s="110"/>
      <c r="X161" s="110"/>
      <c r="Y161" s="110"/>
      <c r="Z161" s="48">
        <v>0.54620000000000002</v>
      </c>
      <c r="AA161" s="48">
        <v>0.58089999999999997</v>
      </c>
      <c r="AB161" s="48">
        <v>7.0631000000000004</v>
      </c>
      <c r="AC161" s="48">
        <v>9.2643000000000004</v>
      </c>
      <c r="AD161" s="48">
        <f t="shared" si="76"/>
        <v>7.6093</v>
      </c>
      <c r="AE161" s="48">
        <f t="shared" si="77"/>
        <v>9.8452</v>
      </c>
      <c r="AF161" s="49" t="s">
        <v>167</v>
      </c>
      <c r="AG161" s="49" t="s">
        <v>168</v>
      </c>
      <c r="AH161" s="49">
        <v>1</v>
      </c>
      <c r="AI161" s="49" t="s">
        <v>137</v>
      </c>
      <c r="AJ161" s="2"/>
    </row>
    <row r="162" spans="1:36">
      <c r="A162" s="49">
        <v>8</v>
      </c>
      <c r="B162" s="49" t="s">
        <v>166</v>
      </c>
      <c r="C162" s="49">
        <v>0.75</v>
      </c>
      <c r="D162" s="49">
        <v>-0.1</v>
      </c>
      <c r="E162" s="49">
        <v>0.35</v>
      </c>
      <c r="F162" s="48">
        <v>0.749</v>
      </c>
      <c r="G162" s="48">
        <v>0.75029999999999997</v>
      </c>
      <c r="H162" s="48">
        <v>-0.1004</v>
      </c>
      <c r="I162" s="48">
        <v>-0.1004</v>
      </c>
      <c r="J162" s="48">
        <v>0.4002</v>
      </c>
      <c r="K162" s="48">
        <v>0.3508</v>
      </c>
      <c r="L162" s="48">
        <f t="shared" si="67"/>
        <v>1</v>
      </c>
      <c r="M162" s="48">
        <f t="shared" si="68"/>
        <v>0.299999999999967</v>
      </c>
      <c r="N162" s="48">
        <f t="shared" si="69"/>
        <v>0.399999999999998</v>
      </c>
      <c r="O162" s="48">
        <f t="shared" si="70"/>
        <v>0.399999999999998</v>
      </c>
      <c r="P162" s="48">
        <f t="shared" si="71"/>
        <v>50.2</v>
      </c>
      <c r="Q162" s="48">
        <f t="shared" si="72"/>
        <v>0.800000000000023</v>
      </c>
      <c r="R162" s="48">
        <f t="shared" si="73"/>
        <v>50.2115524555854</v>
      </c>
      <c r="S162" s="48">
        <f t="shared" si="74"/>
        <v>0.943398113205668</v>
      </c>
      <c r="T162" s="110"/>
      <c r="U162" s="110"/>
      <c r="V162" s="110"/>
      <c r="W162" s="110"/>
      <c r="X162" s="110"/>
      <c r="Y162" s="110"/>
      <c r="Z162" s="48">
        <v>0.54749999999999999</v>
      </c>
      <c r="AA162" s="48">
        <v>0.53069999999999995</v>
      </c>
      <c r="AB162" s="48">
        <v>7.0335999999999999</v>
      </c>
      <c r="AC162" s="48">
        <v>8.1701999999999995</v>
      </c>
      <c r="AD162" s="48">
        <f t="shared" si="76"/>
        <v>7.5811</v>
      </c>
      <c r="AE162" s="48">
        <f t="shared" si="77"/>
        <v>8.7009</v>
      </c>
      <c r="AF162" s="49" t="s">
        <v>167</v>
      </c>
      <c r="AG162" s="49" t="s">
        <v>168</v>
      </c>
      <c r="AH162" s="49">
        <v>1</v>
      </c>
      <c r="AI162" s="49" t="s">
        <v>137</v>
      </c>
      <c r="AJ162" s="2"/>
    </row>
    <row r="163" spans="1:36">
      <c r="A163" s="49">
        <v>8</v>
      </c>
      <c r="B163" s="49" t="s">
        <v>169</v>
      </c>
      <c r="C163" s="49">
        <v>0.5</v>
      </c>
      <c r="D163" s="49">
        <v>0.3</v>
      </c>
      <c r="E163" s="49">
        <v>0.42</v>
      </c>
      <c r="F163" s="48">
        <v>0.5</v>
      </c>
      <c r="G163" s="48">
        <v>0.5</v>
      </c>
      <c r="H163" s="48">
        <v>0.29949999999999999</v>
      </c>
      <c r="I163" s="48">
        <v>0.29970000000000002</v>
      </c>
      <c r="J163" s="48">
        <v>0.4698</v>
      </c>
      <c r="K163" s="48">
        <v>0.42020000000000002</v>
      </c>
      <c r="L163" s="48">
        <f t="shared" si="67"/>
        <v>0</v>
      </c>
      <c r="M163" s="48">
        <f t="shared" si="68"/>
        <v>0</v>
      </c>
      <c r="N163" s="48">
        <f t="shared" si="69"/>
        <v>0.5</v>
      </c>
      <c r="O163" s="48">
        <f t="shared" si="70"/>
        <v>0.299999999999967</v>
      </c>
      <c r="P163" s="48">
        <f t="shared" si="71"/>
        <v>49.8</v>
      </c>
      <c r="Q163" s="48">
        <f t="shared" si="72"/>
        <v>0.200000000000033</v>
      </c>
      <c r="R163" s="48">
        <f t="shared" si="73"/>
        <v>49.8025099769078</v>
      </c>
      <c r="S163" s="48">
        <f t="shared" si="74"/>
        <v>0.36055512754639</v>
      </c>
      <c r="T163" s="110"/>
      <c r="U163" s="110"/>
      <c r="V163" s="110"/>
      <c r="W163" s="110"/>
      <c r="X163" s="110"/>
      <c r="Y163" s="110"/>
      <c r="Z163" s="48">
        <v>0.5323</v>
      </c>
      <c r="AA163" s="48">
        <v>0.52749999999999997</v>
      </c>
      <c r="AB163" s="48">
        <v>7.0490000000000004</v>
      </c>
      <c r="AC163" s="48">
        <v>7.4286000000000003</v>
      </c>
      <c r="AD163" s="48">
        <f t="shared" si="76"/>
        <v>7.5813</v>
      </c>
      <c r="AE163" s="48">
        <f t="shared" si="77"/>
        <v>7.9561</v>
      </c>
      <c r="AF163" s="49" t="s">
        <v>167</v>
      </c>
      <c r="AG163" s="49" t="s">
        <v>168</v>
      </c>
      <c r="AH163" s="49">
        <v>1</v>
      </c>
      <c r="AI163" s="49" t="s">
        <v>137</v>
      </c>
      <c r="AJ163" s="2"/>
    </row>
    <row r="164" spans="1:36">
      <c r="A164" s="49">
        <v>9</v>
      </c>
      <c r="B164" s="49" t="s">
        <v>166</v>
      </c>
      <c r="C164" s="49">
        <v>0.75</v>
      </c>
      <c r="D164" s="49">
        <v>-0.1</v>
      </c>
      <c r="E164" s="49">
        <v>0.35</v>
      </c>
      <c r="F164" s="48">
        <v>0.75080000000000002</v>
      </c>
      <c r="G164" s="48">
        <v>0.75019999999999998</v>
      </c>
      <c r="H164" s="48">
        <v>-0.1003</v>
      </c>
      <c r="I164" s="48">
        <v>-9.9199999999999997E-2</v>
      </c>
      <c r="J164" s="48">
        <v>0.40129999999999999</v>
      </c>
      <c r="K164" s="48">
        <v>0.34939999999999999</v>
      </c>
      <c r="L164" s="48">
        <f t="shared" si="67"/>
        <v>0.800000000000023</v>
      </c>
      <c r="M164" s="48">
        <f t="shared" si="68"/>
        <v>0.199999999999978</v>
      </c>
      <c r="N164" s="48">
        <f t="shared" si="69"/>
        <v>0.299999999999995</v>
      </c>
      <c r="O164" s="48">
        <f t="shared" si="70"/>
        <v>0.800000000000009</v>
      </c>
      <c r="P164" s="48">
        <f t="shared" si="71"/>
        <v>51.3</v>
      </c>
      <c r="Q164" s="48">
        <f t="shared" si="72"/>
        <v>0.599999999999989</v>
      </c>
      <c r="R164" s="48">
        <f t="shared" si="73"/>
        <v>51.3071145164099</v>
      </c>
      <c r="S164" s="48">
        <f t="shared" si="74"/>
        <v>1.01980390271855</v>
      </c>
      <c r="T164" s="110"/>
      <c r="U164" s="110"/>
      <c r="V164" s="110"/>
      <c r="W164" s="110"/>
      <c r="X164" s="110"/>
      <c r="Y164" s="110"/>
      <c r="Z164" s="48">
        <v>0.55500000000000005</v>
      </c>
      <c r="AA164" s="48">
        <v>0.53779999999999994</v>
      </c>
      <c r="AB164" s="48">
        <v>7.0534999999999997</v>
      </c>
      <c r="AC164" s="48">
        <v>8.1402999999999999</v>
      </c>
      <c r="AD164" s="48">
        <f t="shared" si="76"/>
        <v>7.6085</v>
      </c>
      <c r="AE164" s="48">
        <f t="shared" si="77"/>
        <v>8.6781</v>
      </c>
      <c r="AF164" s="49" t="s">
        <v>167</v>
      </c>
      <c r="AG164" s="49" t="s">
        <v>168</v>
      </c>
      <c r="AH164" s="49">
        <v>1</v>
      </c>
      <c r="AI164" s="49" t="s">
        <v>137</v>
      </c>
      <c r="AJ164" s="2"/>
    </row>
    <row r="165" spans="1:36">
      <c r="A165" s="49">
        <v>9</v>
      </c>
      <c r="B165" s="49" t="s">
        <v>169</v>
      </c>
      <c r="C165" s="49">
        <v>0.5</v>
      </c>
      <c r="D165" s="49">
        <v>0.3</v>
      </c>
      <c r="E165" s="49">
        <v>0.42</v>
      </c>
      <c r="F165" s="48">
        <v>0.49959999999999999</v>
      </c>
      <c r="G165" s="48">
        <v>0.4995</v>
      </c>
      <c r="H165" s="48">
        <v>0.2999</v>
      </c>
      <c r="I165" s="48">
        <v>0.30030000000000001</v>
      </c>
      <c r="J165" s="48">
        <v>0.4708</v>
      </c>
      <c r="K165" s="48">
        <v>0.41980000000000001</v>
      </c>
      <c r="L165" s="48">
        <f t="shared" si="67"/>
        <v>0.400000000000011</v>
      </c>
      <c r="M165" s="48">
        <f t="shared" si="68"/>
        <v>0.5</v>
      </c>
      <c r="N165" s="48">
        <f t="shared" si="69"/>
        <v>0.099999999999989</v>
      </c>
      <c r="O165" s="48">
        <f t="shared" si="70"/>
        <v>0.300000000000022</v>
      </c>
      <c r="P165" s="48">
        <f t="shared" si="71"/>
        <v>50.8</v>
      </c>
      <c r="Q165" s="48">
        <f t="shared" si="72"/>
        <v>0.199999999999978</v>
      </c>
      <c r="R165" s="48">
        <f t="shared" si="73"/>
        <v>50.8016732007913</v>
      </c>
      <c r="S165" s="48">
        <f t="shared" si="74"/>
        <v>0.616441400296902</v>
      </c>
      <c r="T165" s="110"/>
      <c r="U165" s="110"/>
      <c r="V165" s="110"/>
      <c r="W165" s="110"/>
      <c r="X165" s="110"/>
      <c r="Y165" s="110"/>
      <c r="Z165" s="48">
        <v>0.5534</v>
      </c>
      <c r="AA165" s="48">
        <v>0.52710000000000001</v>
      </c>
      <c r="AB165" s="48">
        <v>7.0559000000000003</v>
      </c>
      <c r="AC165" s="48">
        <v>7.4246999999999996</v>
      </c>
      <c r="AD165" s="48">
        <f t="shared" si="76"/>
        <v>7.6093</v>
      </c>
      <c r="AE165" s="48">
        <f t="shared" si="77"/>
        <v>7.9518</v>
      </c>
      <c r="AF165" s="49" t="s">
        <v>167</v>
      </c>
      <c r="AG165" s="49" t="s">
        <v>168</v>
      </c>
      <c r="AH165" s="49">
        <v>1</v>
      </c>
      <c r="AI165" s="49" t="s">
        <v>137</v>
      </c>
      <c r="AJ165" s="2"/>
    </row>
    <row r="166" spans="1:36">
      <c r="A166" s="49">
        <v>10</v>
      </c>
      <c r="B166" s="49" t="s">
        <v>166</v>
      </c>
      <c r="C166" s="49">
        <v>0.75</v>
      </c>
      <c r="D166" s="49">
        <v>-0.1</v>
      </c>
      <c r="E166" s="49">
        <v>0.35</v>
      </c>
      <c r="F166" s="48">
        <v>0.75039999999999996</v>
      </c>
      <c r="G166" s="48">
        <v>0.74939999999999996</v>
      </c>
      <c r="H166" s="48">
        <v>-0.10050000000000001</v>
      </c>
      <c r="I166" s="48">
        <v>-0.1004</v>
      </c>
      <c r="J166" s="48">
        <v>0.2989</v>
      </c>
      <c r="K166" s="48">
        <v>0.35060000000000002</v>
      </c>
      <c r="L166" s="48">
        <f t="shared" si="67"/>
        <v>0.399999999999956</v>
      </c>
      <c r="M166" s="48">
        <f t="shared" si="68"/>
        <v>0.600000000000045</v>
      </c>
      <c r="N166" s="48">
        <f t="shared" si="69"/>
        <v>0.5</v>
      </c>
      <c r="O166" s="48">
        <f t="shared" si="70"/>
        <v>0.399999999999998</v>
      </c>
      <c r="P166" s="48">
        <f t="shared" si="71"/>
        <v>51.1</v>
      </c>
      <c r="Q166" s="48">
        <f t="shared" si="72"/>
        <v>0.600000000000045</v>
      </c>
      <c r="R166" s="48">
        <f t="shared" si="73"/>
        <v>51.1040115842191</v>
      </c>
      <c r="S166" s="48">
        <f t="shared" si="74"/>
        <v>0.938083151964742</v>
      </c>
      <c r="T166" s="110"/>
      <c r="U166" s="110"/>
      <c r="V166" s="110"/>
      <c r="W166" s="110"/>
      <c r="X166" s="110"/>
      <c r="Y166" s="110"/>
      <c r="Z166" s="48">
        <v>0.54679999999999995</v>
      </c>
      <c r="AA166" s="48">
        <v>0.45090000000000002</v>
      </c>
      <c r="AB166" s="48">
        <v>7.0523999999999996</v>
      </c>
      <c r="AC166" s="48">
        <v>8.7285000000000004</v>
      </c>
      <c r="AD166" s="48">
        <f t="shared" si="76"/>
        <v>7.5992</v>
      </c>
      <c r="AE166" s="48">
        <f t="shared" si="77"/>
        <v>9.1794</v>
      </c>
      <c r="AF166" s="49" t="s">
        <v>167</v>
      </c>
      <c r="AG166" s="49" t="s">
        <v>168</v>
      </c>
      <c r="AH166" s="49">
        <v>1</v>
      </c>
      <c r="AI166" s="49" t="s">
        <v>137</v>
      </c>
      <c r="AJ166" s="2"/>
    </row>
    <row r="167" spans="1:36">
      <c r="A167" s="49">
        <v>10</v>
      </c>
      <c r="B167" s="49" t="s">
        <v>169</v>
      </c>
      <c r="C167" s="49">
        <v>0.5</v>
      </c>
      <c r="D167" s="49">
        <v>0.3</v>
      </c>
      <c r="E167" s="49">
        <v>0.42</v>
      </c>
      <c r="F167" s="48">
        <v>0.5</v>
      </c>
      <c r="G167" s="48">
        <v>0.50060000000000004</v>
      </c>
      <c r="H167" s="48">
        <v>0.30049999999999999</v>
      </c>
      <c r="I167" s="48">
        <v>0.29980000000000001</v>
      </c>
      <c r="J167" s="48">
        <v>0.46939999999999998</v>
      </c>
      <c r="K167" s="48">
        <v>0.42059999999999997</v>
      </c>
      <c r="L167" s="48">
        <f t="shared" si="67"/>
        <v>0</v>
      </c>
      <c r="M167" s="48">
        <f t="shared" si="68"/>
        <v>0.600000000000045</v>
      </c>
      <c r="N167" s="48">
        <f t="shared" si="69"/>
        <v>0.5</v>
      </c>
      <c r="O167" s="48">
        <f t="shared" si="70"/>
        <v>0.199999999999978</v>
      </c>
      <c r="P167" s="48">
        <f t="shared" si="71"/>
        <v>49.4</v>
      </c>
      <c r="Q167" s="48">
        <f t="shared" si="72"/>
        <v>0.599999999999989</v>
      </c>
      <c r="R167" s="48">
        <f t="shared" si="73"/>
        <v>49.4025302995707</v>
      </c>
      <c r="S167" s="48">
        <f t="shared" si="74"/>
        <v>0.871779788708153</v>
      </c>
      <c r="T167" s="111"/>
      <c r="U167" s="111"/>
      <c r="V167" s="111"/>
      <c r="W167" s="111"/>
      <c r="X167" s="111"/>
      <c r="Y167" s="111"/>
      <c r="Z167" s="48">
        <v>0.53400000000000003</v>
      </c>
      <c r="AA167" s="48">
        <v>0.47749999999999998</v>
      </c>
      <c r="AB167" s="48">
        <v>7.0454999999999997</v>
      </c>
      <c r="AC167" s="48">
        <v>10.3405</v>
      </c>
      <c r="AD167" s="48">
        <f t="shared" si="76"/>
        <v>7.5795</v>
      </c>
      <c r="AE167" s="48">
        <f t="shared" si="77"/>
        <v>10.818</v>
      </c>
      <c r="AF167" s="49" t="s">
        <v>167</v>
      </c>
      <c r="AG167" s="49" t="s">
        <v>168</v>
      </c>
      <c r="AH167" s="49">
        <v>1</v>
      </c>
      <c r="AI167" s="49" t="s">
        <v>137</v>
      </c>
      <c r="AJ167" s="2"/>
    </row>
    <row r="168" spans="1:36" ht="18.3" customHeight="1">
      <c r="A168" s="104" t="s">
        <v>170</v>
      </c>
      <c r="B168" s="105"/>
      <c r="C168" s="105"/>
      <c r="D168" s="105"/>
      <c r="E168" s="106"/>
      <c r="F168" s="108">
        <f>AVERAGE(F148:F167)-AVERAGE(G148:G167)</f>
        <v>-4.49999999999617e-05</v>
      </c>
      <c r="G168" s="106"/>
      <c r="H168" s="108">
        <f>AVERAGE(H148:H167)-AVERAGE(I148:I167)</f>
        <v>-9.00000000000067e-05</v>
      </c>
      <c r="I168" s="106"/>
      <c r="J168" s="108">
        <f>AVERAGE(J148:J167)-AVERAGE(K148:K167)</f>
        <v>0.0452199999999999</v>
      </c>
      <c r="K168" s="106"/>
      <c r="L168" s="108">
        <f>AVERAGE(L148:L167)-AVERAGE(M148:M167)</f>
        <v>0.0150000000000039</v>
      </c>
      <c r="M168" s="106"/>
      <c r="N168" s="108">
        <f>AVERAGE(N148:N167)-AVERAGE(O148:O167)</f>
        <v>0.13</v>
      </c>
      <c r="O168" s="106"/>
      <c r="P168" s="108">
        <f>AVERAGE(P148:P167)-AVERAGE(Q148:Q167)</f>
        <v>49.97</v>
      </c>
      <c r="Q168" s="106"/>
      <c r="R168" s="108">
        <f>AVERAGE(R148:R167)-AVERAGE(S148:S167)</f>
        <v>49.6204280327375</v>
      </c>
      <c r="S168" s="106"/>
      <c r="T168" s="108">
        <f>AVERAGE(T148:T167)-AVERAGE(U148:U167)</f>
        <v>-0.000138291018103726</v>
      </c>
      <c r="U168" s="106"/>
      <c r="V168" s="108">
        <f>AVERAGE(V148:V167)-AVERAGE(W148:W167)</f>
        <v>7.22415463836057e-05</v>
      </c>
      <c r="W168" s="106"/>
      <c r="X168" s="108">
        <f>AVERAGE(X148:X167)-AVERAGE(Y148:Y167)</f>
        <v>0.0106537237924753</v>
      </c>
      <c r="Y168" s="106"/>
      <c r="Z168" s="108">
        <f>AVERAGE(AA148:AA167)-AVERAGE(Z148:Z167)</f>
        <v>-0.00387000000000004</v>
      </c>
      <c r="AA168" s="106"/>
      <c r="AB168" s="108">
        <f>AVERAGE(AC148:AC167)-AVERAGE(AB148:AB167)</f>
        <v>0.875550000000001</v>
      </c>
      <c r="AC168" s="106"/>
      <c r="AD168" s="108">
        <f>AVERAGE(AE148:AE167)-AVERAGE(AD148:AD167)</f>
        <v>0.87168</v>
      </c>
      <c r="AE168" s="106"/>
      <c r="AF168" s="117"/>
      <c r="AG168" s="105"/>
      <c r="AH168" s="105"/>
      <c r="AI168" s="106"/>
      <c r="AJ168" s="2"/>
    </row>
    <row r="169" spans="1:36">
      <c r="A169" s="112" t="s">
        <v>177</v>
      </c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6"/>
      <c r="AJ169" s="2"/>
    </row>
    <row r="170" spans="1:36" s="2" customFormat="1" ht="16.350000000000001" customHeight="1">
      <c r="A170" s="107" t="s">
        <v>126</v>
      </c>
      <c r="B170" s="107" t="s">
        <v>143</v>
      </c>
      <c r="C170" s="107" t="s">
        <v>144</v>
      </c>
      <c r="D170" s="107" t="s">
        <v>145</v>
      </c>
      <c r="E170" s="107" t="s">
        <v>146</v>
      </c>
      <c r="F170" s="107" t="s">
        <v>147</v>
      </c>
      <c r="G170" s="106"/>
      <c r="H170" s="107" t="s">
        <v>148</v>
      </c>
      <c r="I170" s="106"/>
      <c r="J170" s="107" t="s">
        <v>149</v>
      </c>
      <c r="K170" s="106"/>
      <c r="L170" s="114" t="s">
        <v>150</v>
      </c>
      <c r="M170" s="106"/>
      <c r="N170" s="114" t="s">
        <v>151</v>
      </c>
      <c r="O170" s="106"/>
      <c r="P170" s="114" t="s">
        <v>152</v>
      </c>
      <c r="Q170" s="106"/>
      <c r="R170" s="107" t="s">
        <v>153</v>
      </c>
      <c r="S170" s="106"/>
      <c r="T170" s="107" t="s">
        <v>154</v>
      </c>
      <c r="U170" s="106"/>
      <c r="V170" s="107" t="s">
        <v>155</v>
      </c>
      <c r="W170" s="106"/>
      <c r="X170" s="107" t="s">
        <v>156</v>
      </c>
      <c r="Y170" s="106"/>
      <c r="Z170" s="107" t="s">
        <v>157</v>
      </c>
      <c r="AA170" s="106"/>
      <c r="AB170" s="107" t="s">
        <v>158</v>
      </c>
      <c r="AC170" s="106"/>
      <c r="AD170" s="107" t="s">
        <v>159</v>
      </c>
      <c r="AE170" s="106"/>
      <c r="AF170" s="107" t="s">
        <v>160</v>
      </c>
      <c r="AG170" s="107" t="s">
        <v>161</v>
      </c>
      <c r="AH170" s="107" t="s">
        <v>162</v>
      </c>
      <c r="AI170" s="107" t="s">
        <v>163</v>
      </c>
    </row>
    <row r="171" spans="1:36" s="2" customFormat="1" ht="16.350000000000001" customHeight="1">
      <c r="A171" s="111"/>
      <c r="B171" s="111"/>
      <c r="C171" s="111"/>
      <c r="D171" s="111"/>
      <c r="E171" s="111"/>
      <c r="F171" s="47" t="s">
        <v>164</v>
      </c>
      <c r="G171" s="72" t="s">
        <v>165</v>
      </c>
      <c r="H171" s="47" t="s">
        <v>164</v>
      </c>
      <c r="I171" s="72" t="s">
        <v>165</v>
      </c>
      <c r="J171" s="47" t="s">
        <v>164</v>
      </c>
      <c r="K171" s="72" t="s">
        <v>165</v>
      </c>
      <c r="L171" s="47" t="s">
        <v>164</v>
      </c>
      <c r="M171" s="72" t="s">
        <v>165</v>
      </c>
      <c r="N171" s="47" t="s">
        <v>164</v>
      </c>
      <c r="O171" s="72" t="s">
        <v>165</v>
      </c>
      <c r="P171" s="47" t="s">
        <v>164</v>
      </c>
      <c r="Q171" s="72" t="s">
        <v>165</v>
      </c>
      <c r="R171" s="47" t="s">
        <v>164</v>
      </c>
      <c r="S171" s="72" t="s">
        <v>165</v>
      </c>
      <c r="T171" s="47" t="s">
        <v>164</v>
      </c>
      <c r="U171" s="72" t="s">
        <v>165</v>
      </c>
      <c r="V171" s="47" t="s">
        <v>164</v>
      </c>
      <c r="W171" s="72" t="s">
        <v>165</v>
      </c>
      <c r="X171" s="47" t="s">
        <v>164</v>
      </c>
      <c r="Y171" s="72" t="s">
        <v>165</v>
      </c>
      <c r="Z171" s="72" t="s">
        <v>165</v>
      </c>
      <c r="AA171" s="47" t="s">
        <v>164</v>
      </c>
      <c r="AB171" s="72" t="s">
        <v>165</v>
      </c>
      <c r="AC171" s="47" t="s">
        <v>164</v>
      </c>
      <c r="AD171" s="72" t="s">
        <v>165</v>
      </c>
      <c r="AE171" s="47" t="s">
        <v>164</v>
      </c>
      <c r="AF171" s="111"/>
      <c r="AG171" s="111"/>
      <c r="AH171" s="111"/>
      <c r="AI171" s="111"/>
    </row>
    <row r="172" spans="1:36">
      <c r="A172" s="49">
        <v>1</v>
      </c>
      <c r="B172" s="49" t="s">
        <v>166</v>
      </c>
      <c r="C172" s="49">
        <v>0.55000000000000004</v>
      </c>
      <c r="D172" s="49">
        <v>0.3</v>
      </c>
      <c r="E172" s="49">
        <v>0.35</v>
      </c>
      <c r="F172" s="48">
        <v>0.55000000000000004</v>
      </c>
      <c r="G172" s="48">
        <v>0.55020000000000002</v>
      </c>
      <c r="H172" s="48">
        <v>0.29980000000000001</v>
      </c>
      <c r="I172" s="48">
        <v>0.30030000000000001</v>
      </c>
      <c r="J172" s="48">
        <v>0.40089999999999998</v>
      </c>
      <c r="K172" s="48">
        <v>0.35</v>
      </c>
      <c r="L172" s="48">
        <f t="shared" ref="L172:L191" si="78">ABS(F172-C172)*1000</f>
        <v>0</v>
      </c>
      <c r="M172" s="48">
        <f t="shared" ref="M172:M191" si="79">ABS(G172-C172)*1000</f>
        <v>0.199999999999978</v>
      </c>
      <c r="N172" s="48">
        <f t="shared" ref="N172:N191" si="80">ABS(H172-D172)*1000</f>
        <v>0.199999999999978</v>
      </c>
      <c r="O172" s="48">
        <f t="shared" ref="O172:O191" si="81">ABS(I172-D172)*1000</f>
        <v>0.300000000000022</v>
      </c>
      <c r="P172" s="48">
        <f t="shared" ref="P172:P191" si="82">ABS(J172-E172)*1000</f>
        <v>50.9</v>
      </c>
      <c r="Q172" s="48">
        <f t="shared" ref="Q172:Q191" si="83">ABS(K172-E172)*1000</f>
        <v>0</v>
      </c>
      <c r="R172" s="48">
        <f t="shared" ref="R172:R191" si="84">SQRT(SUMSQ(L172,N172,P172))</f>
        <v>50.9003929257918</v>
      </c>
      <c r="S172" s="48">
        <f t="shared" ref="S172:S191" si="85">SQRT(SUMSQ(M172,O172,Q172))</f>
        <v>0.360555127546405</v>
      </c>
      <c r="T172" s="109">
        <f t="shared" ref="T172:Y172" si="86">_xlfn.STDEV.S(F172:F191)</f>
        <v>0.102675971026895</v>
      </c>
      <c r="U172" s="109">
        <f t="shared" si="86"/>
        <v>0.102624053172118</v>
      </c>
      <c r="V172" s="109">
        <f t="shared" si="86"/>
        <v>0.282175540922201</v>
      </c>
      <c r="W172" s="109">
        <f t="shared" si="86"/>
        <v>0.28205203607248</v>
      </c>
      <c r="X172" s="109">
        <f t="shared" si="86"/>
        <v>0.0359732561480711</v>
      </c>
      <c r="Y172" s="109">
        <f t="shared" si="86"/>
        <v>0.0359469825247068</v>
      </c>
      <c r="Z172" s="48">
        <v>0.57340000000000002</v>
      </c>
      <c r="AA172" s="48">
        <v>0.53820000000000001</v>
      </c>
      <c r="AB172" s="48">
        <v>7.0427</v>
      </c>
      <c r="AC172" s="48">
        <v>8.3099000000000007</v>
      </c>
      <c r="AD172" s="48">
        <f t="shared" ref="AD172:AD191" si="87">AB172+Z172</f>
        <v>7.6161</v>
      </c>
      <c r="AE172" s="48">
        <f t="shared" ref="AE172:AE191" si="88">AC172+AA172</f>
        <v>8.8481</v>
      </c>
      <c r="AF172" s="49" t="s">
        <v>167</v>
      </c>
      <c r="AG172" s="49" t="s">
        <v>168</v>
      </c>
      <c r="AH172" s="49">
        <v>1</v>
      </c>
      <c r="AI172" s="49" t="s">
        <v>137</v>
      </c>
      <c r="AJ172" s="2"/>
    </row>
    <row r="173" spans="1:36">
      <c r="A173" s="49">
        <v>1</v>
      </c>
      <c r="B173" s="49" t="s">
        <v>169</v>
      </c>
      <c r="C173" s="49">
        <v>0.75</v>
      </c>
      <c r="D173" s="49">
        <v>-0.25</v>
      </c>
      <c r="E173" s="49">
        <v>0.42</v>
      </c>
      <c r="F173" s="48">
        <v>0.74939999999999996</v>
      </c>
      <c r="G173" s="48">
        <v>0.75009999999999999</v>
      </c>
      <c r="H173" s="48">
        <v>-0.24990000000000001</v>
      </c>
      <c r="I173" s="48">
        <v>-0.25040000000000001</v>
      </c>
      <c r="J173" s="48">
        <v>0.4708</v>
      </c>
      <c r="K173" s="48">
        <v>0.42059999999999997</v>
      </c>
      <c r="L173" s="48">
        <f t="shared" si="78"/>
        <v>0.600000000000045</v>
      </c>
      <c r="M173" s="48">
        <f t="shared" si="79"/>
        <v>0.099999999999989</v>
      </c>
      <c r="N173" s="48">
        <f t="shared" si="80"/>
        <v>0.099999999999989</v>
      </c>
      <c r="O173" s="48">
        <f t="shared" si="81"/>
        <v>0.400000000000011</v>
      </c>
      <c r="P173" s="48">
        <f t="shared" si="82"/>
        <v>50.8</v>
      </c>
      <c r="Q173" s="48">
        <f t="shared" si="83"/>
        <v>0.599999999999989</v>
      </c>
      <c r="R173" s="48">
        <f t="shared" si="84"/>
        <v>50.8036416017592</v>
      </c>
      <c r="S173" s="48">
        <f t="shared" si="85"/>
        <v>0.728010988928048</v>
      </c>
      <c r="T173" s="110"/>
      <c r="U173" s="110"/>
      <c r="V173" s="110"/>
      <c r="W173" s="110"/>
      <c r="X173" s="110"/>
      <c r="Y173" s="110"/>
      <c r="Z173" s="48">
        <v>0.54</v>
      </c>
      <c r="AA173" s="48">
        <v>0.52790000000000004</v>
      </c>
      <c r="AB173" s="48">
        <v>7.0423999999999998</v>
      </c>
      <c r="AC173" s="48">
        <v>7.5774999999999997</v>
      </c>
      <c r="AD173" s="48">
        <f t="shared" si="87"/>
        <v>7.5824</v>
      </c>
      <c r="AE173" s="48">
        <f t="shared" si="88"/>
        <v>8.1054</v>
      </c>
      <c r="AF173" s="49" t="s">
        <v>167</v>
      </c>
      <c r="AG173" s="49" t="s">
        <v>168</v>
      </c>
      <c r="AH173" s="49">
        <v>1</v>
      </c>
      <c r="AI173" s="49" t="s">
        <v>137</v>
      </c>
      <c r="AJ173" s="2"/>
    </row>
    <row r="174" spans="1:36">
      <c r="A174" s="49">
        <v>2</v>
      </c>
      <c r="B174" s="49" t="s">
        <v>166</v>
      </c>
      <c r="C174" s="49">
        <v>0.55000000000000004</v>
      </c>
      <c r="D174" s="49">
        <v>0.3</v>
      </c>
      <c r="E174" s="49">
        <v>0.35</v>
      </c>
      <c r="F174" s="48">
        <v>0.55010000000000003</v>
      </c>
      <c r="G174" s="48">
        <v>0.54969999999999997</v>
      </c>
      <c r="H174" s="48">
        <v>0.29970000000000002</v>
      </c>
      <c r="I174" s="48">
        <v>0.3</v>
      </c>
      <c r="J174" s="48">
        <v>0.4</v>
      </c>
      <c r="K174" s="48">
        <v>0.3503</v>
      </c>
      <c r="L174" s="48">
        <f t="shared" si="78"/>
        <v>0.099999999999989</v>
      </c>
      <c r="M174" s="48">
        <f t="shared" si="79"/>
        <v>0.300000000000078</v>
      </c>
      <c r="N174" s="48">
        <f t="shared" si="80"/>
        <v>0.299999999999967</v>
      </c>
      <c r="O174" s="48">
        <f t="shared" si="81"/>
        <v>0</v>
      </c>
      <c r="P174" s="48">
        <f t="shared" si="82"/>
        <v>50</v>
      </c>
      <c r="Q174" s="48">
        <f t="shared" si="83"/>
        <v>0.300000000000022</v>
      </c>
      <c r="R174" s="48">
        <f t="shared" si="84"/>
        <v>50.0009999900002</v>
      </c>
      <c r="S174" s="48">
        <f t="shared" si="85"/>
        <v>0.424264068712</v>
      </c>
      <c r="T174" s="110"/>
      <c r="U174" s="110"/>
      <c r="V174" s="110"/>
      <c r="W174" s="110"/>
      <c r="X174" s="110"/>
      <c r="Y174" s="110"/>
      <c r="Z174" s="48">
        <v>0.5474</v>
      </c>
      <c r="AA174" s="48">
        <v>0.53839999999999999</v>
      </c>
      <c r="AB174" s="48">
        <v>7.0759999999999996</v>
      </c>
      <c r="AC174" s="48">
        <v>8.3082999999999991</v>
      </c>
      <c r="AD174" s="48">
        <f t="shared" si="87"/>
        <v>7.6234</v>
      </c>
      <c r="AE174" s="48">
        <f t="shared" si="88"/>
        <v>8.8467</v>
      </c>
      <c r="AF174" s="49" t="s">
        <v>167</v>
      </c>
      <c r="AG174" s="49" t="s">
        <v>168</v>
      </c>
      <c r="AH174" s="49">
        <v>1</v>
      </c>
      <c r="AI174" s="49" t="s">
        <v>137</v>
      </c>
      <c r="AJ174" s="2"/>
    </row>
    <row r="175" spans="1:36">
      <c r="A175" s="49">
        <v>2</v>
      </c>
      <c r="B175" s="49" t="s">
        <v>169</v>
      </c>
      <c r="C175" s="49">
        <v>0.75</v>
      </c>
      <c r="D175" s="49">
        <v>-0.25</v>
      </c>
      <c r="E175" s="49">
        <v>0.42</v>
      </c>
      <c r="F175" s="48">
        <v>0.75080000000000002</v>
      </c>
      <c r="G175" s="48">
        <v>0.75019999999999998</v>
      </c>
      <c r="H175" s="48">
        <v>-0.2495</v>
      </c>
      <c r="I175" s="48">
        <v>-0.24909999999999999</v>
      </c>
      <c r="J175" s="48">
        <v>0.47020000000000001</v>
      </c>
      <c r="K175" s="48">
        <v>0.42020000000000002</v>
      </c>
      <c r="L175" s="48">
        <f t="shared" si="78"/>
        <v>0.800000000000023</v>
      </c>
      <c r="M175" s="48">
        <f t="shared" si="79"/>
        <v>0.199999999999978</v>
      </c>
      <c r="N175" s="48">
        <f t="shared" si="80"/>
        <v>0.5</v>
      </c>
      <c r="O175" s="48">
        <f t="shared" si="81"/>
        <v>0.900000000000012</v>
      </c>
      <c r="P175" s="48">
        <f t="shared" si="82"/>
        <v>50.2</v>
      </c>
      <c r="Q175" s="48">
        <f t="shared" si="83"/>
        <v>0.200000000000033</v>
      </c>
      <c r="R175" s="48">
        <f t="shared" si="84"/>
        <v>50.2088637593005</v>
      </c>
      <c r="S175" s="48">
        <f t="shared" si="85"/>
        <v>0.943398113205674</v>
      </c>
      <c r="T175" s="110"/>
      <c r="U175" s="110"/>
      <c r="V175" s="110"/>
      <c r="W175" s="110"/>
      <c r="X175" s="110"/>
      <c r="Y175" s="110"/>
      <c r="Z175" s="48">
        <v>0.43980000000000002</v>
      </c>
      <c r="AA175" s="48">
        <v>0.62309999999999999</v>
      </c>
      <c r="AB175" s="48">
        <v>6.1035000000000004</v>
      </c>
      <c r="AC175" s="48">
        <v>7.4745999999999997</v>
      </c>
      <c r="AD175" s="48">
        <f t="shared" si="87"/>
        <v>6.5433</v>
      </c>
      <c r="AE175" s="48">
        <f t="shared" si="88"/>
        <v>8.0977</v>
      </c>
      <c r="AF175" s="49" t="s">
        <v>167</v>
      </c>
      <c r="AG175" s="49" t="s">
        <v>168</v>
      </c>
      <c r="AH175" s="49">
        <v>1</v>
      </c>
      <c r="AI175" s="49" t="s">
        <v>137</v>
      </c>
      <c r="AJ175" s="2"/>
    </row>
    <row r="176" spans="1:36">
      <c r="A176" s="49">
        <v>3</v>
      </c>
      <c r="B176" s="49" t="s">
        <v>166</v>
      </c>
      <c r="C176" s="49">
        <v>0.55000000000000004</v>
      </c>
      <c r="D176" s="49">
        <v>0.3</v>
      </c>
      <c r="E176" s="49">
        <v>0.35</v>
      </c>
      <c r="F176" s="48">
        <v>0.5504</v>
      </c>
      <c r="G176" s="48">
        <v>0.54979999999999996</v>
      </c>
      <c r="H176" s="48">
        <v>0.29959999999999998</v>
      </c>
      <c r="I176" s="48">
        <v>0.30020000000000002</v>
      </c>
      <c r="J176" s="48">
        <v>0.39960000000000001</v>
      </c>
      <c r="K176" s="48">
        <v>0.35089999999999999</v>
      </c>
      <c r="L176" s="48">
        <f t="shared" si="78"/>
        <v>0.399999999999956</v>
      </c>
      <c r="M176" s="48">
        <f t="shared" si="79"/>
        <v>0.200000000000089</v>
      </c>
      <c r="N176" s="48">
        <f t="shared" si="80"/>
        <v>0.400000000000011</v>
      </c>
      <c r="O176" s="48">
        <f t="shared" si="81"/>
        <v>0.200000000000033</v>
      </c>
      <c r="P176" s="48">
        <f t="shared" si="82"/>
        <v>49.6</v>
      </c>
      <c r="Q176" s="48">
        <f t="shared" si="83"/>
        <v>0.900000000000012</v>
      </c>
      <c r="R176" s="48">
        <f t="shared" si="84"/>
        <v>49.603225701561</v>
      </c>
      <c r="S176" s="48">
        <f t="shared" si="85"/>
        <v>0.943398113205698</v>
      </c>
      <c r="T176" s="110"/>
      <c r="U176" s="110"/>
      <c r="V176" s="110"/>
      <c r="W176" s="110"/>
      <c r="X176" s="110"/>
      <c r="Y176" s="110"/>
      <c r="Z176" s="48">
        <v>0.53720000000000001</v>
      </c>
      <c r="AA176" s="48">
        <v>0.66710000000000003</v>
      </c>
      <c r="AB176" s="48">
        <v>6.1269</v>
      </c>
      <c r="AC176" s="48">
        <v>9.9909999999999997</v>
      </c>
      <c r="AD176" s="48">
        <f t="shared" si="87"/>
        <v>6.6641</v>
      </c>
      <c r="AE176" s="48">
        <f t="shared" si="88"/>
        <v>10.6581</v>
      </c>
      <c r="AF176" s="49" t="s">
        <v>167</v>
      </c>
      <c r="AG176" s="49" t="s">
        <v>168</v>
      </c>
      <c r="AH176" s="49">
        <v>1</v>
      </c>
      <c r="AI176" s="49" t="s">
        <v>137</v>
      </c>
      <c r="AJ176" s="2"/>
    </row>
    <row r="177" spans="1:36">
      <c r="A177" s="49">
        <v>3</v>
      </c>
      <c r="B177" s="49" t="s">
        <v>169</v>
      </c>
      <c r="C177" s="49">
        <v>0.75</v>
      </c>
      <c r="D177" s="49">
        <v>-0.25</v>
      </c>
      <c r="E177" s="49">
        <v>0.42</v>
      </c>
      <c r="F177" s="48">
        <v>0.75019999999999998</v>
      </c>
      <c r="G177" s="48">
        <v>0.75070000000000003</v>
      </c>
      <c r="H177" s="48">
        <v>-0.25040000000000001</v>
      </c>
      <c r="I177" s="48">
        <v>-0.2505</v>
      </c>
      <c r="J177" s="48">
        <v>0.47020000000000001</v>
      </c>
      <c r="K177" s="48">
        <v>0.41980000000000001</v>
      </c>
      <c r="L177" s="48">
        <f t="shared" si="78"/>
        <v>0.199999999999978</v>
      </c>
      <c r="M177" s="48">
        <f t="shared" si="79"/>
        <v>0.700000000000034</v>
      </c>
      <c r="N177" s="48">
        <f t="shared" si="80"/>
        <v>0.400000000000011</v>
      </c>
      <c r="O177" s="48">
        <f t="shared" si="81"/>
        <v>0.5</v>
      </c>
      <c r="P177" s="48">
        <f t="shared" si="82"/>
        <v>50.2</v>
      </c>
      <c r="Q177" s="48">
        <f t="shared" si="83"/>
        <v>0.199999999999978</v>
      </c>
      <c r="R177" s="48">
        <f t="shared" si="84"/>
        <v>50.2019919923503</v>
      </c>
      <c r="S177" s="48">
        <f t="shared" si="85"/>
        <v>0.883176086632807</v>
      </c>
      <c r="T177" s="110"/>
      <c r="U177" s="110"/>
      <c r="V177" s="110"/>
      <c r="W177" s="110"/>
      <c r="X177" s="110"/>
      <c r="Y177" s="110"/>
      <c r="Z177" s="48">
        <v>0.53090000000000004</v>
      </c>
      <c r="AA177" s="48">
        <v>0.53280000000000005</v>
      </c>
      <c r="AB177" s="48">
        <v>7.0523999999999996</v>
      </c>
      <c r="AC177" s="48">
        <v>7.4836</v>
      </c>
      <c r="AD177" s="48">
        <f t="shared" si="87"/>
        <v>7.5833</v>
      </c>
      <c r="AE177" s="48">
        <f t="shared" si="88"/>
        <v>8.0164</v>
      </c>
      <c r="AF177" s="49" t="s">
        <v>167</v>
      </c>
      <c r="AG177" s="49" t="s">
        <v>168</v>
      </c>
      <c r="AH177" s="49">
        <v>1</v>
      </c>
      <c r="AI177" s="49" t="s">
        <v>137</v>
      </c>
      <c r="AJ177" s="2"/>
    </row>
    <row r="178" spans="1:36">
      <c r="A178" s="49">
        <v>4</v>
      </c>
      <c r="B178" s="49" t="s">
        <v>166</v>
      </c>
      <c r="C178" s="49">
        <v>0.55000000000000004</v>
      </c>
      <c r="D178" s="49">
        <v>0.3</v>
      </c>
      <c r="E178" s="49">
        <v>0.35</v>
      </c>
      <c r="F178" s="48">
        <v>0.54990000000000006</v>
      </c>
      <c r="G178" s="48">
        <v>0.5504</v>
      </c>
      <c r="H178" s="48">
        <v>0.29930000000000001</v>
      </c>
      <c r="I178" s="48">
        <v>0.29970000000000002</v>
      </c>
      <c r="J178" s="48">
        <v>0.40050000000000002</v>
      </c>
      <c r="K178" s="48">
        <v>0.35020000000000001</v>
      </c>
      <c r="L178" s="48">
        <f t="shared" si="78"/>
        <v>0.099999999999989</v>
      </c>
      <c r="M178" s="48">
        <f t="shared" si="79"/>
        <v>0.399999999999956</v>
      </c>
      <c r="N178" s="48">
        <f t="shared" si="80"/>
        <v>0.699999999999978</v>
      </c>
      <c r="O178" s="48">
        <f t="shared" si="81"/>
        <v>0.299999999999967</v>
      </c>
      <c r="P178" s="48">
        <f t="shared" si="82"/>
        <v>50.5</v>
      </c>
      <c r="Q178" s="48">
        <f t="shared" si="83"/>
        <v>0.200000000000033</v>
      </c>
      <c r="R178" s="48">
        <f t="shared" si="84"/>
        <v>50.5049502524258</v>
      </c>
      <c r="S178" s="48">
        <f t="shared" si="85"/>
        <v>0.538516480713412</v>
      </c>
      <c r="T178" s="110"/>
      <c r="U178" s="110"/>
      <c r="V178" s="110"/>
      <c r="W178" s="110"/>
      <c r="X178" s="110"/>
      <c r="Y178" s="110"/>
      <c r="Z178" s="48">
        <v>0.55779999999999996</v>
      </c>
      <c r="AA178" s="48">
        <v>0.55200000000000005</v>
      </c>
      <c r="AB178" s="48">
        <v>6.0732999999999997</v>
      </c>
      <c r="AC178" s="48">
        <v>9.9138000000000002</v>
      </c>
      <c r="AD178" s="48">
        <f t="shared" si="87"/>
        <v>6.6311</v>
      </c>
      <c r="AE178" s="48">
        <f t="shared" si="88"/>
        <v>10.4658</v>
      </c>
      <c r="AF178" s="49" t="s">
        <v>167</v>
      </c>
      <c r="AG178" s="49" t="s">
        <v>168</v>
      </c>
      <c r="AH178" s="49">
        <v>1</v>
      </c>
      <c r="AI178" s="49" t="s">
        <v>137</v>
      </c>
      <c r="AJ178" s="2"/>
    </row>
    <row r="179" spans="1:36">
      <c r="A179" s="49">
        <v>4</v>
      </c>
      <c r="B179" s="49" t="s">
        <v>169</v>
      </c>
      <c r="C179" s="49">
        <v>0.75</v>
      </c>
      <c r="D179" s="49">
        <v>-0.25</v>
      </c>
      <c r="E179" s="49">
        <v>0.42</v>
      </c>
      <c r="F179" s="48">
        <v>0.75009999999999999</v>
      </c>
      <c r="G179" s="48">
        <v>0.74980000000000002</v>
      </c>
      <c r="H179" s="48">
        <v>-0.2505</v>
      </c>
      <c r="I179" s="48">
        <v>-0.25069999999999998</v>
      </c>
      <c r="J179" s="48">
        <v>0.47020000000000001</v>
      </c>
      <c r="K179" s="48">
        <v>0.4204</v>
      </c>
      <c r="L179" s="48">
        <f t="shared" si="78"/>
        <v>0.099999999999989</v>
      </c>
      <c r="M179" s="48">
        <f t="shared" si="79"/>
        <v>0.199999999999978</v>
      </c>
      <c r="N179" s="48">
        <f t="shared" si="80"/>
        <v>0.5</v>
      </c>
      <c r="O179" s="48">
        <f t="shared" si="81"/>
        <v>0.699999999999978</v>
      </c>
      <c r="P179" s="48">
        <f t="shared" si="82"/>
        <v>50.2</v>
      </c>
      <c r="Q179" s="48">
        <f t="shared" si="83"/>
        <v>0.400000000000011</v>
      </c>
      <c r="R179" s="48">
        <f t="shared" si="84"/>
        <v>50.2025895746425</v>
      </c>
      <c r="S179" s="48">
        <f t="shared" si="85"/>
        <v>0.83066238629179</v>
      </c>
      <c r="T179" s="110"/>
      <c r="U179" s="110"/>
      <c r="V179" s="110"/>
      <c r="W179" s="110"/>
      <c r="X179" s="110"/>
      <c r="Y179" s="110"/>
      <c r="Z179" s="48">
        <v>0.22589999999999999</v>
      </c>
      <c r="AA179" s="48">
        <v>0.53939999999999999</v>
      </c>
      <c r="AB179" s="48">
        <v>7.048</v>
      </c>
      <c r="AC179" s="48">
        <v>7.4653999999999998</v>
      </c>
      <c r="AD179" s="48">
        <f t="shared" si="87"/>
        <v>7.2739</v>
      </c>
      <c r="AE179" s="48">
        <f t="shared" si="88"/>
        <v>8.0048</v>
      </c>
      <c r="AF179" s="49" t="s">
        <v>167</v>
      </c>
      <c r="AG179" s="49" t="s">
        <v>168</v>
      </c>
      <c r="AH179" s="49">
        <v>1</v>
      </c>
      <c r="AI179" s="49" t="s">
        <v>137</v>
      </c>
      <c r="AJ179" s="2"/>
    </row>
    <row r="180" spans="1:36">
      <c r="A180" s="49">
        <v>5</v>
      </c>
      <c r="B180" s="49" t="s">
        <v>166</v>
      </c>
      <c r="C180" s="49">
        <v>0.55000000000000004</v>
      </c>
      <c r="D180" s="49">
        <v>0.3</v>
      </c>
      <c r="E180" s="49">
        <v>0.35</v>
      </c>
      <c r="F180" s="48">
        <v>0.54959999999999998</v>
      </c>
      <c r="G180" s="48">
        <v>0.55049999999999999</v>
      </c>
      <c r="H180" s="48">
        <v>0.29870000000000002</v>
      </c>
      <c r="I180" s="48">
        <v>0.2994</v>
      </c>
      <c r="J180" s="48">
        <v>0.39989999999999998</v>
      </c>
      <c r="K180" s="48">
        <v>0.3498</v>
      </c>
      <c r="L180" s="48">
        <f t="shared" si="78"/>
        <v>0.400000000000067</v>
      </c>
      <c r="M180" s="48">
        <f t="shared" si="79"/>
        <v>0.499999999999945</v>
      </c>
      <c r="N180" s="48">
        <f t="shared" si="80"/>
        <v>1.29999999999997</v>
      </c>
      <c r="O180" s="48">
        <f t="shared" si="81"/>
        <v>0.599999999999989</v>
      </c>
      <c r="P180" s="48">
        <f t="shared" si="82"/>
        <v>49.9</v>
      </c>
      <c r="Q180" s="48">
        <f t="shared" si="83"/>
        <v>0.199999999999978</v>
      </c>
      <c r="R180" s="48">
        <f t="shared" si="84"/>
        <v>49.9185336323094</v>
      </c>
      <c r="S180" s="48">
        <f t="shared" si="85"/>
        <v>0.806225774829808</v>
      </c>
      <c r="T180" s="110"/>
      <c r="U180" s="110"/>
      <c r="V180" s="110"/>
      <c r="W180" s="110"/>
      <c r="X180" s="110"/>
      <c r="Y180" s="110"/>
      <c r="Z180" s="48">
        <v>0.44330000000000003</v>
      </c>
      <c r="AA180" s="48">
        <v>0.53539999999999999</v>
      </c>
      <c r="AB180" s="48">
        <v>7.0724999999999998</v>
      </c>
      <c r="AC180" s="48">
        <v>8.8361999999999998</v>
      </c>
      <c r="AD180" s="48">
        <f t="shared" si="87"/>
        <v>7.5158</v>
      </c>
      <c r="AE180" s="48">
        <f t="shared" si="88"/>
        <v>9.3716</v>
      </c>
      <c r="AF180" s="49" t="s">
        <v>167</v>
      </c>
      <c r="AG180" s="49" t="s">
        <v>168</v>
      </c>
      <c r="AH180" s="49">
        <v>1</v>
      </c>
      <c r="AI180" s="49" t="s">
        <v>137</v>
      </c>
      <c r="AJ180" s="2"/>
    </row>
    <row r="181" spans="1:36">
      <c r="A181" s="49">
        <v>5</v>
      </c>
      <c r="B181" s="49" t="s">
        <v>169</v>
      </c>
      <c r="C181" s="49">
        <v>0.75</v>
      </c>
      <c r="D181" s="49">
        <v>-0.25</v>
      </c>
      <c r="E181" s="49">
        <v>0.42</v>
      </c>
      <c r="F181" s="48">
        <v>0.74950000000000006</v>
      </c>
      <c r="G181" s="48">
        <v>0.75029999999999997</v>
      </c>
      <c r="H181" s="48">
        <v>-0.24940000000000001</v>
      </c>
      <c r="I181" s="48">
        <v>-0.2495</v>
      </c>
      <c r="J181" s="48">
        <v>0.4698</v>
      </c>
      <c r="K181" s="48">
        <v>0.42020000000000002</v>
      </c>
      <c r="L181" s="48">
        <f t="shared" si="78"/>
        <v>0.499999999999945</v>
      </c>
      <c r="M181" s="48">
        <f t="shared" si="79"/>
        <v>0.299999999999967</v>
      </c>
      <c r="N181" s="48">
        <f t="shared" si="80"/>
        <v>0.599999999999989</v>
      </c>
      <c r="O181" s="48">
        <f t="shared" si="81"/>
        <v>0.5</v>
      </c>
      <c r="P181" s="48">
        <f t="shared" si="82"/>
        <v>49.8</v>
      </c>
      <c r="Q181" s="48">
        <f t="shared" si="83"/>
        <v>0.200000000000033</v>
      </c>
      <c r="R181" s="48">
        <f t="shared" si="84"/>
        <v>49.8061241214371</v>
      </c>
      <c r="S181" s="48">
        <f t="shared" si="85"/>
        <v>0.616441400296893</v>
      </c>
      <c r="T181" s="110"/>
      <c r="U181" s="110"/>
      <c r="V181" s="110"/>
      <c r="W181" s="110"/>
      <c r="X181" s="110"/>
      <c r="Y181" s="110"/>
      <c r="Z181" s="48">
        <v>0.54679999999999995</v>
      </c>
      <c r="AA181" s="48">
        <v>0.54579999999999995</v>
      </c>
      <c r="AB181" s="48">
        <v>7.0416999999999996</v>
      </c>
      <c r="AC181" s="48">
        <v>7.5305999999999997</v>
      </c>
      <c r="AD181" s="48">
        <f t="shared" si="87"/>
        <v>7.5885</v>
      </c>
      <c r="AE181" s="48">
        <f t="shared" si="88"/>
        <v>8.0764</v>
      </c>
      <c r="AF181" s="49" t="s">
        <v>167</v>
      </c>
      <c r="AG181" s="49" t="s">
        <v>168</v>
      </c>
      <c r="AH181" s="49">
        <v>1</v>
      </c>
      <c r="AI181" s="49" t="s">
        <v>137</v>
      </c>
      <c r="AJ181" s="2"/>
    </row>
    <row r="182" spans="1:36">
      <c r="A182" s="49">
        <v>6</v>
      </c>
      <c r="B182" s="49" t="s">
        <v>166</v>
      </c>
      <c r="C182" s="49">
        <v>0.55000000000000004</v>
      </c>
      <c r="D182" s="49">
        <v>0.3</v>
      </c>
      <c r="E182" s="49">
        <v>0.35</v>
      </c>
      <c r="F182" s="48">
        <v>0.55069999999999997</v>
      </c>
      <c r="G182" s="48">
        <v>0.55020000000000002</v>
      </c>
      <c r="H182" s="48">
        <v>0.2994</v>
      </c>
      <c r="I182" s="48">
        <v>0.29930000000000001</v>
      </c>
      <c r="J182" s="48">
        <v>0.40050000000000002</v>
      </c>
      <c r="K182" s="48">
        <v>0.3498</v>
      </c>
      <c r="L182" s="48">
        <f t="shared" si="78"/>
        <v>0.699999999999923</v>
      </c>
      <c r="M182" s="48">
        <f t="shared" si="79"/>
        <v>0.199999999999978</v>
      </c>
      <c r="N182" s="48">
        <f t="shared" si="80"/>
        <v>0.599999999999989</v>
      </c>
      <c r="O182" s="48">
        <f t="shared" si="81"/>
        <v>0.699999999999978</v>
      </c>
      <c r="P182" s="48">
        <f t="shared" si="82"/>
        <v>50.5</v>
      </c>
      <c r="Q182" s="48">
        <f t="shared" si="83"/>
        <v>0.199999999999978</v>
      </c>
      <c r="R182" s="48">
        <f t="shared" si="84"/>
        <v>50.5084151404497</v>
      </c>
      <c r="S182" s="48">
        <f t="shared" si="85"/>
        <v>0.754983443527043</v>
      </c>
      <c r="T182" s="110"/>
      <c r="U182" s="110"/>
      <c r="V182" s="110"/>
      <c r="W182" s="110"/>
      <c r="X182" s="110"/>
      <c r="Y182" s="110"/>
      <c r="Z182" s="48">
        <v>0.54590000000000005</v>
      </c>
      <c r="AA182" s="48">
        <v>0.5554</v>
      </c>
      <c r="AB182" s="48">
        <v>7.0564</v>
      </c>
      <c r="AC182" s="48">
        <v>9.3757999999999999</v>
      </c>
      <c r="AD182" s="48">
        <f t="shared" si="87"/>
        <v>7.6023</v>
      </c>
      <c r="AE182" s="48">
        <f t="shared" si="88"/>
        <v>9.9312</v>
      </c>
      <c r="AF182" s="49" t="s">
        <v>167</v>
      </c>
      <c r="AG182" s="49" t="s">
        <v>168</v>
      </c>
      <c r="AH182" s="49">
        <v>1</v>
      </c>
      <c r="AI182" s="49" t="s">
        <v>137</v>
      </c>
      <c r="AJ182" s="2"/>
    </row>
    <row r="183" spans="1:36">
      <c r="A183" s="49">
        <v>6</v>
      </c>
      <c r="B183" s="49" t="s">
        <v>169</v>
      </c>
      <c r="C183" s="49">
        <v>0.75</v>
      </c>
      <c r="D183" s="49">
        <v>-0.25</v>
      </c>
      <c r="E183" s="49">
        <v>0.42</v>
      </c>
      <c r="F183" s="48">
        <v>0.74990000000000001</v>
      </c>
      <c r="G183" s="48">
        <v>0.75009999999999999</v>
      </c>
      <c r="H183" s="48">
        <v>-0.25009999999999999</v>
      </c>
      <c r="I183" s="48">
        <v>-0.25</v>
      </c>
      <c r="J183" s="48">
        <v>0.46989999999999998</v>
      </c>
      <c r="K183" s="48">
        <v>0.41959999999999997</v>
      </c>
      <c r="L183" s="48">
        <f t="shared" si="78"/>
        <v>0.099999999999989</v>
      </c>
      <c r="M183" s="48">
        <f t="shared" si="79"/>
        <v>0.099999999999989</v>
      </c>
      <c r="N183" s="48">
        <f t="shared" si="80"/>
        <v>0.099999999999989</v>
      </c>
      <c r="O183" s="48">
        <f t="shared" si="81"/>
        <v>0</v>
      </c>
      <c r="P183" s="48">
        <f t="shared" si="82"/>
        <v>49.9</v>
      </c>
      <c r="Q183" s="48">
        <f t="shared" si="83"/>
        <v>0.400000000000011</v>
      </c>
      <c r="R183" s="48">
        <f t="shared" si="84"/>
        <v>49.9002004003992</v>
      </c>
      <c r="S183" s="48">
        <f t="shared" si="85"/>
        <v>0.412310562561775</v>
      </c>
      <c r="T183" s="110"/>
      <c r="U183" s="110"/>
      <c r="V183" s="110"/>
      <c r="W183" s="110"/>
      <c r="X183" s="110"/>
      <c r="Y183" s="110"/>
      <c r="Z183" s="48">
        <v>0.54139999999999999</v>
      </c>
      <c r="AA183" s="48">
        <v>0.63229999999999997</v>
      </c>
      <c r="AB183" s="48">
        <v>7.0357000000000003</v>
      </c>
      <c r="AC183" s="48">
        <v>7.4778000000000002</v>
      </c>
      <c r="AD183" s="48">
        <f t="shared" si="87"/>
        <v>7.5771</v>
      </c>
      <c r="AE183" s="48">
        <f t="shared" si="88"/>
        <v>8.1101</v>
      </c>
      <c r="AF183" s="49" t="s">
        <v>167</v>
      </c>
      <c r="AG183" s="49" t="s">
        <v>168</v>
      </c>
      <c r="AH183" s="49">
        <v>1</v>
      </c>
      <c r="AI183" s="49" t="s">
        <v>137</v>
      </c>
      <c r="AJ183" s="2"/>
    </row>
    <row r="184" spans="1:36">
      <c r="A184" s="49">
        <v>7</v>
      </c>
      <c r="B184" s="49" t="s">
        <v>166</v>
      </c>
      <c r="C184" s="49">
        <v>0.55000000000000004</v>
      </c>
      <c r="D184" s="49">
        <v>0.3</v>
      </c>
      <c r="E184" s="49">
        <v>0.35</v>
      </c>
      <c r="F184" s="48">
        <v>0.54959999999999998</v>
      </c>
      <c r="G184" s="48">
        <v>0.54979999999999996</v>
      </c>
      <c r="H184" s="48">
        <v>0.29970000000000002</v>
      </c>
      <c r="I184" s="48">
        <v>0.3004</v>
      </c>
      <c r="J184" s="48">
        <v>0.3997</v>
      </c>
      <c r="K184" s="48">
        <v>0.35049999999999998</v>
      </c>
      <c r="L184" s="48">
        <f t="shared" si="78"/>
        <v>0.400000000000067</v>
      </c>
      <c r="M184" s="48">
        <f t="shared" si="79"/>
        <v>0.200000000000089</v>
      </c>
      <c r="N184" s="48">
        <f t="shared" si="80"/>
        <v>0.299999999999967</v>
      </c>
      <c r="O184" s="48">
        <f t="shared" si="81"/>
        <v>0.400000000000011</v>
      </c>
      <c r="P184" s="48">
        <f t="shared" si="82"/>
        <v>49.7</v>
      </c>
      <c r="Q184" s="48">
        <f t="shared" si="83"/>
        <v>0.5</v>
      </c>
      <c r="R184" s="48">
        <f t="shared" si="84"/>
        <v>49.7025150269079</v>
      </c>
      <c r="S184" s="48">
        <f t="shared" si="85"/>
        <v>0.670820393249971</v>
      </c>
      <c r="T184" s="110"/>
      <c r="U184" s="110"/>
      <c r="V184" s="110"/>
      <c r="W184" s="110"/>
      <c r="X184" s="110"/>
      <c r="Y184" s="110"/>
      <c r="Z184" s="48">
        <v>0.57130000000000003</v>
      </c>
      <c r="AA184" s="48">
        <v>0.54159999999999997</v>
      </c>
      <c r="AB184" s="48">
        <v>7.0663999999999998</v>
      </c>
      <c r="AC184" s="48">
        <v>8.8758999999999997</v>
      </c>
      <c r="AD184" s="48">
        <f t="shared" si="87"/>
        <v>7.6377</v>
      </c>
      <c r="AE184" s="48">
        <f t="shared" si="88"/>
        <v>9.4175</v>
      </c>
      <c r="AF184" s="49" t="s">
        <v>167</v>
      </c>
      <c r="AG184" s="49" t="s">
        <v>168</v>
      </c>
      <c r="AH184" s="49">
        <v>1</v>
      </c>
      <c r="AI184" s="49" t="s">
        <v>137</v>
      </c>
      <c r="AJ184" s="2"/>
    </row>
    <row r="185" spans="1:36">
      <c r="A185" s="49">
        <v>7</v>
      </c>
      <c r="B185" s="49" t="s">
        <v>169</v>
      </c>
      <c r="C185" s="49">
        <v>0.75</v>
      </c>
      <c r="D185" s="49">
        <v>-0.25</v>
      </c>
      <c r="E185" s="49">
        <v>0.42</v>
      </c>
      <c r="F185" s="48">
        <v>0.75049999999999994</v>
      </c>
      <c r="G185" s="48">
        <v>0.75009999999999999</v>
      </c>
      <c r="H185" s="48">
        <v>-0.25109999999999999</v>
      </c>
      <c r="I185" s="48">
        <v>-0.2495</v>
      </c>
      <c r="J185" s="48">
        <v>0.47010000000000002</v>
      </c>
      <c r="K185" s="48">
        <v>0.42020000000000002</v>
      </c>
      <c r="L185" s="48">
        <f t="shared" si="78"/>
        <v>0.499999999999945</v>
      </c>
      <c r="M185" s="48">
        <f t="shared" si="79"/>
        <v>0.099999999999989</v>
      </c>
      <c r="N185" s="48">
        <f t="shared" si="80"/>
        <v>1.09999999999999</v>
      </c>
      <c r="O185" s="48">
        <f t="shared" si="81"/>
        <v>0.5</v>
      </c>
      <c r="P185" s="48">
        <f t="shared" si="82"/>
        <v>50.1</v>
      </c>
      <c r="Q185" s="48">
        <f t="shared" si="83"/>
        <v>0.200000000000033</v>
      </c>
      <c r="R185" s="48">
        <f t="shared" si="84"/>
        <v>50.1145687400381</v>
      </c>
      <c r="S185" s="48">
        <f t="shared" si="85"/>
        <v>0.547722557505177</v>
      </c>
      <c r="T185" s="110"/>
      <c r="U185" s="110"/>
      <c r="V185" s="110"/>
      <c r="W185" s="110"/>
      <c r="X185" s="110"/>
      <c r="Y185" s="110"/>
      <c r="Z185" s="48">
        <v>0.54479999999999995</v>
      </c>
      <c r="AA185" s="48">
        <v>0.57850000000000001</v>
      </c>
      <c r="AB185" s="48">
        <v>7.0576999999999996</v>
      </c>
      <c r="AC185" s="48">
        <v>8.9283999999999999</v>
      </c>
      <c r="AD185" s="48">
        <f t="shared" si="87"/>
        <v>7.6025</v>
      </c>
      <c r="AE185" s="48">
        <f t="shared" si="88"/>
        <v>9.5069</v>
      </c>
      <c r="AF185" s="49" t="s">
        <v>167</v>
      </c>
      <c r="AG185" s="49" t="s">
        <v>168</v>
      </c>
      <c r="AH185" s="49">
        <v>1</v>
      </c>
      <c r="AI185" s="49" t="s">
        <v>137</v>
      </c>
      <c r="AJ185" s="2"/>
    </row>
    <row r="186" spans="1:36">
      <c r="A186" s="49">
        <v>8</v>
      </c>
      <c r="B186" s="49" t="s">
        <v>166</v>
      </c>
      <c r="C186" s="49">
        <v>0.55000000000000004</v>
      </c>
      <c r="D186" s="49">
        <v>0.3</v>
      </c>
      <c r="E186" s="49">
        <v>0.35</v>
      </c>
      <c r="F186" s="48">
        <v>0.54930000000000001</v>
      </c>
      <c r="G186" s="48">
        <v>0.55010000000000003</v>
      </c>
      <c r="H186" s="48">
        <v>0.2999</v>
      </c>
      <c r="I186" s="48">
        <v>0.29970000000000002</v>
      </c>
      <c r="J186" s="48">
        <v>0.40079999999999999</v>
      </c>
      <c r="K186" s="48">
        <v>0.35060000000000002</v>
      </c>
      <c r="L186" s="48">
        <f t="shared" si="78"/>
        <v>0.700000000000034</v>
      </c>
      <c r="M186" s="48">
        <f t="shared" si="79"/>
        <v>0.099999999999989</v>
      </c>
      <c r="N186" s="48">
        <f t="shared" si="80"/>
        <v>0.099999999999989</v>
      </c>
      <c r="O186" s="48">
        <f t="shared" si="81"/>
        <v>0.299999999999967</v>
      </c>
      <c r="P186" s="48">
        <f t="shared" si="82"/>
        <v>50.8</v>
      </c>
      <c r="Q186" s="48">
        <f t="shared" si="83"/>
        <v>0.600000000000045</v>
      </c>
      <c r="R186" s="48">
        <f t="shared" si="84"/>
        <v>50.8049210214916</v>
      </c>
      <c r="S186" s="48">
        <f t="shared" si="85"/>
        <v>0.67823299831255</v>
      </c>
      <c r="T186" s="110"/>
      <c r="U186" s="110"/>
      <c r="V186" s="110"/>
      <c r="W186" s="110"/>
      <c r="X186" s="110"/>
      <c r="Y186" s="110"/>
      <c r="Z186" s="48">
        <v>0.55349999999999999</v>
      </c>
      <c r="AA186" s="48">
        <v>0.53900000000000003</v>
      </c>
      <c r="AB186" s="48">
        <v>6.1052</v>
      </c>
      <c r="AC186" s="48">
        <v>8.3468999999999998</v>
      </c>
      <c r="AD186" s="48">
        <f t="shared" si="87"/>
        <v>6.6587</v>
      </c>
      <c r="AE186" s="48">
        <f t="shared" si="88"/>
        <v>8.8859</v>
      </c>
      <c r="AF186" s="49" t="s">
        <v>167</v>
      </c>
      <c r="AG186" s="49" t="s">
        <v>168</v>
      </c>
      <c r="AH186" s="49">
        <v>1</v>
      </c>
      <c r="AI186" s="49" t="s">
        <v>137</v>
      </c>
      <c r="AJ186" s="2"/>
    </row>
    <row r="187" spans="1:36">
      <c r="A187" s="49">
        <v>8</v>
      </c>
      <c r="B187" s="49" t="s">
        <v>169</v>
      </c>
      <c r="C187" s="49">
        <v>0.75</v>
      </c>
      <c r="D187" s="49">
        <v>-0.25</v>
      </c>
      <c r="E187" s="49">
        <v>0.42</v>
      </c>
      <c r="F187" s="48">
        <v>0.75039999999999996</v>
      </c>
      <c r="G187" s="48">
        <v>0.75</v>
      </c>
      <c r="H187" s="48">
        <v>-0.25090000000000001</v>
      </c>
      <c r="I187" s="48">
        <v>-0.25019999999999998</v>
      </c>
      <c r="J187" s="48">
        <v>0.47049999999999997</v>
      </c>
      <c r="K187" s="48">
        <v>0.42030000000000001</v>
      </c>
      <c r="L187" s="48">
        <f t="shared" si="78"/>
        <v>0.399999999999956</v>
      </c>
      <c r="M187" s="48">
        <f t="shared" si="79"/>
        <v>0</v>
      </c>
      <c r="N187" s="48">
        <f t="shared" si="80"/>
        <v>0.900000000000012</v>
      </c>
      <c r="O187" s="48">
        <f t="shared" si="81"/>
        <v>0.199999999999978</v>
      </c>
      <c r="P187" s="48">
        <f t="shared" si="82"/>
        <v>50.5</v>
      </c>
      <c r="Q187" s="48">
        <f t="shared" si="83"/>
        <v>0.300000000000022</v>
      </c>
      <c r="R187" s="48">
        <f t="shared" si="84"/>
        <v>50.5096030473414</v>
      </c>
      <c r="S187" s="48">
        <f t="shared" si="85"/>
        <v>0.360555127546405</v>
      </c>
      <c r="T187" s="110"/>
      <c r="U187" s="110"/>
      <c r="V187" s="110"/>
      <c r="W187" s="110"/>
      <c r="X187" s="110"/>
      <c r="Y187" s="110"/>
      <c r="Z187" s="48">
        <v>0.55230000000000001</v>
      </c>
      <c r="AA187" s="48">
        <v>0.53290000000000004</v>
      </c>
      <c r="AB187" s="48">
        <v>7.0433000000000003</v>
      </c>
      <c r="AC187" s="48">
        <v>7.5331999999999999</v>
      </c>
      <c r="AD187" s="48">
        <f t="shared" si="87"/>
        <v>7.5956</v>
      </c>
      <c r="AE187" s="48">
        <f t="shared" si="88"/>
        <v>8.0661</v>
      </c>
      <c r="AF187" s="49" t="s">
        <v>167</v>
      </c>
      <c r="AG187" s="49" t="s">
        <v>168</v>
      </c>
      <c r="AH187" s="49">
        <v>1</v>
      </c>
      <c r="AI187" s="49" t="s">
        <v>137</v>
      </c>
      <c r="AJ187" s="2"/>
    </row>
    <row r="188" spans="1:36">
      <c r="A188" s="49">
        <v>9</v>
      </c>
      <c r="B188" s="49" t="s">
        <v>166</v>
      </c>
      <c r="C188" s="49">
        <v>0.55000000000000004</v>
      </c>
      <c r="D188" s="49">
        <v>0.3</v>
      </c>
      <c r="E188" s="49">
        <v>0.35</v>
      </c>
      <c r="F188" s="48">
        <v>0.54910000000000003</v>
      </c>
      <c r="G188" s="48">
        <v>0.55089999999999995</v>
      </c>
      <c r="H188" s="48">
        <v>0.30070000000000002</v>
      </c>
      <c r="I188" s="48">
        <v>0.29970000000000002</v>
      </c>
      <c r="J188" s="48">
        <v>0.39960000000000001</v>
      </c>
      <c r="K188" s="48">
        <v>0.3498</v>
      </c>
      <c r="L188" s="48">
        <f t="shared" si="78"/>
        <v>0.900000000000012</v>
      </c>
      <c r="M188" s="48">
        <f t="shared" si="79"/>
        <v>0.899999999999901</v>
      </c>
      <c r="N188" s="48">
        <f t="shared" si="80"/>
        <v>0.700000000000034</v>
      </c>
      <c r="O188" s="48">
        <f t="shared" si="81"/>
        <v>0.299999999999967</v>
      </c>
      <c r="P188" s="48">
        <f t="shared" si="82"/>
        <v>49.6</v>
      </c>
      <c r="Q188" s="48">
        <f t="shared" si="83"/>
        <v>0.199999999999978</v>
      </c>
      <c r="R188" s="48">
        <f t="shared" si="84"/>
        <v>49.6131031079493</v>
      </c>
      <c r="S188" s="48">
        <f t="shared" si="85"/>
        <v>0.969535971483159</v>
      </c>
      <c r="T188" s="110"/>
      <c r="U188" s="110"/>
      <c r="V188" s="110"/>
      <c r="W188" s="110"/>
      <c r="X188" s="110"/>
      <c r="Y188" s="110"/>
      <c r="Z188" s="48">
        <v>0.55089999999999995</v>
      </c>
      <c r="AA188" s="48">
        <v>0.53839999999999999</v>
      </c>
      <c r="AB188" s="48">
        <v>7.0484999999999998</v>
      </c>
      <c r="AC188" s="48">
        <v>8.1305999999999994</v>
      </c>
      <c r="AD188" s="48">
        <f t="shared" si="87"/>
        <v>7.5994</v>
      </c>
      <c r="AE188" s="48">
        <f t="shared" si="88"/>
        <v>8.669</v>
      </c>
      <c r="AF188" s="49" t="s">
        <v>167</v>
      </c>
      <c r="AG188" s="49" t="s">
        <v>168</v>
      </c>
      <c r="AH188" s="49">
        <v>1</v>
      </c>
      <c r="AI188" s="49" t="s">
        <v>137</v>
      </c>
      <c r="AJ188" s="2"/>
    </row>
    <row r="189" spans="1:36">
      <c r="A189" s="49">
        <v>9</v>
      </c>
      <c r="B189" s="49" t="s">
        <v>169</v>
      </c>
      <c r="C189" s="49">
        <v>0.75</v>
      </c>
      <c r="D189" s="49">
        <v>-0.25</v>
      </c>
      <c r="E189" s="49">
        <v>0.42</v>
      </c>
      <c r="F189" s="48">
        <v>0.75039999999999996</v>
      </c>
      <c r="G189" s="48">
        <v>0.75</v>
      </c>
      <c r="H189" s="48">
        <v>-0.25090000000000001</v>
      </c>
      <c r="I189" s="48">
        <v>-0.24979999999999999</v>
      </c>
      <c r="J189" s="48">
        <v>0.47049999999999997</v>
      </c>
      <c r="K189" s="48">
        <v>0.42059999999999997</v>
      </c>
      <c r="L189" s="48">
        <f t="shared" si="78"/>
        <v>0.399999999999956</v>
      </c>
      <c r="M189" s="48">
        <f t="shared" si="79"/>
        <v>0</v>
      </c>
      <c r="N189" s="48">
        <f t="shared" si="80"/>
        <v>0.900000000000012</v>
      </c>
      <c r="O189" s="48">
        <f t="shared" si="81"/>
        <v>0.200000000000006</v>
      </c>
      <c r="P189" s="48">
        <f t="shared" si="82"/>
        <v>50.5</v>
      </c>
      <c r="Q189" s="48">
        <f t="shared" si="83"/>
        <v>0.599999999999989</v>
      </c>
      <c r="R189" s="48">
        <f t="shared" si="84"/>
        <v>50.5096030473414</v>
      </c>
      <c r="S189" s="48">
        <f t="shared" si="85"/>
        <v>0.632455532033668</v>
      </c>
      <c r="T189" s="110"/>
      <c r="U189" s="110"/>
      <c r="V189" s="110"/>
      <c r="W189" s="110"/>
      <c r="X189" s="110"/>
      <c r="Y189" s="110"/>
      <c r="Z189" s="48">
        <v>0.55359999999999998</v>
      </c>
      <c r="AA189" s="48">
        <v>0.53290000000000004</v>
      </c>
      <c r="AB189" s="48">
        <v>7.0568999999999997</v>
      </c>
      <c r="AC189" s="48">
        <v>7.5331999999999999</v>
      </c>
      <c r="AD189" s="48">
        <f t="shared" si="87"/>
        <v>7.6105</v>
      </c>
      <c r="AE189" s="48">
        <f t="shared" si="88"/>
        <v>8.0661</v>
      </c>
      <c r="AF189" s="49" t="s">
        <v>167</v>
      </c>
      <c r="AG189" s="49" t="s">
        <v>168</v>
      </c>
      <c r="AH189" s="49">
        <v>1</v>
      </c>
      <c r="AI189" s="49" t="s">
        <v>137</v>
      </c>
      <c r="AJ189" s="2"/>
    </row>
    <row r="190" spans="1:36">
      <c r="A190" s="49">
        <v>10</v>
      </c>
      <c r="B190" s="49" t="s">
        <v>166</v>
      </c>
      <c r="C190" s="49">
        <v>0.55000000000000004</v>
      </c>
      <c r="D190" s="49">
        <v>0.3</v>
      </c>
      <c r="E190" s="49">
        <v>0.35</v>
      </c>
      <c r="F190" s="48">
        <v>0.55069999999999997</v>
      </c>
      <c r="G190" s="48">
        <v>0.55010000000000003</v>
      </c>
      <c r="H190" s="48">
        <v>0.30120000000000002</v>
      </c>
      <c r="I190" s="48">
        <v>0.2999</v>
      </c>
      <c r="J190" s="48">
        <v>0.39950000000000002</v>
      </c>
      <c r="K190" s="48">
        <v>0.34960000000000002</v>
      </c>
      <c r="L190" s="48">
        <f t="shared" si="78"/>
        <v>0.699999999999923</v>
      </c>
      <c r="M190" s="48">
        <f t="shared" si="79"/>
        <v>0.099999999999989</v>
      </c>
      <c r="N190" s="48">
        <f t="shared" si="80"/>
        <v>1.20000000000003</v>
      </c>
      <c r="O190" s="48">
        <f t="shared" si="81"/>
        <v>0.099999999999989</v>
      </c>
      <c r="P190" s="48">
        <f t="shared" si="82"/>
        <v>49.5</v>
      </c>
      <c r="Q190" s="48">
        <f t="shared" si="83"/>
        <v>0.399999999999956</v>
      </c>
      <c r="R190" s="48">
        <f t="shared" si="84"/>
        <v>49.5194911120864</v>
      </c>
      <c r="S190" s="48">
        <f t="shared" si="85"/>
        <v>0.424264068711882</v>
      </c>
      <c r="T190" s="110"/>
      <c r="U190" s="110"/>
      <c r="V190" s="110"/>
      <c r="W190" s="110"/>
      <c r="X190" s="110"/>
      <c r="Y190" s="110"/>
      <c r="Z190" s="48">
        <v>0.61029999999999995</v>
      </c>
      <c r="AA190" s="48">
        <v>0.5474</v>
      </c>
      <c r="AB190" s="48">
        <v>7.0614999999999997</v>
      </c>
      <c r="AC190" s="48">
        <v>8.8827999999999996</v>
      </c>
      <c r="AD190" s="48">
        <f t="shared" si="87"/>
        <v>7.6718</v>
      </c>
      <c r="AE190" s="48">
        <f t="shared" si="88"/>
        <v>9.4302</v>
      </c>
      <c r="AF190" s="49" t="s">
        <v>167</v>
      </c>
      <c r="AG190" s="49" t="s">
        <v>168</v>
      </c>
      <c r="AH190" s="49">
        <v>1</v>
      </c>
      <c r="AI190" s="49" t="s">
        <v>137</v>
      </c>
      <c r="AJ190" s="2"/>
    </row>
    <row r="191" spans="1:36">
      <c r="A191" s="49">
        <v>10</v>
      </c>
      <c r="B191" s="49" t="s">
        <v>169</v>
      </c>
      <c r="C191" s="49">
        <v>0.75</v>
      </c>
      <c r="D191" s="49">
        <v>-0.25</v>
      </c>
      <c r="E191" s="49">
        <v>0.42</v>
      </c>
      <c r="F191" s="48">
        <v>0.74970000000000003</v>
      </c>
      <c r="G191" s="48">
        <v>0.75090000000000001</v>
      </c>
      <c r="H191" s="48">
        <v>-0.24990000000000001</v>
      </c>
      <c r="I191" s="48">
        <v>-0.24990000000000001</v>
      </c>
      <c r="J191" s="48">
        <v>0.47</v>
      </c>
      <c r="K191" s="48">
        <v>0.42030000000000001</v>
      </c>
      <c r="L191" s="48">
        <f t="shared" si="78"/>
        <v>0.299999999999967</v>
      </c>
      <c r="M191" s="48">
        <f t="shared" si="79"/>
        <v>0.900000000000012</v>
      </c>
      <c r="N191" s="48">
        <f t="shared" si="80"/>
        <v>0.099999999999989</v>
      </c>
      <c r="O191" s="48">
        <f t="shared" si="81"/>
        <v>0.099999999999989</v>
      </c>
      <c r="P191" s="48">
        <f t="shared" si="82"/>
        <v>50</v>
      </c>
      <c r="Q191" s="48">
        <f t="shared" si="83"/>
        <v>0.300000000000022</v>
      </c>
      <c r="R191" s="48">
        <f t="shared" si="84"/>
        <v>50.0009999900002</v>
      </c>
      <c r="S191" s="48">
        <f t="shared" si="85"/>
        <v>0.953939201416963</v>
      </c>
      <c r="T191" s="111"/>
      <c r="U191" s="111"/>
      <c r="V191" s="111"/>
      <c r="W191" s="111"/>
      <c r="X191" s="111"/>
      <c r="Y191" s="111"/>
      <c r="Z191" s="48">
        <v>0.54090000000000005</v>
      </c>
      <c r="AA191" s="48"/>
      <c r="AB191" s="48">
        <v>7.0522</v>
      </c>
      <c r="AC191" s="48"/>
      <c r="AD191" s="48">
        <f t="shared" si="87"/>
        <v>7.5931</v>
      </c>
      <c r="AE191" s="48">
        <f t="shared" si="88"/>
        <v>0</v>
      </c>
      <c r="AF191" s="49" t="s">
        <v>167</v>
      </c>
      <c r="AG191" s="49" t="s">
        <v>168</v>
      </c>
      <c r="AH191" s="49">
        <v>1</v>
      </c>
      <c r="AI191" s="49" t="s">
        <v>137</v>
      </c>
      <c r="AJ191" s="2"/>
    </row>
    <row r="192" spans="1:36" ht="18.3" customHeight="1">
      <c r="A192" s="104" t="s">
        <v>170</v>
      </c>
      <c r="B192" s="105"/>
      <c r="C192" s="105"/>
      <c r="D192" s="105"/>
      <c r="E192" s="106"/>
      <c r="F192" s="108">
        <f>AVERAGE(F172:F191)-AVERAGE(G172:G191)</f>
        <v>-0.000179999999999958</v>
      </c>
      <c r="G192" s="106"/>
      <c r="H192" s="108">
        <f>AVERAGE(H172:H191)-AVERAGE(I172:I191)</f>
        <v>-0.000180000000000003</v>
      </c>
      <c r="I192" s="106"/>
      <c r="J192" s="108">
        <f>AVERAGE(J172:J191)-AVERAGE(K172:K191)</f>
        <v>0.0499750000000001</v>
      </c>
      <c r="K192" s="106"/>
      <c r="L192" s="108">
        <f>AVERAGE(L172:L191)-AVERAGE(M172:M191)</f>
        <v>0.129999999999991</v>
      </c>
      <c r="M192" s="106"/>
      <c r="N192" s="108">
        <f>AVERAGE(N172:N191)-AVERAGE(O172:O191)</f>
        <v>0.19</v>
      </c>
      <c r="O192" s="106"/>
      <c r="P192" s="108">
        <f>AVERAGE(P172:P191)-AVERAGE(Q172:Q191)</f>
        <v>49.815</v>
      </c>
      <c r="Q192" s="106"/>
      <c r="R192" s="108">
        <f>AVERAGE(R172:R191)-AVERAGE(S172:S191)</f>
        <v>49.4927632894436</v>
      </c>
      <c r="S192" s="106"/>
      <c r="T192" s="108">
        <f>AVERAGE(T172:T191)-AVERAGE(U172:U191)</f>
        <v>5.19178547771226e-05</v>
      </c>
      <c r="U192" s="106"/>
      <c r="V192" s="108">
        <f>AVERAGE(V172:V191)-AVERAGE(W172:W191)</f>
        <v>0.000123504849721179</v>
      </c>
      <c r="W192" s="106"/>
      <c r="X192" s="108">
        <f>AVERAGE(X172:X191)-AVERAGE(Y172:Y191)</f>
        <v>2.62736233642702e-05</v>
      </c>
      <c r="Y192" s="106"/>
      <c r="Z192" s="108">
        <f>AVERAGE(AA172:AA191)-AVERAGE(Z172:Z191)</f>
        <v>0.0324457894736842</v>
      </c>
      <c r="AA192" s="106"/>
      <c r="AB192" s="108">
        <f>AVERAGE(AC172:AC191)-AVERAGE(AB172:AB191)</f>
        <v>1.45134</v>
      </c>
      <c r="AC192" s="106"/>
      <c r="AD192" s="108">
        <f>AVERAGE(AE172:AE191)-AVERAGE(AD172:AD191)</f>
        <v>1.04017</v>
      </c>
      <c r="AE192" s="106"/>
      <c r="AF192" s="117"/>
      <c r="AG192" s="105"/>
      <c r="AH192" s="105"/>
      <c r="AI192" s="106"/>
      <c r="AJ192" s="2"/>
    </row>
    <row r="193" spans="1:36">
      <c r="A193" s="112" t="s">
        <v>178</v>
      </c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6"/>
      <c r="AJ193" s="2"/>
    </row>
    <row r="194" spans="1:36" s="2" customFormat="1" ht="16.350000000000001" customHeight="1">
      <c r="A194" s="107" t="s">
        <v>126</v>
      </c>
      <c r="B194" s="107" t="s">
        <v>143</v>
      </c>
      <c r="C194" s="107" t="s">
        <v>144</v>
      </c>
      <c r="D194" s="107" t="s">
        <v>145</v>
      </c>
      <c r="E194" s="107" t="s">
        <v>146</v>
      </c>
      <c r="F194" s="107" t="s">
        <v>147</v>
      </c>
      <c r="G194" s="106"/>
      <c r="H194" s="107" t="s">
        <v>148</v>
      </c>
      <c r="I194" s="106"/>
      <c r="J194" s="107" t="s">
        <v>149</v>
      </c>
      <c r="K194" s="106"/>
      <c r="L194" s="114" t="s">
        <v>150</v>
      </c>
      <c r="M194" s="106"/>
      <c r="N194" s="114" t="s">
        <v>151</v>
      </c>
      <c r="O194" s="106"/>
      <c r="P194" s="114" t="s">
        <v>152</v>
      </c>
      <c r="Q194" s="106"/>
      <c r="R194" s="107" t="s">
        <v>153</v>
      </c>
      <c r="S194" s="106"/>
      <c r="T194" s="107" t="s">
        <v>154</v>
      </c>
      <c r="U194" s="106"/>
      <c r="V194" s="107" t="s">
        <v>155</v>
      </c>
      <c r="W194" s="106"/>
      <c r="X194" s="107" t="s">
        <v>156</v>
      </c>
      <c r="Y194" s="106"/>
      <c r="Z194" s="107" t="s">
        <v>157</v>
      </c>
      <c r="AA194" s="106"/>
      <c r="AB194" s="107" t="s">
        <v>158</v>
      </c>
      <c r="AC194" s="106"/>
      <c r="AD194" s="107" t="s">
        <v>159</v>
      </c>
      <c r="AE194" s="106"/>
      <c r="AF194" s="107" t="s">
        <v>160</v>
      </c>
      <c r="AG194" s="107" t="s">
        <v>161</v>
      </c>
      <c r="AH194" s="107" t="s">
        <v>162</v>
      </c>
      <c r="AI194" s="107" t="s">
        <v>163</v>
      </c>
    </row>
    <row r="195" spans="1:36" s="2" customFormat="1" ht="16.350000000000001" customHeight="1">
      <c r="A195" s="111"/>
      <c r="B195" s="111"/>
      <c r="C195" s="111"/>
      <c r="D195" s="111"/>
      <c r="E195" s="111"/>
      <c r="F195" s="47" t="s">
        <v>164</v>
      </c>
      <c r="G195" s="72" t="s">
        <v>165</v>
      </c>
      <c r="H195" s="47" t="s">
        <v>164</v>
      </c>
      <c r="I195" s="72" t="s">
        <v>165</v>
      </c>
      <c r="J195" s="47" t="s">
        <v>164</v>
      </c>
      <c r="K195" s="72" t="s">
        <v>165</v>
      </c>
      <c r="L195" s="47" t="s">
        <v>164</v>
      </c>
      <c r="M195" s="72" t="s">
        <v>165</v>
      </c>
      <c r="N195" s="47" t="s">
        <v>164</v>
      </c>
      <c r="O195" s="72" t="s">
        <v>165</v>
      </c>
      <c r="P195" s="47" t="s">
        <v>164</v>
      </c>
      <c r="Q195" s="72" t="s">
        <v>165</v>
      </c>
      <c r="R195" s="47" t="s">
        <v>164</v>
      </c>
      <c r="S195" s="72" t="s">
        <v>165</v>
      </c>
      <c r="T195" s="47" t="s">
        <v>164</v>
      </c>
      <c r="U195" s="72" t="s">
        <v>165</v>
      </c>
      <c r="V195" s="47" t="s">
        <v>164</v>
      </c>
      <c r="W195" s="72" t="s">
        <v>165</v>
      </c>
      <c r="X195" s="47" t="s">
        <v>164</v>
      </c>
      <c r="Y195" s="72" t="s">
        <v>165</v>
      </c>
      <c r="Z195" s="72" t="s">
        <v>165</v>
      </c>
      <c r="AA195" s="47" t="s">
        <v>164</v>
      </c>
      <c r="AB195" s="72" t="s">
        <v>165</v>
      </c>
      <c r="AC195" s="47" t="s">
        <v>164</v>
      </c>
      <c r="AD195" s="72" t="s">
        <v>165</v>
      </c>
      <c r="AE195" s="47" t="s">
        <v>164</v>
      </c>
      <c r="AF195" s="111"/>
      <c r="AG195" s="111"/>
      <c r="AH195" s="111"/>
      <c r="AI195" s="111"/>
    </row>
    <row r="196" spans="1:36">
      <c r="A196" s="49">
        <v>1</v>
      </c>
      <c r="B196" s="49" t="s">
        <v>166</v>
      </c>
      <c r="C196" s="49">
        <v>0.5</v>
      </c>
      <c r="D196" s="49">
        <v>-0.3</v>
      </c>
      <c r="E196" s="49">
        <v>0.35</v>
      </c>
      <c r="F196" s="48">
        <v>0.50039999999999996</v>
      </c>
      <c r="G196" s="48">
        <v>0.49969999999999998</v>
      </c>
      <c r="H196" s="48">
        <v>-0.29920000000000002</v>
      </c>
      <c r="I196" s="48">
        <v>-0.3009</v>
      </c>
      <c r="J196" s="48">
        <v>0.3992</v>
      </c>
      <c r="K196" s="48">
        <v>0.34989999999999999</v>
      </c>
      <c r="L196" s="48">
        <f t="shared" ref="L196:L215" si="89">ABS(F196-C196)*1000</f>
        <v>0.399999999999956</v>
      </c>
      <c r="M196" s="48">
        <f t="shared" ref="M196:M215" si="90">ABS(G196-C196)*1000</f>
        <v>0.300000000000022</v>
      </c>
      <c r="N196" s="48">
        <f t="shared" ref="N196:N215" si="91">ABS(H196-D196)*1000</f>
        <v>0.799999999999967</v>
      </c>
      <c r="O196" s="48">
        <f t="shared" ref="O196:O215" si="92">ABS(I196-D196)*1000</f>
        <v>0.900000000000012</v>
      </c>
      <c r="P196" s="48">
        <f t="shared" ref="P196:P215" si="93">ABS(J196-E196)*1000</f>
        <v>49.2</v>
      </c>
      <c r="Q196" s="48">
        <f t="shared" ref="Q196:Q215" si="94">ABS(K196-E196)*1000</f>
        <v>0.099999999999989</v>
      </c>
      <c r="R196" s="48">
        <f t="shared" ref="R196:R215" si="95">SQRT(SUMSQ(L196,N196,P196))</f>
        <v>49.2081294096819</v>
      </c>
      <c r="S196" s="48">
        <f t="shared" ref="S196:S215" si="96">SQRT(SUMSQ(M196,O196,Q196))</f>
        <v>0.953939201416963</v>
      </c>
      <c r="T196" s="109">
        <f t="shared" ref="T196:Y196" si="97">_xlfn.STDEV.S(F196:F215)</f>
        <v>0.128407098815898</v>
      </c>
      <c r="U196" s="109">
        <f t="shared" si="97"/>
        <v>0.128283634247668</v>
      </c>
      <c r="V196" s="109">
        <f t="shared" si="97"/>
        <v>0.307547611889521</v>
      </c>
      <c r="W196" s="109">
        <f t="shared" si="97"/>
        <v>0.307886182148363</v>
      </c>
      <c r="X196" s="109">
        <f t="shared" si="97"/>
        <v>0.0360167519503443</v>
      </c>
      <c r="Y196" s="109">
        <f t="shared" si="97"/>
        <v>0.0360111221854114</v>
      </c>
      <c r="Z196" s="48">
        <v>0.64280000000000004</v>
      </c>
      <c r="AA196" s="48">
        <v>0.54249999999999998</v>
      </c>
      <c r="AB196" s="48">
        <v>7.0331999999999999</v>
      </c>
      <c r="AC196" s="48">
        <v>8.4887999999999995</v>
      </c>
      <c r="AD196" s="48">
        <f t="shared" ref="AD196:AD215" si="98">AB196+Z196</f>
        <v>7.676</v>
      </c>
      <c r="AE196" s="48">
        <f t="shared" ref="AE196:AE215" si="99">AC196+AA196</f>
        <v>9.0313</v>
      </c>
      <c r="AF196" s="49" t="s">
        <v>167</v>
      </c>
      <c r="AG196" s="49" t="s">
        <v>168</v>
      </c>
      <c r="AH196" s="49">
        <v>1</v>
      </c>
      <c r="AI196" s="49" t="s">
        <v>137</v>
      </c>
      <c r="AJ196" s="2"/>
    </row>
    <row r="197" spans="1:36">
      <c r="A197" s="49">
        <v>1</v>
      </c>
      <c r="B197" s="49" t="s">
        <v>169</v>
      </c>
      <c r="C197" s="49">
        <v>0.75</v>
      </c>
      <c r="D197" s="49">
        <v>0.3</v>
      </c>
      <c r="E197" s="49">
        <v>0.42</v>
      </c>
      <c r="F197" s="48">
        <v>0.75019999999999998</v>
      </c>
      <c r="G197" s="48">
        <v>0.75019999999999998</v>
      </c>
      <c r="H197" s="48">
        <v>0.30049999999999999</v>
      </c>
      <c r="I197" s="48">
        <v>0.29949999999999999</v>
      </c>
      <c r="J197" s="48">
        <v>0.46929999999999999</v>
      </c>
      <c r="K197" s="48">
        <v>0.41949999999999998</v>
      </c>
      <c r="L197" s="48">
        <f t="shared" si="89"/>
        <v>0.199999999999978</v>
      </c>
      <c r="M197" s="48">
        <f t="shared" si="90"/>
        <v>0.199999999999978</v>
      </c>
      <c r="N197" s="48">
        <f t="shared" si="91"/>
        <v>0.5</v>
      </c>
      <c r="O197" s="48">
        <f t="shared" si="92"/>
        <v>0.5</v>
      </c>
      <c r="P197" s="48">
        <f t="shared" si="93"/>
        <v>49.3</v>
      </c>
      <c r="Q197" s="48">
        <f t="shared" si="94"/>
        <v>0.5</v>
      </c>
      <c r="R197" s="48">
        <f t="shared" si="95"/>
        <v>49.3029410887424</v>
      </c>
      <c r="S197" s="48">
        <f t="shared" si="96"/>
        <v>0.734846922834948</v>
      </c>
      <c r="T197" s="110"/>
      <c r="U197" s="110"/>
      <c r="V197" s="110"/>
      <c r="W197" s="110"/>
      <c r="X197" s="110"/>
      <c r="Y197" s="110"/>
      <c r="Z197" s="48">
        <v>0.5262</v>
      </c>
      <c r="AA197" s="48">
        <v>0.66010000000000002</v>
      </c>
      <c r="AB197" s="48">
        <v>7.0605000000000002</v>
      </c>
      <c r="AC197" s="48">
        <v>10.1317</v>
      </c>
      <c r="AD197" s="48">
        <f t="shared" si="98"/>
        <v>7.5867</v>
      </c>
      <c r="AE197" s="48">
        <f t="shared" si="99"/>
        <v>10.7918</v>
      </c>
      <c r="AF197" s="49" t="s">
        <v>167</v>
      </c>
      <c r="AG197" s="49" t="s">
        <v>168</v>
      </c>
      <c r="AH197" s="49">
        <v>1</v>
      </c>
      <c r="AI197" s="49" t="s">
        <v>137</v>
      </c>
      <c r="AJ197" s="2"/>
    </row>
    <row r="198" spans="1:36">
      <c r="A198" s="49">
        <v>2</v>
      </c>
      <c r="B198" s="49" t="s">
        <v>166</v>
      </c>
      <c r="C198" s="49">
        <v>0.5</v>
      </c>
      <c r="D198" s="49">
        <v>-0.3</v>
      </c>
      <c r="E198" s="49">
        <v>0.35</v>
      </c>
      <c r="F198" s="48">
        <v>0.49940000000000001</v>
      </c>
      <c r="G198" s="48">
        <v>0.50070000000000003</v>
      </c>
      <c r="H198" s="48">
        <v>-0.29980000000000001</v>
      </c>
      <c r="I198" s="48">
        <v>-0.29949999999999999</v>
      </c>
      <c r="J198" s="48">
        <v>0.4</v>
      </c>
      <c r="K198" s="48">
        <v>0.35039999999999999</v>
      </c>
      <c r="L198" s="48">
        <f t="shared" si="89"/>
        <v>0.599999999999989</v>
      </c>
      <c r="M198" s="48">
        <f t="shared" si="90"/>
        <v>0.700000000000034</v>
      </c>
      <c r="N198" s="48">
        <f t="shared" si="91"/>
        <v>0.199999999999978</v>
      </c>
      <c r="O198" s="48">
        <f t="shared" si="92"/>
        <v>0.5</v>
      </c>
      <c r="P198" s="48">
        <f t="shared" si="93"/>
        <v>50</v>
      </c>
      <c r="Q198" s="48">
        <f t="shared" si="94"/>
        <v>0.400000000000011</v>
      </c>
      <c r="R198" s="48">
        <f t="shared" si="95"/>
        <v>50.0039998400128</v>
      </c>
      <c r="S198" s="48">
        <f t="shared" si="96"/>
        <v>0.948683298050544</v>
      </c>
      <c r="T198" s="110"/>
      <c r="U198" s="110"/>
      <c r="V198" s="110"/>
      <c r="W198" s="110"/>
      <c r="X198" s="110"/>
      <c r="Y198" s="110"/>
      <c r="Z198" s="48">
        <v>0.53069999999999995</v>
      </c>
      <c r="AA198" s="48">
        <v>0.54420000000000002</v>
      </c>
      <c r="AB198" s="48">
        <v>7.0461</v>
      </c>
      <c r="AC198" s="48">
        <v>7.9396000000000004</v>
      </c>
      <c r="AD198" s="48">
        <f t="shared" si="98"/>
        <v>7.5768</v>
      </c>
      <c r="AE198" s="48">
        <f t="shared" si="99"/>
        <v>8.4838</v>
      </c>
      <c r="AF198" s="49" t="s">
        <v>167</v>
      </c>
      <c r="AG198" s="49" t="s">
        <v>168</v>
      </c>
      <c r="AH198" s="49">
        <v>1</v>
      </c>
      <c r="AI198" s="49" t="s">
        <v>137</v>
      </c>
      <c r="AJ198" s="2"/>
    </row>
    <row r="199" spans="1:36">
      <c r="A199" s="49">
        <v>2</v>
      </c>
      <c r="B199" s="49" t="s">
        <v>169</v>
      </c>
      <c r="C199" s="49">
        <v>0.75</v>
      </c>
      <c r="D199" s="49">
        <v>0.3</v>
      </c>
      <c r="E199" s="49">
        <v>0.42</v>
      </c>
      <c r="F199" s="48">
        <v>0.74990000000000001</v>
      </c>
      <c r="G199" s="48">
        <v>0.75019999999999998</v>
      </c>
      <c r="H199" s="48">
        <v>0.2994</v>
      </c>
      <c r="I199" s="48">
        <v>0.30020000000000002</v>
      </c>
      <c r="J199" s="48">
        <v>0.46970000000000001</v>
      </c>
      <c r="K199" s="48">
        <v>0.41909999999999997</v>
      </c>
      <c r="L199" s="48">
        <f t="shared" si="89"/>
        <v>0.099999999999989</v>
      </c>
      <c r="M199" s="48">
        <f t="shared" si="90"/>
        <v>0.199999999999978</v>
      </c>
      <c r="N199" s="48">
        <f t="shared" si="91"/>
        <v>0.599999999999989</v>
      </c>
      <c r="O199" s="48">
        <f t="shared" si="92"/>
        <v>0.200000000000033</v>
      </c>
      <c r="P199" s="48">
        <f t="shared" si="93"/>
        <v>49.7</v>
      </c>
      <c r="Q199" s="48">
        <f t="shared" si="94"/>
        <v>0.900000000000012</v>
      </c>
      <c r="R199" s="48">
        <f t="shared" si="95"/>
        <v>49.7037221946204</v>
      </c>
      <c r="S199" s="48">
        <f t="shared" si="96"/>
        <v>0.943398113205674</v>
      </c>
      <c r="T199" s="110"/>
      <c r="U199" s="110"/>
      <c r="V199" s="110"/>
      <c r="W199" s="110"/>
      <c r="X199" s="110"/>
      <c r="Y199" s="110"/>
      <c r="Z199" s="48">
        <v>0.54330000000000001</v>
      </c>
      <c r="AA199" s="48">
        <v>0.55669999999999997</v>
      </c>
      <c r="AB199" s="48">
        <v>7.0880999999999998</v>
      </c>
      <c r="AC199" s="48">
        <v>8.4215999999999998</v>
      </c>
      <c r="AD199" s="48">
        <f t="shared" si="98"/>
        <v>7.6314</v>
      </c>
      <c r="AE199" s="48">
        <f t="shared" si="99"/>
        <v>8.9783</v>
      </c>
      <c r="AF199" s="49" t="s">
        <v>167</v>
      </c>
      <c r="AG199" s="49" t="s">
        <v>168</v>
      </c>
      <c r="AH199" s="49">
        <v>1</v>
      </c>
      <c r="AI199" s="49" t="s">
        <v>137</v>
      </c>
      <c r="AJ199" s="2"/>
    </row>
    <row r="200" spans="1:36">
      <c r="A200" s="49">
        <v>3</v>
      </c>
      <c r="B200" s="49" t="s">
        <v>166</v>
      </c>
      <c r="C200" s="49">
        <v>0.5</v>
      </c>
      <c r="D200" s="49">
        <v>-0.3</v>
      </c>
      <c r="E200" s="49">
        <v>0.35</v>
      </c>
      <c r="F200" s="48">
        <v>0.49969999999999998</v>
      </c>
      <c r="G200" s="48">
        <v>0.50019999999999998</v>
      </c>
      <c r="H200" s="48">
        <v>-0.30009999999999998</v>
      </c>
      <c r="I200" s="48">
        <v>-0.30049999999999999</v>
      </c>
      <c r="J200" s="48">
        <v>0.39960000000000001</v>
      </c>
      <c r="K200" s="48">
        <v>0.34939999999999999</v>
      </c>
      <c r="L200" s="48">
        <f t="shared" si="89"/>
        <v>0.300000000000022</v>
      </c>
      <c r="M200" s="48">
        <f t="shared" si="90"/>
        <v>0.199999999999978</v>
      </c>
      <c r="N200" s="48">
        <f t="shared" si="91"/>
        <v>0.099999999999989</v>
      </c>
      <c r="O200" s="48">
        <f t="shared" si="92"/>
        <v>0.5</v>
      </c>
      <c r="P200" s="48">
        <f t="shared" si="93"/>
        <v>49.6</v>
      </c>
      <c r="Q200" s="48">
        <f t="shared" si="94"/>
        <v>0.599999999999989</v>
      </c>
      <c r="R200" s="48">
        <f t="shared" si="95"/>
        <v>49.6010080542725</v>
      </c>
      <c r="S200" s="48">
        <f t="shared" si="96"/>
        <v>0.806225774829842</v>
      </c>
      <c r="T200" s="110"/>
      <c r="U200" s="110"/>
      <c r="V200" s="110"/>
      <c r="W200" s="110"/>
      <c r="X200" s="110"/>
      <c r="Y200" s="110"/>
      <c r="Z200" s="48">
        <v>0.54300000000000004</v>
      </c>
      <c r="AA200" s="48">
        <v>0.56489999999999996</v>
      </c>
      <c r="AB200" s="48">
        <v>6.1993</v>
      </c>
      <c r="AC200" s="48">
        <v>8.2760999999999996</v>
      </c>
      <c r="AD200" s="48">
        <f t="shared" si="98"/>
        <v>6.7423</v>
      </c>
      <c r="AE200" s="48">
        <f t="shared" si="99"/>
        <v>8.841</v>
      </c>
      <c r="AF200" s="49" t="s">
        <v>167</v>
      </c>
      <c r="AG200" s="49" t="s">
        <v>168</v>
      </c>
      <c r="AH200" s="49">
        <v>1</v>
      </c>
      <c r="AI200" s="49" t="s">
        <v>137</v>
      </c>
      <c r="AJ200" s="2"/>
    </row>
    <row r="201" spans="1:36">
      <c r="A201" s="49">
        <v>3</v>
      </c>
      <c r="B201" s="49" t="s">
        <v>169</v>
      </c>
      <c r="C201" s="49">
        <v>0.75</v>
      </c>
      <c r="D201" s="49">
        <v>0.3</v>
      </c>
      <c r="E201" s="49">
        <v>0.42</v>
      </c>
      <c r="F201" s="48">
        <v>0.75080000000000002</v>
      </c>
      <c r="G201" s="48">
        <v>0.75</v>
      </c>
      <c r="H201" s="48">
        <v>0.29920000000000002</v>
      </c>
      <c r="I201" s="48">
        <v>0.30020000000000002</v>
      </c>
      <c r="J201" s="48">
        <v>0.47089999999999999</v>
      </c>
      <c r="K201" s="48">
        <v>0.4209</v>
      </c>
      <c r="L201" s="48">
        <f t="shared" si="89"/>
        <v>0.800000000000023</v>
      </c>
      <c r="M201" s="48">
        <f t="shared" si="90"/>
        <v>0</v>
      </c>
      <c r="N201" s="48">
        <f t="shared" si="91"/>
        <v>0.799999999999967</v>
      </c>
      <c r="O201" s="48">
        <f t="shared" si="92"/>
        <v>0.200000000000033</v>
      </c>
      <c r="P201" s="48">
        <f t="shared" si="93"/>
        <v>50.9</v>
      </c>
      <c r="Q201" s="48">
        <f t="shared" si="94"/>
        <v>0.900000000000012</v>
      </c>
      <c r="R201" s="48">
        <f t="shared" si="95"/>
        <v>50.9125721212354</v>
      </c>
      <c r="S201" s="48">
        <f t="shared" si="96"/>
        <v>0.921954445729308</v>
      </c>
      <c r="T201" s="110"/>
      <c r="U201" s="110"/>
      <c r="V201" s="110"/>
      <c r="W201" s="110"/>
      <c r="X201" s="110"/>
      <c r="Y201" s="110"/>
      <c r="Z201" s="48">
        <v>0.56210000000000004</v>
      </c>
      <c r="AA201" s="48">
        <v>0.55649999999999999</v>
      </c>
      <c r="AB201" s="48">
        <v>7.0377999999999998</v>
      </c>
      <c r="AC201" s="48">
        <v>9.0274999999999999</v>
      </c>
      <c r="AD201" s="48">
        <f t="shared" si="98"/>
        <v>7.5999</v>
      </c>
      <c r="AE201" s="48">
        <f t="shared" si="99"/>
        <v>9.584</v>
      </c>
      <c r="AF201" s="49" t="s">
        <v>167</v>
      </c>
      <c r="AG201" s="49" t="s">
        <v>168</v>
      </c>
      <c r="AH201" s="49">
        <v>1</v>
      </c>
      <c r="AI201" s="49" t="s">
        <v>137</v>
      </c>
      <c r="AJ201" s="2"/>
    </row>
    <row r="202" spans="1:36">
      <c r="A202" s="49">
        <v>4</v>
      </c>
      <c r="B202" s="49" t="s">
        <v>166</v>
      </c>
      <c r="C202" s="49">
        <v>0.5</v>
      </c>
      <c r="D202" s="49">
        <v>-0.3</v>
      </c>
      <c r="E202" s="49">
        <v>0.35</v>
      </c>
      <c r="F202" s="48">
        <v>0.49990000000000001</v>
      </c>
      <c r="G202" s="48">
        <v>0.49969999999999998</v>
      </c>
      <c r="H202" s="48">
        <v>-0.29920000000000002</v>
      </c>
      <c r="I202" s="48">
        <v>-0.30059999999999998</v>
      </c>
      <c r="J202" s="48">
        <v>0.3992</v>
      </c>
      <c r="K202" s="48">
        <v>0.35060000000000002</v>
      </c>
      <c r="L202" s="48">
        <f t="shared" si="89"/>
        <v>0.099999999999989</v>
      </c>
      <c r="M202" s="48">
        <f t="shared" si="90"/>
        <v>0.300000000000022</v>
      </c>
      <c r="N202" s="48">
        <f t="shared" si="91"/>
        <v>0.799999999999967</v>
      </c>
      <c r="O202" s="48">
        <f t="shared" si="92"/>
        <v>0.599999999999989</v>
      </c>
      <c r="P202" s="48">
        <f t="shared" si="93"/>
        <v>49.2</v>
      </c>
      <c r="Q202" s="48">
        <f t="shared" si="94"/>
        <v>0.600000000000045</v>
      </c>
      <c r="R202" s="48">
        <f t="shared" si="95"/>
        <v>49.2066052476698</v>
      </c>
      <c r="S202" s="48">
        <f t="shared" si="96"/>
        <v>0.90000000000003</v>
      </c>
      <c r="T202" s="110"/>
      <c r="U202" s="110"/>
      <c r="V202" s="110"/>
      <c r="W202" s="110"/>
      <c r="X202" s="110"/>
      <c r="Y202" s="110"/>
      <c r="Z202" s="48">
        <v>0.5645</v>
      </c>
      <c r="AA202" s="48">
        <v>0.52659999999999996</v>
      </c>
      <c r="AB202" s="48">
        <v>7.0494000000000003</v>
      </c>
      <c r="AC202" s="48">
        <v>8.4852000000000007</v>
      </c>
      <c r="AD202" s="48">
        <f t="shared" si="98"/>
        <v>7.6139</v>
      </c>
      <c r="AE202" s="48">
        <f t="shared" si="99"/>
        <v>9.0118</v>
      </c>
      <c r="AF202" s="49" t="s">
        <v>167</v>
      </c>
      <c r="AG202" s="49" t="s">
        <v>168</v>
      </c>
      <c r="AH202" s="49">
        <v>1</v>
      </c>
      <c r="AI202" s="49" t="s">
        <v>137</v>
      </c>
      <c r="AJ202" s="2"/>
    </row>
    <row r="203" spans="1:36">
      <c r="A203" s="49">
        <v>4</v>
      </c>
      <c r="B203" s="49" t="s">
        <v>169</v>
      </c>
      <c r="C203" s="49">
        <v>0.75</v>
      </c>
      <c r="D203" s="49">
        <v>0.3</v>
      </c>
      <c r="E203" s="49">
        <v>0.42</v>
      </c>
      <c r="F203" s="48">
        <v>0.74980000000000002</v>
      </c>
      <c r="G203" s="48">
        <v>0.74970000000000003</v>
      </c>
      <c r="H203" s="48">
        <v>0.2999</v>
      </c>
      <c r="I203" s="48">
        <v>0.2999</v>
      </c>
      <c r="J203" s="48">
        <v>0.46910000000000002</v>
      </c>
      <c r="K203" s="48">
        <v>0.42030000000000001</v>
      </c>
      <c r="L203" s="48">
        <f t="shared" si="89"/>
        <v>0.199999999999978</v>
      </c>
      <c r="M203" s="48">
        <f t="shared" si="90"/>
        <v>0.299999999999967</v>
      </c>
      <c r="N203" s="48">
        <f t="shared" si="91"/>
        <v>0.099999999999989</v>
      </c>
      <c r="O203" s="48">
        <f t="shared" si="92"/>
        <v>0.099999999999989</v>
      </c>
      <c r="P203" s="48">
        <f t="shared" si="93"/>
        <v>49.1</v>
      </c>
      <c r="Q203" s="48">
        <f t="shared" si="94"/>
        <v>0.300000000000022</v>
      </c>
      <c r="R203" s="48">
        <f t="shared" si="95"/>
        <v>49.1005091623295</v>
      </c>
      <c r="S203" s="48">
        <f t="shared" si="96"/>
        <v>0.435889894354058</v>
      </c>
      <c r="T203" s="110"/>
      <c r="U203" s="110"/>
      <c r="V203" s="110"/>
      <c r="W203" s="110"/>
      <c r="X203" s="110"/>
      <c r="Y203" s="110"/>
      <c r="Z203" s="48">
        <v>0.64159999999999995</v>
      </c>
      <c r="AA203" s="48">
        <v>0.60270000000000001</v>
      </c>
      <c r="AB203" s="48">
        <v>7.0529000000000002</v>
      </c>
      <c r="AC203" s="48">
        <v>10.124599999999999</v>
      </c>
      <c r="AD203" s="48">
        <f t="shared" si="98"/>
        <v>7.6945</v>
      </c>
      <c r="AE203" s="48">
        <f t="shared" si="99"/>
        <v>10.7273</v>
      </c>
      <c r="AF203" s="49" t="s">
        <v>167</v>
      </c>
      <c r="AG203" s="49" t="s">
        <v>168</v>
      </c>
      <c r="AH203" s="49">
        <v>1</v>
      </c>
      <c r="AI203" s="49" t="s">
        <v>137</v>
      </c>
      <c r="AJ203" s="2"/>
    </row>
    <row r="204" spans="1:36">
      <c r="A204" s="49">
        <v>5</v>
      </c>
      <c r="B204" s="49" t="s">
        <v>166</v>
      </c>
      <c r="C204" s="49">
        <v>0.5</v>
      </c>
      <c r="D204" s="49">
        <v>-0.3</v>
      </c>
      <c r="E204" s="49">
        <v>0.35</v>
      </c>
      <c r="F204" s="48">
        <v>0.50019999999999998</v>
      </c>
      <c r="G204" s="48">
        <v>0.50009999999999999</v>
      </c>
      <c r="H204" s="48">
        <v>-0.2999</v>
      </c>
      <c r="I204" s="48">
        <v>-0.29949999999999999</v>
      </c>
      <c r="J204" s="48">
        <v>0.40039999999999998</v>
      </c>
      <c r="K204" s="48">
        <v>0.35</v>
      </c>
      <c r="L204" s="48">
        <f t="shared" si="89"/>
        <v>0.199999999999978</v>
      </c>
      <c r="M204" s="48">
        <f t="shared" si="90"/>
        <v>0.099999999999989</v>
      </c>
      <c r="N204" s="48">
        <f t="shared" si="91"/>
        <v>0.099999999999989</v>
      </c>
      <c r="O204" s="48">
        <f t="shared" si="92"/>
        <v>0.5</v>
      </c>
      <c r="P204" s="48">
        <f t="shared" si="93"/>
        <v>50.4</v>
      </c>
      <c r="Q204" s="48">
        <f t="shared" si="94"/>
        <v>0</v>
      </c>
      <c r="R204" s="48">
        <f t="shared" si="95"/>
        <v>50.4004960293051</v>
      </c>
      <c r="S204" s="48">
        <f t="shared" si="96"/>
        <v>0.509901951359277</v>
      </c>
      <c r="T204" s="110"/>
      <c r="U204" s="110"/>
      <c r="V204" s="110"/>
      <c r="W204" s="110"/>
      <c r="X204" s="110"/>
      <c r="Y204" s="110"/>
      <c r="Z204" s="48">
        <v>0.5343</v>
      </c>
      <c r="AA204" s="48">
        <v>0.55489999999999995</v>
      </c>
      <c r="AB204" s="48">
        <v>7.0534299999999996</v>
      </c>
      <c r="AC204" s="48">
        <v>8.4719999999999995</v>
      </c>
      <c r="AD204" s="48">
        <f t="shared" si="98"/>
        <v>7.58773</v>
      </c>
      <c r="AE204" s="48">
        <f t="shared" si="99"/>
        <v>9.0269</v>
      </c>
      <c r="AF204" s="49" t="s">
        <v>167</v>
      </c>
      <c r="AG204" s="49" t="s">
        <v>168</v>
      </c>
      <c r="AH204" s="49">
        <v>1</v>
      </c>
      <c r="AI204" s="49" t="s">
        <v>137</v>
      </c>
      <c r="AJ204" s="2"/>
    </row>
    <row r="205" spans="1:36">
      <c r="A205" s="49">
        <v>5</v>
      </c>
      <c r="B205" s="49" t="s">
        <v>169</v>
      </c>
      <c r="C205" s="49">
        <v>0.75</v>
      </c>
      <c r="D205" s="49">
        <v>0.3</v>
      </c>
      <c r="E205" s="49">
        <v>0.42</v>
      </c>
      <c r="F205" s="48">
        <v>0.75019999999999998</v>
      </c>
      <c r="G205" s="48">
        <v>0.74980000000000002</v>
      </c>
      <c r="H205" s="48">
        <v>0.29980000000000001</v>
      </c>
      <c r="I205" s="48">
        <v>0.30030000000000001</v>
      </c>
      <c r="J205" s="48">
        <v>0.47070000000000001</v>
      </c>
      <c r="K205" s="48">
        <v>0.42020000000000002</v>
      </c>
      <c r="L205" s="48">
        <f t="shared" si="89"/>
        <v>0.199999999999978</v>
      </c>
      <c r="M205" s="48">
        <f t="shared" si="90"/>
        <v>0.199999999999978</v>
      </c>
      <c r="N205" s="48">
        <f t="shared" si="91"/>
        <v>0.199999999999978</v>
      </c>
      <c r="O205" s="48">
        <f t="shared" si="92"/>
        <v>0.300000000000022</v>
      </c>
      <c r="P205" s="48">
        <f t="shared" si="93"/>
        <v>50.7</v>
      </c>
      <c r="Q205" s="48">
        <f t="shared" si="94"/>
        <v>0.200000000000033</v>
      </c>
      <c r="R205" s="48">
        <f t="shared" si="95"/>
        <v>50.7007889484967</v>
      </c>
      <c r="S205" s="48">
        <f t="shared" si="96"/>
        <v>0.412310562561788</v>
      </c>
      <c r="T205" s="110"/>
      <c r="U205" s="110"/>
      <c r="V205" s="110"/>
      <c r="W205" s="110"/>
      <c r="X205" s="110"/>
      <c r="Y205" s="110"/>
      <c r="Z205" s="48">
        <v>0.54079999999999995</v>
      </c>
      <c r="AA205" s="48">
        <v>0.55469999999999997</v>
      </c>
      <c r="AB205" s="48">
        <v>7.0308000000000002</v>
      </c>
      <c r="AC205" s="48">
        <v>9.1326000000000001</v>
      </c>
      <c r="AD205" s="48">
        <f t="shared" si="98"/>
        <v>7.5716</v>
      </c>
      <c r="AE205" s="48">
        <f t="shared" si="99"/>
        <v>9.6873</v>
      </c>
      <c r="AF205" s="49" t="s">
        <v>167</v>
      </c>
      <c r="AG205" s="49" t="s">
        <v>168</v>
      </c>
      <c r="AH205" s="49">
        <v>1</v>
      </c>
      <c r="AI205" s="49" t="s">
        <v>137</v>
      </c>
      <c r="AJ205" s="2"/>
    </row>
    <row r="206" spans="1:36">
      <c r="A206" s="49">
        <v>6</v>
      </c>
      <c r="B206" s="49" t="s">
        <v>166</v>
      </c>
      <c r="C206" s="49">
        <v>0.5</v>
      </c>
      <c r="D206" s="49">
        <v>-0.3</v>
      </c>
      <c r="E206" s="49">
        <v>0.35</v>
      </c>
      <c r="F206" s="48">
        <v>0.49930000000000002</v>
      </c>
      <c r="G206" s="48">
        <v>0.49980000000000002</v>
      </c>
      <c r="H206" s="48">
        <v>-0.29980000000000001</v>
      </c>
      <c r="I206" s="48">
        <v>-0.29949999999999999</v>
      </c>
      <c r="J206" s="48">
        <v>0.4</v>
      </c>
      <c r="K206" s="48">
        <v>0.34920000000000001</v>
      </c>
      <c r="L206" s="48">
        <f t="shared" si="89"/>
        <v>0.699999999999978</v>
      </c>
      <c r="M206" s="48">
        <f t="shared" si="90"/>
        <v>0.199999999999978</v>
      </c>
      <c r="N206" s="48">
        <f t="shared" si="91"/>
        <v>0.199999999999978</v>
      </c>
      <c r="O206" s="48">
        <f t="shared" si="92"/>
        <v>0.5</v>
      </c>
      <c r="P206" s="48">
        <f t="shared" si="93"/>
        <v>50</v>
      </c>
      <c r="Q206" s="48">
        <f t="shared" si="94"/>
        <v>0.799999999999967</v>
      </c>
      <c r="R206" s="48">
        <f t="shared" si="95"/>
        <v>50.0052997191298</v>
      </c>
      <c r="S206" s="48">
        <f t="shared" si="96"/>
        <v>0.964365076099264</v>
      </c>
      <c r="T206" s="110"/>
      <c r="U206" s="110"/>
      <c r="V206" s="110"/>
      <c r="W206" s="110"/>
      <c r="X206" s="110"/>
      <c r="Y206" s="110"/>
      <c r="Z206" s="48">
        <v>0.53400000000000003</v>
      </c>
      <c r="AA206" s="48">
        <v>0.65769999999999995</v>
      </c>
      <c r="AB206" s="48">
        <v>7.0612000000000004</v>
      </c>
      <c r="AC206" s="48">
        <v>7.9177999999999997</v>
      </c>
      <c r="AD206" s="48">
        <f t="shared" si="98"/>
        <v>7.5952</v>
      </c>
      <c r="AE206" s="48">
        <f t="shared" si="99"/>
        <v>8.5755</v>
      </c>
      <c r="AF206" s="49" t="s">
        <v>167</v>
      </c>
      <c r="AG206" s="49" t="s">
        <v>168</v>
      </c>
      <c r="AH206" s="49">
        <v>1</v>
      </c>
      <c r="AI206" s="49" t="s">
        <v>137</v>
      </c>
      <c r="AJ206" s="2"/>
    </row>
    <row r="207" spans="1:36">
      <c r="A207" s="49">
        <v>6</v>
      </c>
      <c r="B207" s="49" t="s">
        <v>169</v>
      </c>
      <c r="C207" s="49">
        <v>0.75</v>
      </c>
      <c r="D207" s="49">
        <v>0.3</v>
      </c>
      <c r="E207" s="49">
        <v>0.42</v>
      </c>
      <c r="F207" s="48">
        <v>0.74980000000000002</v>
      </c>
      <c r="G207" s="48">
        <v>0.75019999999999998</v>
      </c>
      <c r="H207" s="48">
        <v>0.30020000000000002</v>
      </c>
      <c r="I207" s="48">
        <v>0.29949999999999999</v>
      </c>
      <c r="J207" s="48">
        <v>0.46970000000000001</v>
      </c>
      <c r="K207" s="48">
        <v>0.4199</v>
      </c>
      <c r="L207" s="48">
        <f t="shared" si="89"/>
        <v>0.199999999999978</v>
      </c>
      <c r="M207" s="48">
        <f t="shared" si="90"/>
        <v>0.199999999999978</v>
      </c>
      <c r="N207" s="48">
        <f t="shared" si="91"/>
        <v>0.200000000000033</v>
      </c>
      <c r="O207" s="48">
        <f t="shared" si="92"/>
        <v>0.5</v>
      </c>
      <c r="P207" s="48">
        <f t="shared" si="93"/>
        <v>49.7</v>
      </c>
      <c r="Q207" s="48">
        <f t="shared" si="94"/>
        <v>0.099999999999989</v>
      </c>
      <c r="R207" s="48">
        <f t="shared" si="95"/>
        <v>49.7008048224574</v>
      </c>
      <c r="S207" s="48">
        <f t="shared" si="96"/>
        <v>0.547722557505157</v>
      </c>
      <c r="T207" s="110"/>
      <c r="U207" s="110"/>
      <c r="V207" s="110"/>
      <c r="W207" s="110"/>
      <c r="X207" s="110"/>
      <c r="Y207" s="110"/>
      <c r="Z207" s="48">
        <v>0.52949999999999997</v>
      </c>
      <c r="AA207" s="48">
        <v>0.58050000000000002</v>
      </c>
      <c r="AB207" s="48">
        <v>7.0449999999999999</v>
      </c>
      <c r="AC207" s="48">
        <v>9.6877999999999993</v>
      </c>
      <c r="AD207" s="48">
        <f t="shared" si="98"/>
        <v>7.5745</v>
      </c>
      <c r="AE207" s="48">
        <f t="shared" si="99"/>
        <v>10.2683</v>
      </c>
      <c r="AF207" s="49" t="s">
        <v>167</v>
      </c>
      <c r="AG207" s="49" t="s">
        <v>168</v>
      </c>
      <c r="AH207" s="49">
        <v>1</v>
      </c>
      <c r="AI207" s="49" t="s">
        <v>137</v>
      </c>
      <c r="AJ207" s="2"/>
    </row>
    <row r="208" spans="1:36">
      <c r="A208" s="49">
        <v>7</v>
      </c>
      <c r="B208" s="49" t="s">
        <v>166</v>
      </c>
      <c r="C208" s="49">
        <v>0.5</v>
      </c>
      <c r="D208" s="49">
        <v>-0.3</v>
      </c>
      <c r="E208" s="49">
        <v>0.35</v>
      </c>
      <c r="F208" s="48">
        <v>0.50080000000000002</v>
      </c>
      <c r="G208" s="48">
        <v>0.5</v>
      </c>
      <c r="H208" s="48">
        <v>-0.2994</v>
      </c>
      <c r="I208" s="48">
        <v>-0.3009</v>
      </c>
      <c r="J208" s="48">
        <v>0.39910000000000001</v>
      </c>
      <c r="K208" s="48">
        <v>0.34970000000000001</v>
      </c>
      <c r="L208" s="48">
        <f t="shared" si="89"/>
        <v>0.800000000000023</v>
      </c>
      <c r="M208" s="48">
        <f t="shared" si="90"/>
        <v>0</v>
      </c>
      <c r="N208" s="48">
        <f t="shared" si="91"/>
        <v>0.599999999999989</v>
      </c>
      <c r="O208" s="48">
        <f t="shared" si="92"/>
        <v>0.900000000000012</v>
      </c>
      <c r="P208" s="48">
        <f t="shared" si="93"/>
        <v>49.1</v>
      </c>
      <c r="Q208" s="48">
        <f t="shared" si="94"/>
        <v>0.299999999999967</v>
      </c>
      <c r="R208" s="48">
        <f t="shared" si="95"/>
        <v>49.1101822436041</v>
      </c>
      <c r="S208" s="48">
        <f t="shared" si="96"/>
        <v>0.948683298050515</v>
      </c>
      <c r="T208" s="110"/>
      <c r="U208" s="110"/>
      <c r="V208" s="110"/>
      <c r="W208" s="110"/>
      <c r="X208" s="110"/>
      <c r="Y208" s="110"/>
      <c r="Z208" s="48">
        <v>0.57340000000000002</v>
      </c>
      <c r="AA208" s="48">
        <v>0.54690000000000005</v>
      </c>
      <c r="AB208" s="48">
        <v>7.0423999999999998</v>
      </c>
      <c r="AC208" s="48">
        <v>8.8331999999999997</v>
      </c>
      <c r="AD208" s="48">
        <f t="shared" si="98"/>
        <v>7.6158</v>
      </c>
      <c r="AE208" s="48">
        <f t="shared" si="99"/>
        <v>9.3801</v>
      </c>
      <c r="AF208" s="49" t="s">
        <v>167</v>
      </c>
      <c r="AG208" s="49" t="s">
        <v>168</v>
      </c>
      <c r="AH208" s="49">
        <v>1</v>
      </c>
      <c r="AI208" s="49" t="s">
        <v>137</v>
      </c>
      <c r="AJ208" s="2"/>
    </row>
    <row r="209" spans="1:36">
      <c r="A209" s="49">
        <v>7</v>
      </c>
      <c r="B209" s="49" t="s">
        <v>169</v>
      </c>
      <c r="C209" s="49">
        <v>0.75</v>
      </c>
      <c r="D209" s="49">
        <v>0.3</v>
      </c>
      <c r="E209" s="49">
        <v>0.42</v>
      </c>
      <c r="F209" s="48">
        <v>0.75070000000000003</v>
      </c>
      <c r="G209" s="48">
        <v>0.75049999999999994</v>
      </c>
      <c r="H209" s="48">
        <v>0.30059999999999998</v>
      </c>
      <c r="I209" s="48">
        <v>0.29959999999999998</v>
      </c>
      <c r="J209" s="48">
        <v>0.46899999999999997</v>
      </c>
      <c r="K209" s="48">
        <v>0.4194</v>
      </c>
      <c r="L209" s="48">
        <f t="shared" si="89"/>
        <v>0.700000000000034</v>
      </c>
      <c r="M209" s="48">
        <f t="shared" si="90"/>
        <v>0.499999999999945</v>
      </c>
      <c r="N209" s="48">
        <f t="shared" si="91"/>
        <v>0.599999999999989</v>
      </c>
      <c r="O209" s="48">
        <f t="shared" si="92"/>
        <v>0.400000000000011</v>
      </c>
      <c r="P209" s="48">
        <f t="shared" si="93"/>
        <v>49</v>
      </c>
      <c r="Q209" s="48">
        <f t="shared" si="94"/>
        <v>0.599999999999989</v>
      </c>
      <c r="R209" s="48">
        <f t="shared" si="95"/>
        <v>49.00867270188</v>
      </c>
      <c r="S209" s="48">
        <f t="shared" si="96"/>
        <v>0.877496438739179</v>
      </c>
      <c r="T209" s="110"/>
      <c r="U209" s="110"/>
      <c r="V209" s="110"/>
      <c r="W209" s="110"/>
      <c r="X209" s="110"/>
      <c r="Y209" s="110"/>
      <c r="Z209" s="48">
        <v>0.56669999999999998</v>
      </c>
      <c r="AA209" s="48">
        <v>0.5786</v>
      </c>
      <c r="AB209" s="48">
        <v>7.0446</v>
      </c>
      <c r="AC209" s="48">
        <v>11.1347</v>
      </c>
      <c r="AD209" s="48">
        <f t="shared" si="98"/>
        <v>7.6113</v>
      </c>
      <c r="AE209" s="48">
        <f t="shared" si="99"/>
        <v>11.7133</v>
      </c>
      <c r="AF209" s="49" t="s">
        <v>167</v>
      </c>
      <c r="AG209" s="49" t="s">
        <v>168</v>
      </c>
      <c r="AH209" s="49">
        <v>1</v>
      </c>
      <c r="AI209" s="49" t="s">
        <v>137</v>
      </c>
      <c r="AJ209" s="2"/>
    </row>
    <row r="210" spans="1:36">
      <c r="A210" s="49">
        <v>8</v>
      </c>
      <c r="B210" s="49" t="s">
        <v>166</v>
      </c>
      <c r="C210" s="49">
        <v>0.5</v>
      </c>
      <c r="D210" s="49">
        <v>-0.3</v>
      </c>
      <c r="E210" s="49">
        <v>0.35</v>
      </c>
      <c r="F210" s="48">
        <v>0.50039999999999996</v>
      </c>
      <c r="G210" s="48">
        <v>0.50009999999999999</v>
      </c>
      <c r="H210" s="48">
        <v>-0.29920000000000002</v>
      </c>
      <c r="I210" s="48">
        <v>-0.3</v>
      </c>
      <c r="J210" s="48">
        <v>0.3992</v>
      </c>
      <c r="K210" s="48">
        <v>0.34939999999999999</v>
      </c>
      <c r="L210" s="48">
        <f t="shared" si="89"/>
        <v>0.399999999999956</v>
      </c>
      <c r="M210" s="48">
        <f t="shared" si="90"/>
        <v>0.099999999999989</v>
      </c>
      <c r="N210" s="48">
        <f t="shared" si="91"/>
        <v>0.799999999999967</v>
      </c>
      <c r="O210" s="48">
        <f t="shared" si="92"/>
        <v>0</v>
      </c>
      <c r="P210" s="48">
        <f t="shared" si="93"/>
        <v>49.2</v>
      </c>
      <c r="Q210" s="48">
        <f t="shared" si="94"/>
        <v>0.599999999999989</v>
      </c>
      <c r="R210" s="48">
        <f t="shared" si="95"/>
        <v>49.2081294096819</v>
      </c>
      <c r="S210" s="48">
        <f t="shared" si="96"/>
        <v>0.60827625302981</v>
      </c>
      <c r="T210" s="110"/>
      <c r="U210" s="110"/>
      <c r="V210" s="110"/>
      <c r="W210" s="110"/>
      <c r="X210" s="110"/>
      <c r="Y210" s="110"/>
      <c r="Z210" s="48">
        <v>0.54079999999999995</v>
      </c>
      <c r="AA210" s="48">
        <v>0.54249999999999998</v>
      </c>
      <c r="AB210" s="48">
        <v>6.1779999999999999</v>
      </c>
      <c r="AC210" s="48">
        <v>8.4887999999999995</v>
      </c>
      <c r="AD210" s="48">
        <f t="shared" si="98"/>
        <v>6.7188</v>
      </c>
      <c r="AE210" s="48">
        <f t="shared" si="99"/>
        <v>9.0313</v>
      </c>
      <c r="AF210" s="49" t="s">
        <v>167</v>
      </c>
      <c r="AG210" s="49" t="s">
        <v>168</v>
      </c>
      <c r="AH210" s="49">
        <v>1</v>
      </c>
      <c r="AI210" s="49" t="s">
        <v>137</v>
      </c>
      <c r="AJ210" s="2"/>
    </row>
    <row r="211" spans="1:36">
      <c r="A211" s="49">
        <v>8</v>
      </c>
      <c r="B211" s="49" t="s">
        <v>169</v>
      </c>
      <c r="C211" s="49">
        <v>0.75</v>
      </c>
      <c r="D211" s="49">
        <v>0.3</v>
      </c>
      <c r="E211" s="49">
        <v>0.42</v>
      </c>
      <c r="F211" s="48">
        <v>0.75019999999999998</v>
      </c>
      <c r="G211" s="48">
        <v>0.74990000000000001</v>
      </c>
      <c r="H211" s="48">
        <v>0.30049999999999999</v>
      </c>
      <c r="I211" s="48">
        <v>0.30030000000000001</v>
      </c>
      <c r="J211" s="48">
        <v>0.46929999999999999</v>
      </c>
      <c r="K211" s="48">
        <v>0.4209</v>
      </c>
      <c r="L211" s="48">
        <f t="shared" si="89"/>
        <v>0.199999999999978</v>
      </c>
      <c r="M211" s="48">
        <f t="shared" si="90"/>
        <v>0.099999999999989</v>
      </c>
      <c r="N211" s="48">
        <f t="shared" si="91"/>
        <v>0.5</v>
      </c>
      <c r="O211" s="48">
        <f t="shared" si="92"/>
        <v>0.300000000000022</v>
      </c>
      <c r="P211" s="48">
        <f t="shared" si="93"/>
        <v>49.3</v>
      </c>
      <c r="Q211" s="48">
        <f t="shared" si="94"/>
        <v>0.900000000000012</v>
      </c>
      <c r="R211" s="48">
        <f t="shared" si="95"/>
        <v>49.3029410887424</v>
      </c>
      <c r="S211" s="48">
        <f t="shared" si="96"/>
        <v>0.953939201416963</v>
      </c>
      <c r="T211" s="110"/>
      <c r="U211" s="110"/>
      <c r="V211" s="110"/>
      <c r="W211" s="110"/>
      <c r="X211" s="110"/>
      <c r="Y211" s="110"/>
      <c r="Z211" s="48">
        <v>0.54500000000000004</v>
      </c>
      <c r="AA211" s="48">
        <v>0.66010000000000002</v>
      </c>
      <c r="AB211" s="48">
        <v>7.0476999999999999</v>
      </c>
      <c r="AC211" s="48">
        <v>10.1317</v>
      </c>
      <c r="AD211" s="48">
        <f t="shared" si="98"/>
        <v>7.5927</v>
      </c>
      <c r="AE211" s="48">
        <f t="shared" si="99"/>
        <v>10.7918</v>
      </c>
      <c r="AF211" s="49" t="s">
        <v>167</v>
      </c>
      <c r="AG211" s="49" t="s">
        <v>168</v>
      </c>
      <c r="AH211" s="49">
        <v>1</v>
      </c>
      <c r="AI211" s="49" t="s">
        <v>137</v>
      </c>
      <c r="AJ211" s="2"/>
    </row>
    <row r="212" spans="1:36">
      <c r="A212" s="49">
        <v>9</v>
      </c>
      <c r="B212" s="49" t="s">
        <v>166</v>
      </c>
      <c r="C212" s="49">
        <v>0.5</v>
      </c>
      <c r="D212" s="49">
        <v>-0.3</v>
      </c>
      <c r="E212" s="49">
        <v>0.35</v>
      </c>
      <c r="F212" s="48">
        <v>0.49940000000000001</v>
      </c>
      <c r="G212" s="48">
        <v>0.49930000000000002</v>
      </c>
      <c r="H212" s="48">
        <v>-0.29980000000000001</v>
      </c>
      <c r="I212" s="48">
        <v>-0.30009999999999998</v>
      </c>
      <c r="J212" s="48">
        <v>0.4</v>
      </c>
      <c r="K212" s="48">
        <v>0.34939999999999999</v>
      </c>
      <c r="L212" s="48">
        <f t="shared" si="89"/>
        <v>0.599999999999989</v>
      </c>
      <c r="M212" s="48">
        <f t="shared" si="90"/>
        <v>0.699999999999978</v>
      </c>
      <c r="N212" s="48">
        <f t="shared" si="91"/>
        <v>0.199999999999978</v>
      </c>
      <c r="O212" s="48">
        <f t="shared" si="92"/>
        <v>0.099999999999989</v>
      </c>
      <c r="P212" s="48">
        <f t="shared" si="93"/>
        <v>50</v>
      </c>
      <c r="Q212" s="48">
        <f t="shared" si="94"/>
        <v>0.599999999999989</v>
      </c>
      <c r="R212" s="48">
        <f t="shared" si="95"/>
        <v>50.0039998400128</v>
      </c>
      <c r="S212" s="48">
        <f t="shared" si="96"/>
        <v>0.927361849549546</v>
      </c>
      <c r="T212" s="110"/>
      <c r="U212" s="110"/>
      <c r="V212" s="110"/>
      <c r="W212" s="110"/>
      <c r="X212" s="110"/>
      <c r="Y212" s="110"/>
      <c r="Z212" s="48">
        <v>0.55169999999999997</v>
      </c>
      <c r="AA212" s="48">
        <v>0.54420000000000002</v>
      </c>
      <c r="AB212" s="48">
        <v>7.0495999999999999</v>
      </c>
      <c r="AC212" s="48">
        <v>7.9396000000000004</v>
      </c>
      <c r="AD212" s="48">
        <f t="shared" si="98"/>
        <v>7.6013</v>
      </c>
      <c r="AE212" s="48">
        <f t="shared" si="99"/>
        <v>8.4838</v>
      </c>
      <c r="AF212" s="49" t="s">
        <v>167</v>
      </c>
      <c r="AG212" s="49" t="s">
        <v>168</v>
      </c>
      <c r="AH212" s="49">
        <v>1</v>
      </c>
      <c r="AI212" s="49" t="s">
        <v>137</v>
      </c>
      <c r="AJ212" s="2"/>
    </row>
    <row r="213" spans="1:36">
      <c r="A213" s="49">
        <v>9</v>
      </c>
      <c r="B213" s="49" t="s">
        <v>169</v>
      </c>
      <c r="C213" s="49">
        <v>0.75</v>
      </c>
      <c r="D213" s="49">
        <v>0.3</v>
      </c>
      <c r="E213" s="49">
        <v>0.42</v>
      </c>
      <c r="F213" s="48">
        <v>0.74990000000000001</v>
      </c>
      <c r="G213" s="48">
        <v>0.74960000000000004</v>
      </c>
      <c r="H213" s="48">
        <v>0.2994</v>
      </c>
      <c r="I213" s="48">
        <v>0.2999</v>
      </c>
      <c r="J213" s="48">
        <v>0.46970000000000001</v>
      </c>
      <c r="K213" s="48">
        <v>0.41909999999999997</v>
      </c>
      <c r="L213" s="48">
        <f t="shared" si="89"/>
        <v>0.099999999999989</v>
      </c>
      <c r="M213" s="48">
        <f t="shared" si="90"/>
        <v>0.399999999999956</v>
      </c>
      <c r="N213" s="48">
        <f t="shared" si="91"/>
        <v>0.599999999999989</v>
      </c>
      <c r="O213" s="48">
        <f t="shared" si="92"/>
        <v>0.099999999999989</v>
      </c>
      <c r="P213" s="48">
        <f t="shared" si="93"/>
        <v>49.7</v>
      </c>
      <c r="Q213" s="48">
        <f t="shared" si="94"/>
        <v>0.900000000000012</v>
      </c>
      <c r="R213" s="48">
        <f t="shared" si="95"/>
        <v>49.7037221946204</v>
      </c>
      <c r="S213" s="48">
        <f t="shared" si="96"/>
        <v>0.989949493661158</v>
      </c>
      <c r="T213" s="110"/>
      <c r="U213" s="110"/>
      <c r="V213" s="110"/>
      <c r="W213" s="110"/>
      <c r="X213" s="110"/>
      <c r="Y213" s="110"/>
      <c r="Z213" s="48">
        <v>0.5242</v>
      </c>
      <c r="AA213" s="48">
        <v>0.55669999999999997</v>
      </c>
      <c r="AB213" s="48">
        <v>7.0461999999999998</v>
      </c>
      <c r="AC213" s="48">
        <v>8.4215999999999998</v>
      </c>
      <c r="AD213" s="48">
        <f t="shared" si="98"/>
        <v>7.5704</v>
      </c>
      <c r="AE213" s="48">
        <f t="shared" si="99"/>
        <v>8.9783</v>
      </c>
      <c r="AF213" s="49" t="s">
        <v>167</v>
      </c>
      <c r="AG213" s="49" t="s">
        <v>168</v>
      </c>
      <c r="AH213" s="49">
        <v>1</v>
      </c>
      <c r="AI213" s="49" t="s">
        <v>137</v>
      </c>
      <c r="AJ213" s="2"/>
    </row>
    <row r="214" spans="1:36">
      <c r="A214" s="49">
        <v>10</v>
      </c>
      <c r="B214" s="49" t="s">
        <v>166</v>
      </c>
      <c r="C214" s="49">
        <v>0.5</v>
      </c>
      <c r="D214" s="49">
        <v>-0.3</v>
      </c>
      <c r="E214" s="49">
        <v>0.35</v>
      </c>
      <c r="F214" s="48">
        <v>0.49969999999999998</v>
      </c>
      <c r="G214" s="48">
        <v>0.50019999999999998</v>
      </c>
      <c r="H214" s="48">
        <v>-0.30009999999999998</v>
      </c>
      <c r="I214" s="48">
        <v>-0.30070000000000002</v>
      </c>
      <c r="J214" s="48">
        <v>0.39960000000000001</v>
      </c>
      <c r="K214" s="48">
        <v>0.3498</v>
      </c>
      <c r="L214" s="48">
        <f t="shared" si="89"/>
        <v>0.300000000000022</v>
      </c>
      <c r="M214" s="48">
        <f t="shared" si="90"/>
        <v>0.199999999999978</v>
      </c>
      <c r="N214" s="48">
        <f t="shared" si="91"/>
        <v>0.099999999999989</v>
      </c>
      <c r="O214" s="48">
        <f t="shared" si="92"/>
        <v>0.700000000000034</v>
      </c>
      <c r="P214" s="48">
        <f t="shared" si="93"/>
        <v>49.6</v>
      </c>
      <c r="Q214" s="48">
        <f t="shared" si="94"/>
        <v>0.199999999999978</v>
      </c>
      <c r="R214" s="48">
        <f t="shared" si="95"/>
        <v>49.6010080542725</v>
      </c>
      <c r="S214" s="48">
        <f t="shared" si="96"/>
        <v>0.754983443527095</v>
      </c>
      <c r="T214" s="110"/>
      <c r="U214" s="110"/>
      <c r="V214" s="110"/>
      <c r="W214" s="110"/>
      <c r="X214" s="110"/>
      <c r="Y214" s="110"/>
      <c r="Z214" s="48">
        <v>0.53890000000000005</v>
      </c>
      <c r="AA214" s="48">
        <v>0.56489999999999996</v>
      </c>
      <c r="AB214" s="48">
        <v>7.0533999999999999</v>
      </c>
      <c r="AC214" s="48">
        <v>8.2760999999999996</v>
      </c>
      <c r="AD214" s="48">
        <f t="shared" si="98"/>
        <v>7.5923</v>
      </c>
      <c r="AE214" s="48">
        <f t="shared" si="99"/>
        <v>8.841</v>
      </c>
      <c r="AF214" s="49" t="s">
        <v>167</v>
      </c>
      <c r="AG214" s="49" t="s">
        <v>168</v>
      </c>
      <c r="AH214" s="49">
        <v>1</v>
      </c>
      <c r="AI214" s="49" t="s">
        <v>137</v>
      </c>
      <c r="AJ214" s="2"/>
    </row>
    <row r="215" spans="1:36">
      <c r="A215" s="49">
        <v>10</v>
      </c>
      <c r="B215" s="49" t="s">
        <v>169</v>
      </c>
      <c r="C215" s="49">
        <v>0.75</v>
      </c>
      <c r="D215" s="49">
        <v>0.3</v>
      </c>
      <c r="E215" s="49">
        <v>0.42</v>
      </c>
      <c r="F215" s="48">
        <v>0.75080000000000002</v>
      </c>
      <c r="G215" s="48">
        <v>0.75039999999999996</v>
      </c>
      <c r="H215" s="48">
        <v>0.29920000000000002</v>
      </c>
      <c r="I215" s="48">
        <v>0.30020000000000002</v>
      </c>
      <c r="J215" s="48">
        <v>0.47089999999999999</v>
      </c>
      <c r="K215" s="48">
        <v>0.4204</v>
      </c>
      <c r="L215" s="48">
        <f t="shared" si="89"/>
        <v>0.800000000000023</v>
      </c>
      <c r="M215" s="48">
        <f t="shared" si="90"/>
        <v>0.399999999999956</v>
      </c>
      <c r="N215" s="48">
        <f t="shared" si="91"/>
        <v>0.799999999999967</v>
      </c>
      <c r="O215" s="48">
        <f t="shared" si="92"/>
        <v>0.200000000000033</v>
      </c>
      <c r="P215" s="48">
        <f t="shared" si="93"/>
        <v>50.9</v>
      </c>
      <c r="Q215" s="48">
        <f t="shared" si="94"/>
        <v>0.400000000000011</v>
      </c>
      <c r="R215" s="48">
        <f t="shared" si="95"/>
        <v>50.9125721212354</v>
      </c>
      <c r="S215" s="48">
        <f t="shared" si="96"/>
        <v>0.599999999999989</v>
      </c>
      <c r="T215" s="111"/>
      <c r="U215" s="111"/>
      <c r="V215" s="111"/>
      <c r="W215" s="111"/>
      <c r="X215" s="111"/>
      <c r="Y215" s="111"/>
      <c r="Z215" s="48">
        <v>0.54210000000000003</v>
      </c>
      <c r="AA215" s="48">
        <v>0.55649999999999999</v>
      </c>
      <c r="AB215" s="48">
        <v>7.0468999999999999</v>
      </c>
      <c r="AC215" s="48">
        <v>9.0274999999999999</v>
      </c>
      <c r="AD215" s="48">
        <f t="shared" si="98"/>
        <v>7.589</v>
      </c>
      <c r="AE215" s="48">
        <f t="shared" si="99"/>
        <v>9.584</v>
      </c>
      <c r="AF215" s="49" t="s">
        <v>167</v>
      </c>
      <c r="AG215" s="49" t="s">
        <v>168</v>
      </c>
      <c r="AH215" s="49">
        <v>1</v>
      </c>
      <c r="AI215" s="49" t="s">
        <v>137</v>
      </c>
      <c r="AJ215" s="2"/>
    </row>
    <row r="216" spans="1:36" ht="18.3" customHeight="1">
      <c r="A216" s="104" t="s">
        <v>170</v>
      </c>
      <c r="B216" s="105"/>
      <c r="C216" s="105"/>
      <c r="D216" s="105"/>
      <c r="E216" s="106"/>
      <c r="F216" s="108">
        <f>AVERAGE(F196:F215)-AVERAGE(G196:G215)</f>
        <v>6.000000000006e-05</v>
      </c>
      <c r="G216" s="106"/>
      <c r="H216" s="108">
        <f>AVERAGE(H196:H215)-AVERAGE(I196:I215)</f>
        <v>0.000239999999999993</v>
      </c>
      <c r="I216" s="106"/>
      <c r="J216" s="108">
        <f>AVERAGE(J196:J215)-AVERAGE(K196:K215)</f>
        <v>0.049855</v>
      </c>
      <c r="K216" s="106"/>
      <c r="L216" s="108">
        <f>AVERAGE(L196:L215)-AVERAGE(M196:M215)</f>
        <v>0.130000000000008</v>
      </c>
      <c r="M216" s="106"/>
      <c r="N216" s="108">
        <f>AVERAGE(N196:N215)-AVERAGE(O196:O215)</f>
        <v>0.0399999999999762</v>
      </c>
      <c r="O216" s="106"/>
      <c r="P216" s="108">
        <f>AVERAGE(P196:P215)-AVERAGE(Q196:Q215)</f>
        <v>49.235</v>
      </c>
      <c r="Q216" s="106"/>
      <c r="R216" s="108">
        <f>AVERAGE(R196:R215)-AVERAGE(S196:S215)</f>
        <v>48.9479088258041</v>
      </c>
      <c r="S216" s="106"/>
      <c r="T216" s="108">
        <f>AVERAGE(T196:T215)-AVERAGE(U196:U215)</f>
        <v>0.000123464568229925</v>
      </c>
      <c r="U216" s="106"/>
      <c r="V216" s="108">
        <f>AVERAGE(V196:V215)-AVERAGE(W196:W215)</f>
        <v>-0.000338570258841653</v>
      </c>
      <c r="W216" s="106"/>
      <c r="X216" s="108">
        <f>AVERAGE(X196:X215)-AVERAGE(Y196:Y215)</f>
        <v>5.62976493288098e-06</v>
      </c>
      <c r="Y216" s="106"/>
      <c r="Z216" s="108">
        <f>AVERAGE(AA196:AA215)-AVERAGE(Z196:Z215)</f>
        <v>0.01884</v>
      </c>
      <c r="AA216" s="106"/>
      <c r="AB216" s="108">
        <f>AVERAGE(AC196:AC215)-AVERAGE(AB196:AB215)</f>
        <v>1.9545985</v>
      </c>
      <c r="AC216" s="106"/>
      <c r="AD216" s="108">
        <f>AVERAGE(AE196:AE215)-AVERAGE(AD196:AD215)</f>
        <v>1.9734385</v>
      </c>
      <c r="AE216" s="106"/>
      <c r="AF216" s="117"/>
      <c r="AG216" s="105"/>
      <c r="AH216" s="105"/>
      <c r="AI216" s="106"/>
      <c r="AJ216" s="2"/>
    </row>
    <row r="217" spans="1:36">
      <c r="A217" s="112" t="s">
        <v>179</v>
      </c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6"/>
      <c r="AJ217" s="2"/>
    </row>
    <row r="218" spans="1:36" s="2" customFormat="1" ht="16.350000000000001" customHeight="1">
      <c r="A218" s="107" t="s">
        <v>126</v>
      </c>
      <c r="B218" s="107" t="s">
        <v>143</v>
      </c>
      <c r="C218" s="107" t="s">
        <v>144</v>
      </c>
      <c r="D218" s="107" t="s">
        <v>145</v>
      </c>
      <c r="E218" s="107" t="s">
        <v>146</v>
      </c>
      <c r="F218" s="107" t="s">
        <v>147</v>
      </c>
      <c r="G218" s="106"/>
      <c r="H218" s="107" t="s">
        <v>148</v>
      </c>
      <c r="I218" s="106"/>
      <c r="J218" s="107" t="s">
        <v>149</v>
      </c>
      <c r="K218" s="106"/>
      <c r="L218" s="114" t="s">
        <v>150</v>
      </c>
      <c r="M218" s="106"/>
      <c r="N218" s="114" t="s">
        <v>151</v>
      </c>
      <c r="O218" s="106"/>
      <c r="P218" s="114" t="s">
        <v>152</v>
      </c>
      <c r="Q218" s="106"/>
      <c r="R218" s="107" t="s">
        <v>153</v>
      </c>
      <c r="S218" s="106"/>
      <c r="T218" s="107" t="s">
        <v>154</v>
      </c>
      <c r="U218" s="106"/>
      <c r="V218" s="107" t="s">
        <v>155</v>
      </c>
      <c r="W218" s="106"/>
      <c r="X218" s="107" t="s">
        <v>156</v>
      </c>
      <c r="Y218" s="106"/>
      <c r="Z218" s="107" t="s">
        <v>157</v>
      </c>
      <c r="AA218" s="106"/>
      <c r="AB218" s="107" t="s">
        <v>158</v>
      </c>
      <c r="AC218" s="106"/>
      <c r="AD218" s="107" t="s">
        <v>159</v>
      </c>
      <c r="AE218" s="106"/>
      <c r="AF218" s="107" t="s">
        <v>160</v>
      </c>
      <c r="AG218" s="107" t="s">
        <v>161</v>
      </c>
      <c r="AH218" s="107" t="s">
        <v>162</v>
      </c>
      <c r="AI218" s="107" t="s">
        <v>163</v>
      </c>
    </row>
    <row r="219" spans="1:36" s="2" customFormat="1" ht="16.350000000000001" customHeight="1">
      <c r="A219" s="111"/>
      <c r="B219" s="111"/>
      <c r="C219" s="111"/>
      <c r="D219" s="111"/>
      <c r="E219" s="111"/>
      <c r="F219" s="47" t="s">
        <v>164</v>
      </c>
      <c r="G219" s="72" t="s">
        <v>165</v>
      </c>
      <c r="H219" s="47" t="s">
        <v>164</v>
      </c>
      <c r="I219" s="72" t="s">
        <v>165</v>
      </c>
      <c r="J219" s="47" t="s">
        <v>164</v>
      </c>
      <c r="K219" s="72" t="s">
        <v>165</v>
      </c>
      <c r="L219" s="47" t="s">
        <v>164</v>
      </c>
      <c r="M219" s="72" t="s">
        <v>165</v>
      </c>
      <c r="N219" s="47" t="s">
        <v>164</v>
      </c>
      <c r="O219" s="72" t="s">
        <v>165</v>
      </c>
      <c r="P219" s="47" t="s">
        <v>164</v>
      </c>
      <c r="Q219" s="72" t="s">
        <v>165</v>
      </c>
      <c r="R219" s="47" t="s">
        <v>164</v>
      </c>
      <c r="S219" s="72" t="s">
        <v>165</v>
      </c>
      <c r="T219" s="47" t="s">
        <v>164</v>
      </c>
      <c r="U219" s="72" t="s">
        <v>165</v>
      </c>
      <c r="V219" s="47" t="s">
        <v>164</v>
      </c>
      <c r="W219" s="72" t="s">
        <v>165</v>
      </c>
      <c r="X219" s="47" t="s">
        <v>164</v>
      </c>
      <c r="Y219" s="72" t="s">
        <v>165</v>
      </c>
      <c r="Z219" s="72" t="s">
        <v>165</v>
      </c>
      <c r="AA219" s="47" t="s">
        <v>164</v>
      </c>
      <c r="AB219" s="72" t="s">
        <v>165</v>
      </c>
      <c r="AC219" s="47" t="s">
        <v>164</v>
      </c>
      <c r="AD219" s="72" t="s">
        <v>165</v>
      </c>
      <c r="AE219" s="47" t="s">
        <v>164</v>
      </c>
      <c r="AF219" s="111"/>
      <c r="AG219" s="111"/>
      <c r="AH219" s="111"/>
      <c r="AI219" s="111"/>
    </row>
    <row r="220" spans="1:36">
      <c r="A220" s="49">
        <v>1</v>
      </c>
      <c r="B220" s="49" t="s">
        <v>166</v>
      </c>
      <c r="C220" s="49">
        <v>0.75</v>
      </c>
      <c r="D220" s="49">
        <v>0.3</v>
      </c>
      <c r="E220" s="49">
        <v>0.35</v>
      </c>
      <c r="F220" s="48">
        <v>0.75039999999999996</v>
      </c>
      <c r="G220" s="48">
        <v>0.75</v>
      </c>
      <c r="H220" s="48">
        <v>0.29949999999999999</v>
      </c>
      <c r="I220" s="48">
        <v>0.29959999999999998</v>
      </c>
      <c r="J220" s="48">
        <v>0.40079999999999999</v>
      </c>
      <c r="K220" s="48">
        <v>0.35049999999999998</v>
      </c>
      <c r="L220" s="48">
        <f t="shared" ref="L220:L239" si="100">ABS(F220-C220)*1000</f>
        <v>0.399999999999956</v>
      </c>
      <c r="M220" s="48">
        <f t="shared" ref="M220:M239" si="101">ABS(G220-C220)*1000</f>
        <v>0</v>
      </c>
      <c r="N220" s="48">
        <f t="shared" ref="N220:N239" si="102">ABS(H220-D220)*1000</f>
        <v>0.5</v>
      </c>
      <c r="O220" s="48">
        <f t="shared" ref="O220:O239" si="103">ABS(I220-D220)*1000</f>
        <v>0.400000000000011</v>
      </c>
      <c r="P220" s="48">
        <f t="shared" ref="P220:P239" si="104">ABS(J220-E220)*1000</f>
        <v>50.8</v>
      </c>
      <c r="Q220" s="48">
        <f t="shared" ref="Q220:Q239" si="105">ABS(K220-E220)*1000</f>
        <v>0.5</v>
      </c>
      <c r="R220" s="48">
        <f t="shared" ref="R220:R239" si="106">SQRT(SUMSQ(L220,N220,P220))</f>
        <v>50.8040352728009</v>
      </c>
      <c r="S220" s="48">
        <f t="shared" ref="S220:S239" si="107">SQRT(SUMSQ(M220,O220,Q220))</f>
        <v>0.640312423743292</v>
      </c>
      <c r="T220" s="109">
        <f t="shared" ref="T220:Y220" si="108">_xlfn.STDEV.S(F220:F239)</f>
        <v>0.128356124143974</v>
      </c>
      <c r="U220" s="109">
        <f t="shared" si="108"/>
        <v>0.128365790962677</v>
      </c>
      <c r="V220" s="109">
        <f t="shared" si="108"/>
        <v>0.307599133528312</v>
      </c>
      <c r="W220" s="109">
        <f t="shared" si="108"/>
        <v>0.307773412722651</v>
      </c>
      <c r="X220" s="109">
        <f t="shared" si="108"/>
        <v>0.0358341780398194</v>
      </c>
      <c r="Y220" s="109">
        <f t="shared" si="108"/>
        <v>0.0357588708169772</v>
      </c>
      <c r="Z220" s="48">
        <v>0.54649999999999999</v>
      </c>
      <c r="AA220" s="48">
        <v>0.54920000000000002</v>
      </c>
      <c r="AB220" s="48">
        <v>7.0530999999999997</v>
      </c>
      <c r="AC220" s="48">
        <v>8.0363000000000007</v>
      </c>
      <c r="AD220" s="48">
        <f t="shared" ref="AD220:AD239" si="109">AB220+Z220</f>
        <v>7.5996</v>
      </c>
      <c r="AE220" s="48">
        <f t="shared" ref="AE220:AE239" si="110">AC220+AA220</f>
        <v>8.5855</v>
      </c>
      <c r="AF220" s="49" t="s">
        <v>167</v>
      </c>
      <c r="AG220" s="49" t="s">
        <v>168</v>
      </c>
      <c r="AH220" s="49">
        <v>1</v>
      </c>
      <c r="AI220" s="49" t="s">
        <v>137</v>
      </c>
      <c r="AJ220" s="2"/>
    </row>
    <row r="221" spans="1:36">
      <c r="A221" s="49">
        <v>1</v>
      </c>
      <c r="B221" s="49" t="s">
        <v>169</v>
      </c>
      <c r="C221" s="49">
        <v>0.5</v>
      </c>
      <c r="D221" s="49">
        <v>-0.3</v>
      </c>
      <c r="E221" s="49">
        <v>0.42</v>
      </c>
      <c r="F221" s="48">
        <v>0.50029999999999997</v>
      </c>
      <c r="G221" s="48">
        <v>0.50019999999999998</v>
      </c>
      <c r="H221" s="48">
        <v>-0.2994</v>
      </c>
      <c r="I221" s="48">
        <v>-0.29959999999999998</v>
      </c>
      <c r="J221" s="48">
        <v>0.47099999999999997</v>
      </c>
      <c r="K221" s="48">
        <v>0.4194</v>
      </c>
      <c r="L221" s="48">
        <f t="shared" si="100"/>
        <v>0.299999999999967</v>
      </c>
      <c r="M221" s="48">
        <f t="shared" si="101"/>
        <v>0.199999999999978</v>
      </c>
      <c r="N221" s="48">
        <f t="shared" si="102"/>
        <v>0.599999999999989</v>
      </c>
      <c r="O221" s="48">
        <f t="shared" si="103"/>
        <v>0.400000000000011</v>
      </c>
      <c r="P221" s="48">
        <f t="shared" si="104"/>
        <v>51</v>
      </c>
      <c r="Q221" s="48">
        <f t="shared" si="105"/>
        <v>0.599999999999989</v>
      </c>
      <c r="R221" s="48">
        <f t="shared" si="106"/>
        <v>51.0044115739021</v>
      </c>
      <c r="S221" s="48">
        <f t="shared" si="107"/>
        <v>0.74833147735478</v>
      </c>
      <c r="T221" s="110"/>
      <c r="U221" s="110"/>
      <c r="V221" s="110"/>
      <c r="W221" s="110"/>
      <c r="X221" s="110"/>
      <c r="Y221" s="110"/>
      <c r="Z221" s="48">
        <v>0.55210000000000004</v>
      </c>
      <c r="AA221" s="48">
        <v>0.54149999999999998</v>
      </c>
      <c r="AB221" s="48">
        <v>6.3276000000000003</v>
      </c>
      <c r="AC221" s="48">
        <v>7.5683999999999996</v>
      </c>
      <c r="AD221" s="48">
        <f t="shared" si="109"/>
        <v>6.8797</v>
      </c>
      <c r="AE221" s="48">
        <f t="shared" si="110"/>
        <v>8.1099</v>
      </c>
      <c r="AF221" s="49" t="s">
        <v>167</v>
      </c>
      <c r="AG221" s="49" t="s">
        <v>168</v>
      </c>
      <c r="AH221" s="49">
        <v>1</v>
      </c>
      <c r="AI221" s="49" t="s">
        <v>137</v>
      </c>
      <c r="AJ221" s="2"/>
    </row>
    <row r="222" spans="1:36">
      <c r="A222" s="49">
        <v>2</v>
      </c>
      <c r="B222" s="49" t="s">
        <v>166</v>
      </c>
      <c r="C222" s="49">
        <v>0.75</v>
      </c>
      <c r="D222" s="49">
        <v>0.3</v>
      </c>
      <c r="E222" s="49">
        <v>0.35</v>
      </c>
      <c r="F222" s="48">
        <v>0.75049999999999994</v>
      </c>
      <c r="G222" s="48">
        <v>0.75009999999999999</v>
      </c>
      <c r="H222" s="48">
        <v>0.30059999999999998</v>
      </c>
      <c r="I222" s="48">
        <v>0.30020000000000002</v>
      </c>
      <c r="J222" s="48">
        <v>0.40039999999999998</v>
      </c>
      <c r="K222" s="48">
        <v>0.35060000000000002</v>
      </c>
      <c r="L222" s="48">
        <f t="shared" si="100"/>
        <v>0.499999999999945</v>
      </c>
      <c r="M222" s="48">
        <f t="shared" si="101"/>
        <v>0.099999999999989</v>
      </c>
      <c r="N222" s="48">
        <f t="shared" si="102"/>
        <v>0.599999999999989</v>
      </c>
      <c r="O222" s="48">
        <f t="shared" si="103"/>
        <v>0.200000000000033</v>
      </c>
      <c r="P222" s="48">
        <f t="shared" si="104"/>
        <v>50.4</v>
      </c>
      <c r="Q222" s="48">
        <f t="shared" si="105"/>
        <v>0.600000000000045</v>
      </c>
      <c r="R222" s="48">
        <f t="shared" si="106"/>
        <v>50.4060512240346</v>
      </c>
      <c r="S222" s="48">
        <f t="shared" si="107"/>
        <v>0.640312423743336</v>
      </c>
      <c r="T222" s="110"/>
      <c r="U222" s="110"/>
      <c r="V222" s="110"/>
      <c r="W222" s="110"/>
      <c r="X222" s="110"/>
      <c r="Y222" s="110"/>
      <c r="Z222" s="48">
        <v>0.54379999999999995</v>
      </c>
      <c r="AA222" s="48">
        <v>0.54120000000000001</v>
      </c>
      <c r="AB222" s="48">
        <v>7.0442400000000003</v>
      </c>
      <c r="AC222" s="48">
        <v>7.5225999999999997</v>
      </c>
      <c r="AD222" s="48">
        <f t="shared" si="109"/>
        <v>7.58804</v>
      </c>
      <c r="AE222" s="48">
        <f t="shared" si="110"/>
        <v>8.0638</v>
      </c>
      <c r="AF222" s="49" t="s">
        <v>167</v>
      </c>
      <c r="AG222" s="49" t="s">
        <v>168</v>
      </c>
      <c r="AH222" s="49">
        <v>1</v>
      </c>
      <c r="AI222" s="49" t="s">
        <v>137</v>
      </c>
      <c r="AJ222" s="2"/>
    </row>
    <row r="223" spans="1:36">
      <c r="A223" s="49">
        <v>2</v>
      </c>
      <c r="B223" s="49" t="s">
        <v>169</v>
      </c>
      <c r="C223" s="49">
        <v>0.5</v>
      </c>
      <c r="D223" s="49">
        <v>-0.3</v>
      </c>
      <c r="E223" s="49">
        <v>0.42</v>
      </c>
      <c r="F223" s="48">
        <v>0.50049999999999994</v>
      </c>
      <c r="G223" s="48">
        <v>0.5</v>
      </c>
      <c r="H223" s="48">
        <v>-0.30020000000000002</v>
      </c>
      <c r="I223" s="48">
        <v>-0.29920000000000002</v>
      </c>
      <c r="J223" s="48">
        <v>0.47010000000000002</v>
      </c>
      <c r="K223" s="48">
        <v>0.41970000000000002</v>
      </c>
      <c r="L223" s="48">
        <f t="shared" si="100"/>
        <v>0.499999999999945</v>
      </c>
      <c r="M223" s="48">
        <f t="shared" si="101"/>
        <v>0</v>
      </c>
      <c r="N223" s="48">
        <f t="shared" si="102"/>
        <v>0.200000000000033</v>
      </c>
      <c r="O223" s="48">
        <f t="shared" si="103"/>
        <v>0.799999999999967</v>
      </c>
      <c r="P223" s="48">
        <f t="shared" si="104"/>
        <v>50.1</v>
      </c>
      <c r="Q223" s="48">
        <f t="shared" si="105"/>
        <v>0.299999999999967</v>
      </c>
      <c r="R223" s="48">
        <f t="shared" si="106"/>
        <v>50.1028941279843</v>
      </c>
      <c r="S223" s="48">
        <f t="shared" si="107"/>
        <v>0.854400374531711</v>
      </c>
      <c r="T223" s="110"/>
      <c r="U223" s="110"/>
      <c r="V223" s="110"/>
      <c r="W223" s="110"/>
      <c r="X223" s="110"/>
      <c r="Y223" s="110"/>
      <c r="Z223" s="48">
        <v>0.54469999999999996</v>
      </c>
      <c r="AA223" s="48">
        <v>0.52969999999999995</v>
      </c>
      <c r="AB223" s="48">
        <v>7.0477999999999996</v>
      </c>
      <c r="AC223" s="48">
        <v>7.5854999999999997</v>
      </c>
      <c r="AD223" s="48">
        <f t="shared" si="109"/>
        <v>7.5925</v>
      </c>
      <c r="AE223" s="48">
        <f t="shared" si="110"/>
        <v>8.1152</v>
      </c>
      <c r="AF223" s="49" t="s">
        <v>167</v>
      </c>
      <c r="AG223" s="49" t="s">
        <v>168</v>
      </c>
      <c r="AH223" s="49">
        <v>1</v>
      </c>
      <c r="AI223" s="49" t="s">
        <v>137</v>
      </c>
      <c r="AJ223" s="2"/>
    </row>
    <row r="224" spans="1:36">
      <c r="A224" s="49">
        <v>3</v>
      </c>
      <c r="B224" s="49" t="s">
        <v>166</v>
      </c>
      <c r="C224" s="49">
        <v>0.75</v>
      </c>
      <c r="D224" s="49">
        <v>0.3</v>
      </c>
      <c r="E224" s="49">
        <v>0.35</v>
      </c>
      <c r="F224" s="48">
        <v>0.74990000000000001</v>
      </c>
      <c r="G224" s="48">
        <v>0.75</v>
      </c>
      <c r="H224" s="48">
        <v>0.30030000000000001</v>
      </c>
      <c r="I224" s="48">
        <v>0.3009</v>
      </c>
      <c r="J224" s="48">
        <v>0.40029999999999999</v>
      </c>
      <c r="K224" s="48">
        <v>0.34970000000000001</v>
      </c>
      <c r="L224" s="48">
        <f t="shared" si="100"/>
        <v>0.099999999999989</v>
      </c>
      <c r="M224" s="48">
        <f t="shared" si="101"/>
        <v>0</v>
      </c>
      <c r="N224" s="48">
        <f t="shared" si="102"/>
        <v>0.300000000000022</v>
      </c>
      <c r="O224" s="48">
        <f t="shared" si="103"/>
        <v>0.900000000000012</v>
      </c>
      <c r="P224" s="48">
        <f t="shared" si="104"/>
        <v>50.3</v>
      </c>
      <c r="Q224" s="48">
        <f t="shared" si="105"/>
        <v>0.299999999999967</v>
      </c>
      <c r="R224" s="48">
        <f t="shared" si="106"/>
        <v>50.3009940259634</v>
      </c>
      <c r="S224" s="48">
        <f t="shared" si="107"/>
        <v>0.948683298050515</v>
      </c>
      <c r="T224" s="110"/>
      <c r="U224" s="110"/>
      <c r="V224" s="110"/>
      <c r="W224" s="110"/>
      <c r="X224" s="110"/>
      <c r="Y224" s="110"/>
      <c r="Z224" s="48">
        <v>0.55420000000000003</v>
      </c>
      <c r="AA224" s="48">
        <v>0.53849999999999998</v>
      </c>
      <c r="AB224" s="48">
        <v>7.0450999999999997</v>
      </c>
      <c r="AC224" s="48">
        <v>8.0648</v>
      </c>
      <c r="AD224" s="48">
        <f t="shared" si="109"/>
        <v>7.5993</v>
      </c>
      <c r="AE224" s="48">
        <f t="shared" si="110"/>
        <v>8.6033</v>
      </c>
      <c r="AF224" s="49" t="s">
        <v>167</v>
      </c>
      <c r="AG224" s="49" t="s">
        <v>168</v>
      </c>
      <c r="AH224" s="49">
        <v>1</v>
      </c>
      <c r="AI224" s="49" t="s">
        <v>137</v>
      </c>
      <c r="AJ224" s="2"/>
    </row>
    <row r="225" spans="1:36">
      <c r="A225" s="49">
        <v>3</v>
      </c>
      <c r="B225" s="49" t="s">
        <v>169</v>
      </c>
      <c r="C225" s="49">
        <v>0.5</v>
      </c>
      <c r="D225" s="49">
        <v>-0.3</v>
      </c>
      <c r="E225" s="49">
        <v>0.42</v>
      </c>
      <c r="F225" s="48">
        <v>0.4995</v>
      </c>
      <c r="G225" s="48">
        <v>0.50009999999999999</v>
      </c>
      <c r="H225" s="48">
        <v>-0.30030000000000001</v>
      </c>
      <c r="I225" s="48">
        <v>-0.3</v>
      </c>
      <c r="J225" s="48">
        <v>0.46949999999999997</v>
      </c>
      <c r="K225" s="48">
        <v>0.41930000000000001</v>
      </c>
      <c r="L225" s="48">
        <f t="shared" si="100"/>
        <v>0.5</v>
      </c>
      <c r="M225" s="48">
        <f t="shared" si="101"/>
        <v>0.099999999999989</v>
      </c>
      <c r="N225" s="48">
        <f t="shared" si="102"/>
        <v>0.300000000000022</v>
      </c>
      <c r="O225" s="48">
        <f t="shared" si="103"/>
        <v>0</v>
      </c>
      <c r="P225" s="48">
        <f t="shared" si="104"/>
        <v>49.5</v>
      </c>
      <c r="Q225" s="48">
        <f t="shared" si="105"/>
        <v>0.699999999999978</v>
      </c>
      <c r="R225" s="48">
        <f t="shared" si="106"/>
        <v>49.5034342243041</v>
      </c>
      <c r="S225" s="48">
        <f t="shared" si="107"/>
        <v>0.707106781186525</v>
      </c>
      <c r="T225" s="110"/>
      <c r="U225" s="110"/>
      <c r="V225" s="110"/>
      <c r="W225" s="110"/>
      <c r="X225" s="110"/>
      <c r="Y225" s="110"/>
      <c r="Z225" s="48">
        <v>0.55530000000000002</v>
      </c>
      <c r="AA225" s="48">
        <v>0.43190000000000001</v>
      </c>
      <c r="AB225" s="48">
        <v>7.0549999999999997</v>
      </c>
      <c r="AC225" s="48">
        <v>7.5609000000000002</v>
      </c>
      <c r="AD225" s="48">
        <f t="shared" si="109"/>
        <v>7.6103</v>
      </c>
      <c r="AE225" s="48">
        <f t="shared" si="110"/>
        <v>7.9928</v>
      </c>
      <c r="AF225" s="49" t="s">
        <v>167</v>
      </c>
      <c r="AG225" s="49" t="s">
        <v>168</v>
      </c>
      <c r="AH225" s="49">
        <v>1</v>
      </c>
      <c r="AI225" s="49" t="s">
        <v>137</v>
      </c>
      <c r="AJ225" s="2"/>
    </row>
    <row r="226" spans="1:36">
      <c r="A226" s="49">
        <v>4</v>
      </c>
      <c r="B226" s="49" t="s">
        <v>166</v>
      </c>
      <c r="C226" s="49">
        <v>0.75</v>
      </c>
      <c r="D226" s="49">
        <v>0.3</v>
      </c>
      <c r="E226" s="49">
        <v>0.35</v>
      </c>
      <c r="F226" s="48">
        <v>0.74960000000000004</v>
      </c>
      <c r="G226" s="48">
        <v>0.74980000000000002</v>
      </c>
      <c r="H226" s="48">
        <v>0.29920000000000002</v>
      </c>
      <c r="I226" s="48">
        <v>0.29920000000000002</v>
      </c>
      <c r="J226" s="48">
        <v>0.39979999999999999</v>
      </c>
      <c r="K226" s="48">
        <v>0.35049999999999998</v>
      </c>
      <c r="L226" s="48">
        <f t="shared" si="100"/>
        <v>0.399999999999956</v>
      </c>
      <c r="M226" s="48">
        <f t="shared" si="101"/>
        <v>0.199999999999978</v>
      </c>
      <c r="N226" s="48">
        <f t="shared" si="102"/>
        <v>0.799999999999967</v>
      </c>
      <c r="O226" s="48">
        <f t="shared" si="103"/>
        <v>0.799999999999967</v>
      </c>
      <c r="P226" s="48">
        <f t="shared" si="104"/>
        <v>49.8</v>
      </c>
      <c r="Q226" s="48">
        <f t="shared" si="105"/>
        <v>0.5</v>
      </c>
      <c r="R226" s="48">
        <f t="shared" si="106"/>
        <v>49.8080314808767</v>
      </c>
      <c r="S226" s="48">
        <f t="shared" si="107"/>
        <v>0.964365076099264</v>
      </c>
      <c r="T226" s="110"/>
      <c r="U226" s="110"/>
      <c r="V226" s="110"/>
      <c r="W226" s="110"/>
      <c r="X226" s="110"/>
      <c r="Y226" s="110"/>
      <c r="Z226" s="48">
        <v>0.55469999999999997</v>
      </c>
      <c r="AA226" s="48">
        <v>0.53769999999999996</v>
      </c>
      <c r="AB226" s="48">
        <v>7.0434999999999999</v>
      </c>
      <c r="AC226" s="48">
        <v>8.8270999999999997</v>
      </c>
      <c r="AD226" s="48">
        <f t="shared" si="109"/>
        <v>7.5982</v>
      </c>
      <c r="AE226" s="48">
        <f t="shared" si="110"/>
        <v>9.3648</v>
      </c>
      <c r="AF226" s="49" t="s">
        <v>167</v>
      </c>
      <c r="AG226" s="49" t="s">
        <v>168</v>
      </c>
      <c r="AH226" s="49">
        <v>1</v>
      </c>
      <c r="AI226" s="49" t="s">
        <v>137</v>
      </c>
      <c r="AJ226" s="2"/>
    </row>
    <row r="227" spans="1:36">
      <c r="A227" s="49">
        <v>4</v>
      </c>
      <c r="B227" s="49" t="s">
        <v>169</v>
      </c>
      <c r="C227" s="49">
        <v>0.5</v>
      </c>
      <c r="D227" s="49">
        <v>-0.3</v>
      </c>
      <c r="E227" s="49">
        <v>0.42</v>
      </c>
      <c r="F227" s="48">
        <v>0.49959999999999999</v>
      </c>
      <c r="G227" s="48">
        <v>0.49930000000000002</v>
      </c>
      <c r="H227" s="48">
        <v>-0.30070000000000002</v>
      </c>
      <c r="I227" s="48">
        <v>-0.2999</v>
      </c>
      <c r="J227" s="48">
        <v>0.46960000000000002</v>
      </c>
      <c r="K227" s="48">
        <v>0.41980000000000001</v>
      </c>
      <c r="L227" s="48">
        <f t="shared" si="100"/>
        <v>0.400000000000011</v>
      </c>
      <c r="M227" s="48">
        <f t="shared" si="101"/>
        <v>0.699999999999978</v>
      </c>
      <c r="N227" s="48">
        <f t="shared" si="102"/>
        <v>0.700000000000034</v>
      </c>
      <c r="O227" s="48">
        <f t="shared" si="103"/>
        <v>0.099999999999989</v>
      </c>
      <c r="P227" s="48">
        <f t="shared" si="104"/>
        <v>49.6</v>
      </c>
      <c r="Q227" s="48">
        <f t="shared" si="105"/>
        <v>0.199999999999978</v>
      </c>
      <c r="R227" s="48">
        <f t="shared" si="106"/>
        <v>49.6065519866076</v>
      </c>
      <c r="S227" s="48">
        <f t="shared" si="107"/>
        <v>0.734846922834925</v>
      </c>
      <c r="T227" s="110"/>
      <c r="U227" s="110"/>
      <c r="V227" s="110"/>
      <c r="W227" s="110"/>
      <c r="X227" s="110"/>
      <c r="Y227" s="110"/>
      <c r="Z227" s="48">
        <v>0.54300000000000004</v>
      </c>
      <c r="AA227" s="48">
        <v>0.56789999999999996</v>
      </c>
      <c r="AB227" s="48">
        <v>7.0529999999999999</v>
      </c>
      <c r="AC227" s="48">
        <v>9.6122999999999994</v>
      </c>
      <c r="AD227" s="48">
        <f t="shared" si="109"/>
        <v>7.596</v>
      </c>
      <c r="AE227" s="48">
        <f t="shared" si="110"/>
        <v>10.1802</v>
      </c>
      <c r="AF227" s="49" t="s">
        <v>167</v>
      </c>
      <c r="AG227" s="49" t="s">
        <v>168</v>
      </c>
      <c r="AH227" s="49">
        <v>1</v>
      </c>
      <c r="AI227" s="49" t="s">
        <v>137</v>
      </c>
      <c r="AJ227" s="2"/>
    </row>
    <row r="228" spans="1:36">
      <c r="A228" s="49">
        <v>5</v>
      </c>
      <c r="B228" s="49" t="s">
        <v>166</v>
      </c>
      <c r="C228" s="49">
        <v>0.75</v>
      </c>
      <c r="D228" s="49">
        <v>0.3</v>
      </c>
      <c r="E228" s="49">
        <v>0.35</v>
      </c>
      <c r="F228" s="48">
        <v>0.75160000000000005</v>
      </c>
      <c r="G228" s="48">
        <v>0.75060000000000004</v>
      </c>
      <c r="H228" s="48">
        <v>0.29899999999999999</v>
      </c>
      <c r="I228" s="48">
        <v>0.29949999999999999</v>
      </c>
      <c r="J228" s="48">
        <v>0.40029999999999999</v>
      </c>
      <c r="K228" s="48">
        <v>0.35049999999999998</v>
      </c>
      <c r="L228" s="48">
        <f t="shared" si="100"/>
        <v>1.60000000000005</v>
      </c>
      <c r="M228" s="48">
        <f t="shared" si="101"/>
        <v>0.600000000000045</v>
      </c>
      <c r="N228" s="48">
        <f t="shared" si="102"/>
        <v>1</v>
      </c>
      <c r="O228" s="48">
        <f t="shared" si="103"/>
        <v>0.5</v>
      </c>
      <c r="P228" s="48">
        <f t="shared" si="104"/>
        <v>50.3</v>
      </c>
      <c r="Q228" s="48">
        <f t="shared" si="105"/>
        <v>0.5</v>
      </c>
      <c r="R228" s="48">
        <f t="shared" si="106"/>
        <v>50.3353752345207</v>
      </c>
      <c r="S228" s="48">
        <f t="shared" si="107"/>
        <v>0.9273618495496</v>
      </c>
      <c r="T228" s="110"/>
      <c r="U228" s="110"/>
      <c r="V228" s="110"/>
      <c r="W228" s="110"/>
      <c r="X228" s="110"/>
      <c r="Y228" s="110"/>
      <c r="Z228" s="48">
        <v>0.54900000000000004</v>
      </c>
      <c r="AA228" s="48">
        <v>0.42770000000000002</v>
      </c>
      <c r="AB228" s="48">
        <v>7.0442</v>
      </c>
      <c r="AC228" s="48">
        <v>7.5890000000000004</v>
      </c>
      <c r="AD228" s="48">
        <f t="shared" si="109"/>
        <v>7.5932</v>
      </c>
      <c r="AE228" s="48">
        <f t="shared" si="110"/>
        <v>8.0167</v>
      </c>
      <c r="AF228" s="49" t="s">
        <v>167</v>
      </c>
      <c r="AG228" s="49" t="s">
        <v>168</v>
      </c>
      <c r="AH228" s="49">
        <v>1</v>
      </c>
      <c r="AI228" s="49" t="s">
        <v>137</v>
      </c>
      <c r="AJ228" s="2"/>
    </row>
    <row r="229" spans="1:36">
      <c r="A229" s="49">
        <v>5</v>
      </c>
      <c r="B229" s="49" t="s">
        <v>169</v>
      </c>
      <c r="C229" s="49">
        <v>0.5</v>
      </c>
      <c r="D229" s="49">
        <v>-0.3</v>
      </c>
      <c r="E229" s="49">
        <v>0.42</v>
      </c>
      <c r="F229" s="48">
        <v>0.50070000000000003</v>
      </c>
      <c r="G229" s="48">
        <v>0.49980000000000002</v>
      </c>
      <c r="H229" s="48">
        <v>-0.30030000000000001</v>
      </c>
      <c r="I229" s="48">
        <v>-0.30080000000000001</v>
      </c>
      <c r="J229" s="48">
        <v>0.47070000000000001</v>
      </c>
      <c r="K229" s="48">
        <v>0.42049999999999998</v>
      </c>
      <c r="L229" s="48">
        <f t="shared" si="100"/>
        <v>0.700000000000034</v>
      </c>
      <c r="M229" s="48">
        <f t="shared" si="101"/>
        <v>0.199999999999978</v>
      </c>
      <c r="N229" s="48">
        <f t="shared" si="102"/>
        <v>0.300000000000022</v>
      </c>
      <c r="O229" s="48">
        <f t="shared" si="103"/>
        <v>0.800000000000023</v>
      </c>
      <c r="P229" s="48">
        <f t="shared" si="104"/>
        <v>50.7</v>
      </c>
      <c r="Q229" s="48">
        <f t="shared" si="105"/>
        <v>0.5</v>
      </c>
      <c r="R229" s="48">
        <f t="shared" si="106"/>
        <v>50.7057195984832</v>
      </c>
      <c r="S229" s="48">
        <f t="shared" si="107"/>
        <v>0.96436507609931</v>
      </c>
      <c r="T229" s="110"/>
      <c r="U229" s="110"/>
      <c r="V229" s="110"/>
      <c r="W229" s="110"/>
      <c r="X229" s="110"/>
      <c r="Y229" s="110"/>
      <c r="Z229" s="48">
        <v>0.53539999999999999</v>
      </c>
      <c r="AA229" s="48">
        <v>0.53080000000000005</v>
      </c>
      <c r="AB229" s="48">
        <v>7.0430000000000001</v>
      </c>
      <c r="AC229" s="48">
        <v>7.1974999999999998</v>
      </c>
      <c r="AD229" s="48">
        <f t="shared" si="109"/>
        <v>7.5784</v>
      </c>
      <c r="AE229" s="48">
        <f t="shared" si="110"/>
        <v>7.7283</v>
      </c>
      <c r="AF229" s="49" t="s">
        <v>167</v>
      </c>
      <c r="AG229" s="49" t="s">
        <v>168</v>
      </c>
      <c r="AH229" s="49">
        <v>1</v>
      </c>
      <c r="AI229" s="49" t="s">
        <v>137</v>
      </c>
      <c r="AJ229" s="2"/>
    </row>
    <row r="230" spans="1:36">
      <c r="A230" s="49">
        <v>6</v>
      </c>
      <c r="B230" s="49" t="s">
        <v>166</v>
      </c>
      <c r="C230" s="49">
        <v>0.75</v>
      </c>
      <c r="D230" s="49">
        <v>0.3</v>
      </c>
      <c r="E230" s="49">
        <v>0.35</v>
      </c>
      <c r="F230" s="48">
        <v>0.74970000000000003</v>
      </c>
      <c r="G230" s="48">
        <v>0.75039999999999996</v>
      </c>
      <c r="H230" s="48">
        <v>0.29930000000000001</v>
      </c>
      <c r="I230" s="48">
        <v>0.30020000000000002</v>
      </c>
      <c r="J230" s="48">
        <v>0.39860000000000001</v>
      </c>
      <c r="K230" s="48">
        <v>0.3493</v>
      </c>
      <c r="L230" s="48">
        <f t="shared" si="100"/>
        <v>0.299999999999967</v>
      </c>
      <c r="M230" s="48">
        <f t="shared" si="101"/>
        <v>0.399999999999956</v>
      </c>
      <c r="N230" s="48">
        <f t="shared" si="102"/>
        <v>0.699999999999978</v>
      </c>
      <c r="O230" s="48">
        <f t="shared" si="103"/>
        <v>0.200000000000033</v>
      </c>
      <c r="P230" s="48">
        <f t="shared" si="104"/>
        <v>48.6</v>
      </c>
      <c r="Q230" s="48">
        <f t="shared" si="105"/>
        <v>0.699999999999978</v>
      </c>
      <c r="R230" s="48">
        <f t="shared" si="106"/>
        <v>48.6059667119172</v>
      </c>
      <c r="S230" s="48">
        <f t="shared" si="107"/>
        <v>0.830662386291776</v>
      </c>
      <c r="T230" s="110"/>
      <c r="U230" s="110"/>
      <c r="V230" s="110"/>
      <c r="W230" s="110"/>
      <c r="X230" s="110"/>
      <c r="Y230" s="110"/>
      <c r="Z230" s="48">
        <v>0.53269999999999995</v>
      </c>
      <c r="AA230" s="48">
        <v>0.5696</v>
      </c>
      <c r="AB230" s="48">
        <v>7.0469999999999997</v>
      </c>
      <c r="AC230" s="48">
        <v>8.8143999999999991</v>
      </c>
      <c r="AD230" s="48">
        <f t="shared" si="109"/>
        <v>7.5797</v>
      </c>
      <c r="AE230" s="48">
        <f t="shared" si="110"/>
        <v>9.384</v>
      </c>
      <c r="AF230" s="49" t="s">
        <v>167</v>
      </c>
      <c r="AG230" s="49" t="s">
        <v>168</v>
      </c>
      <c r="AH230" s="49">
        <v>1</v>
      </c>
      <c r="AI230" s="49" t="s">
        <v>137</v>
      </c>
      <c r="AJ230" s="2"/>
    </row>
    <row r="231" spans="1:36">
      <c r="A231" s="49">
        <v>6</v>
      </c>
      <c r="B231" s="49" t="s">
        <v>169</v>
      </c>
      <c r="C231" s="49">
        <v>0.5</v>
      </c>
      <c r="D231" s="49">
        <v>-0.3</v>
      </c>
      <c r="E231" s="49">
        <v>0.42</v>
      </c>
      <c r="F231" s="48">
        <v>0.4995</v>
      </c>
      <c r="G231" s="48">
        <v>0.49990000000000001</v>
      </c>
      <c r="H231" s="48">
        <v>-0.3</v>
      </c>
      <c r="I231" s="48">
        <v>-0.30059999999999998</v>
      </c>
      <c r="J231" s="48">
        <v>0.46870000000000001</v>
      </c>
      <c r="K231" s="48">
        <v>0.42049999999999998</v>
      </c>
      <c r="L231" s="48">
        <f t="shared" si="100"/>
        <v>0.5</v>
      </c>
      <c r="M231" s="48">
        <f t="shared" si="101"/>
        <v>0.099999999999989</v>
      </c>
      <c r="N231" s="48">
        <f t="shared" si="102"/>
        <v>0</v>
      </c>
      <c r="O231" s="48">
        <f t="shared" si="103"/>
        <v>0.599999999999989</v>
      </c>
      <c r="P231" s="48">
        <f t="shared" si="104"/>
        <v>48.7</v>
      </c>
      <c r="Q231" s="48">
        <f t="shared" si="105"/>
        <v>0.5</v>
      </c>
      <c r="R231" s="48">
        <f t="shared" si="106"/>
        <v>48.7025666674766</v>
      </c>
      <c r="S231" s="48">
        <f t="shared" si="107"/>
        <v>0.787400787401172</v>
      </c>
      <c r="T231" s="110"/>
      <c r="U231" s="110"/>
      <c r="V231" s="110"/>
      <c r="W231" s="110"/>
      <c r="X231" s="110"/>
      <c r="Y231" s="110"/>
      <c r="Z231" s="48">
        <v>0.54279999999999995</v>
      </c>
      <c r="AA231" s="48">
        <v>0.57869999999999999</v>
      </c>
      <c r="AB231" s="48">
        <v>7.609</v>
      </c>
      <c r="AC231" s="48">
        <v>11.583299999999999</v>
      </c>
      <c r="AD231" s="48">
        <f t="shared" si="109"/>
        <v>8.1518</v>
      </c>
      <c r="AE231" s="48">
        <f t="shared" si="110"/>
        <v>12.162</v>
      </c>
      <c r="AF231" s="49" t="s">
        <v>167</v>
      </c>
      <c r="AG231" s="49" t="s">
        <v>168</v>
      </c>
      <c r="AH231" s="49">
        <v>1</v>
      </c>
      <c r="AI231" s="49" t="s">
        <v>137</v>
      </c>
      <c r="AJ231" s="2"/>
    </row>
    <row r="232" spans="1:36">
      <c r="A232" s="49">
        <v>7</v>
      </c>
      <c r="B232" s="49" t="s">
        <v>166</v>
      </c>
      <c r="C232" s="49">
        <v>0.75</v>
      </c>
      <c r="D232" s="49">
        <v>0.3</v>
      </c>
      <c r="E232" s="49">
        <v>0.35</v>
      </c>
      <c r="F232" s="48">
        <v>0.75029999999999997</v>
      </c>
      <c r="G232" s="48">
        <v>0.75060000000000004</v>
      </c>
      <c r="H232" s="48">
        <v>0.29899999999999999</v>
      </c>
      <c r="I232" s="48">
        <v>0.3004</v>
      </c>
      <c r="J232" s="48">
        <v>0.4007</v>
      </c>
      <c r="K232" s="48">
        <v>0.3503</v>
      </c>
      <c r="L232" s="48">
        <f t="shared" si="100"/>
        <v>0.299999999999967</v>
      </c>
      <c r="M232" s="48">
        <f t="shared" si="101"/>
        <v>0.600000000000045</v>
      </c>
      <c r="N232" s="48">
        <f t="shared" si="102"/>
        <v>1</v>
      </c>
      <c r="O232" s="48">
        <f t="shared" si="103"/>
        <v>0.400000000000011</v>
      </c>
      <c r="P232" s="48">
        <f t="shared" si="104"/>
        <v>50.7</v>
      </c>
      <c r="Q232" s="48">
        <f t="shared" si="105"/>
        <v>0.300000000000022</v>
      </c>
      <c r="R232" s="48">
        <f t="shared" si="106"/>
        <v>50.7107483675799</v>
      </c>
      <c r="S232" s="48">
        <f t="shared" si="107"/>
        <v>0.781024967590715</v>
      </c>
      <c r="T232" s="110"/>
      <c r="U232" s="110"/>
      <c r="V232" s="110"/>
      <c r="W232" s="110"/>
      <c r="X232" s="110"/>
      <c r="Y232" s="110"/>
      <c r="Z232" s="48">
        <v>0.54769999999999996</v>
      </c>
      <c r="AA232" s="48">
        <v>0.56020000000000003</v>
      </c>
      <c r="AB232" s="48">
        <v>7.0316999999999998</v>
      </c>
      <c r="AC232" s="48">
        <v>8.1569000000000003</v>
      </c>
      <c r="AD232" s="48">
        <f t="shared" si="109"/>
        <v>7.5794</v>
      </c>
      <c r="AE232" s="48">
        <f t="shared" si="110"/>
        <v>8.7171</v>
      </c>
      <c r="AF232" s="49" t="s">
        <v>167</v>
      </c>
      <c r="AG232" s="49" t="s">
        <v>168</v>
      </c>
      <c r="AH232" s="49">
        <v>1</v>
      </c>
      <c r="AI232" s="49" t="s">
        <v>137</v>
      </c>
      <c r="AJ232" s="2"/>
    </row>
    <row r="233" spans="1:36">
      <c r="A233" s="49">
        <v>7</v>
      </c>
      <c r="B233" s="49" t="s">
        <v>169</v>
      </c>
      <c r="C233" s="49">
        <v>0.5</v>
      </c>
      <c r="D233" s="49">
        <v>-0.3</v>
      </c>
      <c r="E233" s="49">
        <v>0.42</v>
      </c>
      <c r="F233" s="48">
        <v>0.49959999999999999</v>
      </c>
      <c r="G233" s="48">
        <v>0.49919999999999998</v>
      </c>
      <c r="H233" s="48">
        <v>-0.2989</v>
      </c>
      <c r="I233" s="48">
        <v>-0.30049999999999999</v>
      </c>
      <c r="J233" s="48">
        <v>0.46970000000000001</v>
      </c>
      <c r="K233" s="48">
        <v>0.42030000000000001</v>
      </c>
      <c r="L233" s="48">
        <f t="shared" si="100"/>
        <v>0.400000000000011</v>
      </c>
      <c r="M233" s="48">
        <f t="shared" si="101"/>
        <v>0.800000000000023</v>
      </c>
      <c r="N233" s="48">
        <f t="shared" si="102"/>
        <v>1.09999999999999</v>
      </c>
      <c r="O233" s="48">
        <f t="shared" si="103"/>
        <v>0.5</v>
      </c>
      <c r="P233" s="48">
        <f t="shared" si="104"/>
        <v>49.7</v>
      </c>
      <c r="Q233" s="48">
        <f t="shared" si="105"/>
        <v>0.300000000000022</v>
      </c>
      <c r="R233" s="48">
        <f t="shared" si="106"/>
        <v>49.7137807856132</v>
      </c>
      <c r="S233" s="48">
        <f t="shared" si="107"/>
        <v>0.989949493661192</v>
      </c>
      <c r="T233" s="110"/>
      <c r="U233" s="110"/>
      <c r="V233" s="110"/>
      <c r="W233" s="110"/>
      <c r="X233" s="110"/>
      <c r="Y233" s="110"/>
      <c r="Z233" s="48">
        <v>0.54059999999999997</v>
      </c>
      <c r="AA233" s="48">
        <v>0.55269999999999997</v>
      </c>
      <c r="AB233" s="48">
        <v>7.0426000000000002</v>
      </c>
      <c r="AC233" s="48">
        <v>9.0153999999999996</v>
      </c>
      <c r="AD233" s="48">
        <f t="shared" si="109"/>
        <v>7.5832</v>
      </c>
      <c r="AE233" s="48">
        <f t="shared" si="110"/>
        <v>9.5681</v>
      </c>
      <c r="AF233" s="49" t="s">
        <v>167</v>
      </c>
      <c r="AG233" s="49" t="s">
        <v>168</v>
      </c>
      <c r="AH233" s="49">
        <v>1</v>
      </c>
      <c r="AI233" s="49" t="s">
        <v>137</v>
      </c>
      <c r="AJ233" s="2"/>
    </row>
    <row r="234" spans="1:36">
      <c r="A234" s="49">
        <v>8</v>
      </c>
      <c r="B234" s="49" t="s">
        <v>166</v>
      </c>
      <c r="C234" s="49">
        <v>0.75</v>
      </c>
      <c r="D234" s="49">
        <v>0.3</v>
      </c>
      <c r="E234" s="49">
        <v>0.35</v>
      </c>
      <c r="F234" s="48">
        <v>0.74960000000000004</v>
      </c>
      <c r="G234" s="48">
        <v>0.74950000000000006</v>
      </c>
      <c r="H234" s="48">
        <v>0.30020000000000002</v>
      </c>
      <c r="I234" s="48">
        <v>0.29980000000000001</v>
      </c>
      <c r="J234" s="48">
        <v>0.4002</v>
      </c>
      <c r="K234" s="48">
        <v>0.35060000000000002</v>
      </c>
      <c r="L234" s="48">
        <f t="shared" si="100"/>
        <v>0.399999999999956</v>
      </c>
      <c r="M234" s="48">
        <f t="shared" si="101"/>
        <v>0.499999999999945</v>
      </c>
      <c r="N234" s="48">
        <f t="shared" si="102"/>
        <v>0.200000000000033</v>
      </c>
      <c r="O234" s="48">
        <f t="shared" si="103"/>
        <v>0.199999999999978</v>
      </c>
      <c r="P234" s="48">
        <f t="shared" si="104"/>
        <v>50.2</v>
      </c>
      <c r="Q234" s="48">
        <f t="shared" si="105"/>
        <v>0.600000000000045</v>
      </c>
      <c r="R234" s="48">
        <f t="shared" si="106"/>
        <v>50.2019919923503</v>
      </c>
      <c r="S234" s="48">
        <f t="shared" si="107"/>
        <v>0.806225774829849</v>
      </c>
      <c r="T234" s="110"/>
      <c r="U234" s="110"/>
      <c r="V234" s="110"/>
      <c r="W234" s="110"/>
      <c r="X234" s="110"/>
      <c r="Y234" s="110"/>
      <c r="Z234" s="48">
        <v>0.55430000000000001</v>
      </c>
      <c r="AA234" s="48">
        <v>0.54149999999999998</v>
      </c>
      <c r="AB234" s="48">
        <v>7.0503</v>
      </c>
      <c r="AC234" s="48">
        <v>8.8809000000000005</v>
      </c>
      <c r="AD234" s="48">
        <f t="shared" si="109"/>
        <v>7.6046</v>
      </c>
      <c r="AE234" s="48">
        <f t="shared" si="110"/>
        <v>9.4224</v>
      </c>
      <c r="AF234" s="49" t="s">
        <v>167</v>
      </c>
      <c r="AG234" s="49" t="s">
        <v>168</v>
      </c>
      <c r="AH234" s="49">
        <v>1</v>
      </c>
      <c r="AI234" s="49" t="s">
        <v>137</v>
      </c>
      <c r="AJ234" s="2"/>
    </row>
    <row r="235" spans="1:36">
      <c r="A235" s="49">
        <v>8</v>
      </c>
      <c r="B235" s="49" t="s">
        <v>169</v>
      </c>
      <c r="C235" s="49">
        <v>0.5</v>
      </c>
      <c r="D235" s="49">
        <v>-0.3</v>
      </c>
      <c r="E235" s="49">
        <v>0.42</v>
      </c>
      <c r="F235" s="48">
        <v>0.50019999999999998</v>
      </c>
      <c r="G235" s="48">
        <v>0.50029999999999997</v>
      </c>
      <c r="H235" s="48">
        <v>-0.2999</v>
      </c>
      <c r="I235" s="48">
        <v>-0.29930000000000001</v>
      </c>
      <c r="J235" s="48">
        <v>0.47049999999999997</v>
      </c>
      <c r="K235" s="48">
        <v>0.41959999999999997</v>
      </c>
      <c r="L235" s="48">
        <f t="shared" si="100"/>
        <v>0.199999999999978</v>
      </c>
      <c r="M235" s="48">
        <f t="shared" si="101"/>
        <v>0.299999999999967</v>
      </c>
      <c r="N235" s="48">
        <f t="shared" si="102"/>
        <v>0.099999999999989</v>
      </c>
      <c r="O235" s="48">
        <f t="shared" si="103"/>
        <v>0.699999999999978</v>
      </c>
      <c r="P235" s="48">
        <f t="shared" si="104"/>
        <v>50.5</v>
      </c>
      <c r="Q235" s="48">
        <f t="shared" si="105"/>
        <v>0.400000000000011</v>
      </c>
      <c r="R235" s="48">
        <f t="shared" si="106"/>
        <v>50.5004950470785</v>
      </c>
      <c r="S235" s="48">
        <f t="shared" si="107"/>
        <v>0.860232526704239</v>
      </c>
      <c r="T235" s="110"/>
      <c r="U235" s="110"/>
      <c r="V235" s="110"/>
      <c r="W235" s="110"/>
      <c r="X235" s="110"/>
      <c r="Y235" s="110"/>
      <c r="Z235" s="48">
        <v>0.53620000000000001</v>
      </c>
      <c r="AA235" s="48">
        <v>0.55700000000000005</v>
      </c>
      <c r="AB235" s="48">
        <v>7.0496999999999996</v>
      </c>
      <c r="AC235" s="48">
        <v>9.3231000000000002</v>
      </c>
      <c r="AD235" s="48">
        <f t="shared" si="109"/>
        <v>7.5859</v>
      </c>
      <c r="AE235" s="48">
        <f t="shared" si="110"/>
        <v>9.8801</v>
      </c>
      <c r="AF235" s="49" t="s">
        <v>167</v>
      </c>
      <c r="AG235" s="49" t="s">
        <v>168</v>
      </c>
      <c r="AH235" s="49">
        <v>1</v>
      </c>
      <c r="AI235" s="49" t="s">
        <v>137</v>
      </c>
      <c r="AJ235" s="2"/>
    </row>
    <row r="236" spans="1:36">
      <c r="A236" s="49">
        <v>9</v>
      </c>
      <c r="B236" s="49" t="s">
        <v>166</v>
      </c>
      <c r="C236" s="49">
        <v>0.75</v>
      </c>
      <c r="D236" s="49">
        <v>0.3</v>
      </c>
      <c r="E236" s="49">
        <v>0.35</v>
      </c>
      <c r="F236" s="48">
        <v>0.75049999999999994</v>
      </c>
      <c r="G236" s="48">
        <v>0.75039999999999996</v>
      </c>
      <c r="H236" s="48">
        <v>0.2999</v>
      </c>
      <c r="I236" s="48">
        <v>0.29970000000000002</v>
      </c>
      <c r="J236" s="48">
        <v>0.40129999999999999</v>
      </c>
      <c r="K236" s="48">
        <v>0.35060000000000002</v>
      </c>
      <c r="L236" s="48">
        <f t="shared" si="100"/>
        <v>0.499999999999945</v>
      </c>
      <c r="M236" s="48">
        <f t="shared" si="101"/>
        <v>0.399999999999956</v>
      </c>
      <c r="N236" s="48">
        <f t="shared" si="102"/>
        <v>0.099999999999989</v>
      </c>
      <c r="O236" s="48">
        <f t="shared" si="103"/>
        <v>0.299999999999967</v>
      </c>
      <c r="P236" s="48">
        <f t="shared" si="104"/>
        <v>51.3</v>
      </c>
      <c r="Q236" s="48">
        <f t="shared" si="105"/>
        <v>0.600000000000045</v>
      </c>
      <c r="R236" s="48">
        <f t="shared" si="106"/>
        <v>51.3025340504736</v>
      </c>
      <c r="S236" s="48">
        <f t="shared" si="107"/>
        <v>0.781024967590665</v>
      </c>
      <c r="T236" s="110"/>
      <c r="U236" s="110"/>
      <c r="V236" s="110"/>
      <c r="W236" s="110"/>
      <c r="X236" s="110"/>
      <c r="Y236" s="110"/>
      <c r="Z236" s="48">
        <v>0.53680000000000005</v>
      </c>
      <c r="AA236" s="48">
        <v>0.13700000000000001</v>
      </c>
      <c r="AB236" s="48">
        <v>7.0510000000000002</v>
      </c>
      <c r="AC236" s="48">
        <v>8.1486000000000001</v>
      </c>
      <c r="AD236" s="48">
        <f t="shared" si="109"/>
        <v>7.5878</v>
      </c>
      <c r="AE236" s="48">
        <f t="shared" si="110"/>
        <v>8.2856</v>
      </c>
      <c r="AF236" s="49" t="s">
        <v>167</v>
      </c>
      <c r="AG236" s="49" t="s">
        <v>168</v>
      </c>
      <c r="AH236" s="49">
        <v>1</v>
      </c>
      <c r="AI236" s="49" t="s">
        <v>137</v>
      </c>
      <c r="AJ236" s="2"/>
    </row>
    <row r="237" spans="1:36">
      <c r="A237" s="49">
        <v>9</v>
      </c>
      <c r="B237" s="49" t="s">
        <v>169</v>
      </c>
      <c r="C237" s="49">
        <v>0.5</v>
      </c>
      <c r="D237" s="49">
        <v>-0.3</v>
      </c>
      <c r="E237" s="49">
        <v>0.42</v>
      </c>
      <c r="F237" s="48">
        <v>0.50060000000000004</v>
      </c>
      <c r="G237" s="48">
        <v>0.50019999999999998</v>
      </c>
      <c r="H237" s="48">
        <v>-0.29970000000000002</v>
      </c>
      <c r="I237" s="48">
        <v>-0.29970000000000002</v>
      </c>
      <c r="J237" s="48">
        <v>0.47060000000000002</v>
      </c>
      <c r="K237" s="48">
        <v>0.42080000000000001</v>
      </c>
      <c r="L237" s="48">
        <f t="shared" si="100"/>
        <v>0.600000000000045</v>
      </c>
      <c r="M237" s="48">
        <f t="shared" si="101"/>
        <v>0.199999999999978</v>
      </c>
      <c r="N237" s="48">
        <f t="shared" si="102"/>
        <v>0.299999999999967</v>
      </c>
      <c r="O237" s="48">
        <f t="shared" si="103"/>
        <v>0.299999999999967</v>
      </c>
      <c r="P237" s="48">
        <f t="shared" si="104"/>
        <v>50.6</v>
      </c>
      <c r="Q237" s="48">
        <f t="shared" si="105"/>
        <v>0.800000000000023</v>
      </c>
      <c r="R237" s="48">
        <f t="shared" si="106"/>
        <v>50.6044464449519</v>
      </c>
      <c r="S237" s="48">
        <f t="shared" si="107"/>
        <v>0.877496438739217</v>
      </c>
      <c r="T237" s="110"/>
      <c r="U237" s="110"/>
      <c r="V237" s="110"/>
      <c r="W237" s="110"/>
      <c r="X237" s="110"/>
      <c r="Y237" s="110"/>
      <c r="Z237" s="48">
        <v>0.54400000000000004</v>
      </c>
      <c r="AA237" s="48">
        <v>0.55000000000000004</v>
      </c>
      <c r="AB237" s="48">
        <v>7.056</v>
      </c>
      <c r="AC237" s="48">
        <v>9.2899999999999991</v>
      </c>
      <c r="AD237" s="48">
        <f t="shared" si="109"/>
        <v>7.6</v>
      </c>
      <c r="AE237" s="48">
        <f t="shared" si="110"/>
        <v>9.84</v>
      </c>
      <c r="AF237" s="49" t="s">
        <v>167</v>
      </c>
      <c r="AG237" s="49" t="s">
        <v>168</v>
      </c>
      <c r="AH237" s="49">
        <v>1</v>
      </c>
      <c r="AI237" s="49" t="s">
        <v>137</v>
      </c>
      <c r="AJ237" s="2"/>
    </row>
    <row r="238" spans="1:36">
      <c r="A238" s="49">
        <v>10</v>
      </c>
      <c r="B238" s="49" t="s">
        <v>166</v>
      </c>
      <c r="C238" s="49">
        <v>0.75</v>
      </c>
      <c r="D238" s="49">
        <v>0.3</v>
      </c>
      <c r="E238" s="49">
        <v>0.35</v>
      </c>
      <c r="F238" s="48">
        <v>0.75019999999999998</v>
      </c>
      <c r="G238" s="48">
        <v>0.74980000000000002</v>
      </c>
      <c r="H238" s="48">
        <v>0.2989</v>
      </c>
      <c r="I238" s="48">
        <v>0.30020000000000002</v>
      </c>
      <c r="J238" s="48">
        <v>0.40050000000000002</v>
      </c>
      <c r="K238" s="48">
        <v>0.35089999999999999</v>
      </c>
      <c r="L238" s="48">
        <f t="shared" si="100"/>
        <v>0.199999999999978</v>
      </c>
      <c r="M238" s="48">
        <f t="shared" si="101"/>
        <v>0.199999999999978</v>
      </c>
      <c r="N238" s="48">
        <f t="shared" si="102"/>
        <v>1.09999999999999</v>
      </c>
      <c r="O238" s="48">
        <f t="shared" si="103"/>
        <v>0.200000000000033</v>
      </c>
      <c r="P238" s="48">
        <f t="shared" si="104"/>
        <v>50.5</v>
      </c>
      <c r="Q238" s="48">
        <f t="shared" si="105"/>
        <v>0.900000000000012</v>
      </c>
      <c r="R238" s="48">
        <f t="shared" si="106"/>
        <v>50.5123747214482</v>
      </c>
      <c r="S238" s="48">
        <f t="shared" si="107"/>
        <v>0.943398113205674</v>
      </c>
      <c r="T238" s="110"/>
      <c r="U238" s="110"/>
      <c r="V238" s="110"/>
      <c r="W238" s="110"/>
      <c r="X238" s="110"/>
      <c r="Y238" s="110"/>
      <c r="Z238" s="48">
        <v>0.55859999999999999</v>
      </c>
      <c r="AA238" s="48">
        <v>0.52639999999999998</v>
      </c>
      <c r="AB238" s="48">
        <v>7.0446</v>
      </c>
      <c r="AC238" s="48">
        <v>7.7224000000000004</v>
      </c>
      <c r="AD238" s="48">
        <f t="shared" si="109"/>
        <v>7.6032</v>
      </c>
      <c r="AE238" s="48">
        <f t="shared" si="110"/>
        <v>8.2488</v>
      </c>
      <c r="AF238" s="49" t="s">
        <v>167</v>
      </c>
      <c r="AG238" s="49" t="s">
        <v>168</v>
      </c>
      <c r="AH238" s="49">
        <v>1</v>
      </c>
      <c r="AI238" s="49" t="s">
        <v>137</v>
      </c>
      <c r="AJ238" s="2"/>
    </row>
    <row r="239" spans="1:36">
      <c r="A239" s="49">
        <v>10</v>
      </c>
      <c r="B239" s="49" t="s">
        <v>169</v>
      </c>
      <c r="C239" s="49">
        <v>0.5</v>
      </c>
      <c r="D239" s="49">
        <v>-0.3</v>
      </c>
      <c r="E239" s="49">
        <v>0.42</v>
      </c>
      <c r="F239" s="48">
        <v>0.49969999999999998</v>
      </c>
      <c r="G239" s="48">
        <v>0.49990000000000001</v>
      </c>
      <c r="H239" s="48">
        <v>-0.3009</v>
      </c>
      <c r="I239" s="48">
        <v>-0.30030000000000001</v>
      </c>
      <c r="J239" s="48">
        <v>0.47089999999999999</v>
      </c>
      <c r="K239" s="48">
        <v>0.42059999999999997</v>
      </c>
      <c r="L239" s="48">
        <f t="shared" si="100"/>
        <v>0.300000000000022</v>
      </c>
      <c r="M239" s="48">
        <f t="shared" si="101"/>
        <v>0.099999999999989</v>
      </c>
      <c r="N239" s="48">
        <f t="shared" si="102"/>
        <v>0.900000000000012</v>
      </c>
      <c r="O239" s="48">
        <f t="shared" si="103"/>
        <v>0.300000000000022</v>
      </c>
      <c r="P239" s="48">
        <f t="shared" si="104"/>
        <v>50.9</v>
      </c>
      <c r="Q239" s="48">
        <f t="shared" si="105"/>
        <v>0.599999999999989</v>
      </c>
      <c r="R239" s="48">
        <f t="shared" si="106"/>
        <v>50.9088400967848</v>
      </c>
      <c r="S239" s="48">
        <f t="shared" si="107"/>
        <v>0.678232998312526</v>
      </c>
      <c r="T239" s="111"/>
      <c r="U239" s="111"/>
      <c r="V239" s="111"/>
      <c r="W239" s="111"/>
      <c r="X239" s="111"/>
      <c r="Y239" s="111"/>
      <c r="Z239" s="48">
        <v>0.53659999999999997</v>
      </c>
      <c r="AA239" s="48">
        <v>0.55489999999999995</v>
      </c>
      <c r="AB239" s="48">
        <v>7.0544000000000002</v>
      </c>
      <c r="AC239" s="48">
        <v>7.0914999999999999</v>
      </c>
      <c r="AD239" s="48">
        <f t="shared" si="109"/>
        <v>7.591</v>
      </c>
      <c r="AE239" s="48">
        <f t="shared" si="110"/>
        <v>7.6464</v>
      </c>
      <c r="AF239" s="49" t="s">
        <v>167</v>
      </c>
      <c r="AG239" s="49" t="s">
        <v>168</v>
      </c>
      <c r="AH239" s="49">
        <v>1</v>
      </c>
      <c r="AI239" s="49" t="s">
        <v>137</v>
      </c>
      <c r="AJ239" s="2"/>
    </row>
    <row r="240" spans="1:36" ht="18.3" customHeight="1">
      <c r="A240" s="104" t="s">
        <v>170</v>
      </c>
      <c r="B240" s="105"/>
      <c r="C240" s="105"/>
      <c r="D240" s="105"/>
      <c r="E240" s="106"/>
      <c r="F240" s="108">
        <f>AVERAGE(F220:F239)-AVERAGE(G220:G239)</f>
        <v>0.000119999999999898</v>
      </c>
      <c r="G240" s="106"/>
      <c r="H240" s="108">
        <f>AVERAGE(H220:H239)-AVERAGE(I220:I239)</f>
        <v>-0.000210000000000007</v>
      </c>
      <c r="I240" s="106"/>
      <c r="J240" s="108">
        <f>AVERAGE(J220:J239)-AVERAGE(K220:K239)</f>
        <v>0.05001</v>
      </c>
      <c r="K240" s="106"/>
      <c r="L240" s="108">
        <f>AVERAGE(L220:L239)-AVERAGE(M220:M239)</f>
        <v>0.169999999999998</v>
      </c>
      <c r="M240" s="106"/>
      <c r="N240" s="108">
        <f>AVERAGE(N220:N239)-AVERAGE(O220:O239)</f>
        <v>0.110000000000002</v>
      </c>
      <c r="O240" s="106"/>
      <c r="P240" s="108">
        <f>AVERAGE(P220:P239)-AVERAGE(Q220:Q239)</f>
        <v>49.69</v>
      </c>
      <c r="Q240" s="106"/>
      <c r="R240" s="108">
        <f>AVERAGE(R220:R239)-AVERAGE(S220:S239)</f>
        <v>49.3937754738816</v>
      </c>
      <c r="S240" s="106"/>
      <c r="T240" s="108">
        <f>AVERAGE(T220:T239)-AVERAGE(U220:U239)</f>
        <v>-9.66681870340214e-06</v>
      </c>
      <c r="U240" s="106"/>
      <c r="V240" s="108">
        <f>AVERAGE(V220:V239)-AVERAGE(W220:W239)</f>
        <v>-0.000174279194338989</v>
      </c>
      <c r="W240" s="106"/>
      <c r="X240" s="108">
        <f>AVERAGE(X220:X239)-AVERAGE(Y220:Y239)</f>
        <v>7.53072228421928e-05</v>
      </c>
      <c r="Y240" s="106"/>
      <c r="Z240" s="108">
        <f>AVERAGE(AA220:AA239)-AVERAGE(Z220:Z239)</f>
        <v>-0.029245</v>
      </c>
      <c r="AA240" s="106"/>
      <c r="AB240" s="108">
        <f>AVERAGE(AC220:AC239)-AVERAGE(AB220:AB239)</f>
        <v>1.339903</v>
      </c>
      <c r="AC240" s="106"/>
      <c r="AD240" s="108">
        <f>AVERAGE(AE220:AE239)-AVERAGE(AD220:AD239)</f>
        <v>1.310658</v>
      </c>
      <c r="AE240" s="106"/>
      <c r="AF240" s="117"/>
      <c r="AG240" s="105"/>
      <c r="AH240" s="105"/>
      <c r="AI240" s="106"/>
      <c r="AJ240" s="2"/>
    </row>
    <row r="242" spans="1:20" ht="9.6" customHeight="1">
      <c r="A242" s="118" t="s">
        <v>180</v>
      </c>
      <c r="B242" s="106"/>
      <c r="C242" s="120" t="s">
        <v>181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6"/>
    </row>
  </sheetData>
  <mergeCells count="442">
    <mergeCell ref="AF218:AF219"/>
    <mergeCell ref="AF74:AF75"/>
    <mergeCell ref="B218:B219"/>
    <mergeCell ref="V220:V239"/>
    <mergeCell ref="X220:X239"/>
    <mergeCell ref="F218:G218"/>
    <mergeCell ref="AF216:AI216"/>
    <mergeCell ref="A217:AI217"/>
    <mergeCell ref="F216:G216"/>
    <mergeCell ref="H216:I216"/>
    <mergeCell ref="AB168:AC168"/>
    <mergeCell ref="F144:G144"/>
    <mergeCell ref="H144:I144"/>
    <mergeCell ref="AG74:AG75"/>
    <mergeCell ref="Z194:AA194"/>
    <mergeCell ref="AB216:AC216"/>
    <mergeCell ref="Y196:Y215"/>
    <mergeCell ref="N74:O74"/>
    <mergeCell ref="P74:Q74"/>
    <mergeCell ref="C242:T242"/>
    <mergeCell ref="AB26:AC26"/>
    <mergeCell ref="R240:S240"/>
    <mergeCell ref="A2:A3"/>
    <mergeCell ref="C2:C3"/>
    <mergeCell ref="E2:E3"/>
    <mergeCell ref="A240:E240"/>
    <mergeCell ref="W196:W215"/>
    <mergeCell ref="X4:X23"/>
    <mergeCell ref="Y76:Y95"/>
    <mergeCell ref="V170:W170"/>
    <mergeCell ref="A194:A195"/>
    <mergeCell ref="F2:G2"/>
    <mergeCell ref="C194:C195"/>
    <mergeCell ref="H2:I2"/>
    <mergeCell ref="X50:Y50"/>
    <mergeCell ref="L170:M170"/>
    <mergeCell ref="R48:S48"/>
    <mergeCell ref="J122:K122"/>
    <mergeCell ref="T48:U48"/>
    <mergeCell ref="J72:K72"/>
    <mergeCell ref="C26:C27"/>
    <mergeCell ref="F24:G24"/>
    <mergeCell ref="D122:D123"/>
    <mergeCell ref="B2:B3"/>
    <mergeCell ref="D2:D3"/>
    <mergeCell ref="Z26:AA26"/>
    <mergeCell ref="X170:Y170"/>
    <mergeCell ref="AF26:AF27"/>
    <mergeCell ref="F26:G26"/>
    <mergeCell ref="Z96:AA96"/>
    <mergeCell ref="AB96:AC96"/>
    <mergeCell ref="B74:B75"/>
    <mergeCell ref="D74:D75"/>
    <mergeCell ref="Z98:AA98"/>
    <mergeCell ref="Y100:Y119"/>
    <mergeCell ref="AB98:AC98"/>
    <mergeCell ref="P122:Q122"/>
    <mergeCell ref="Z48:AA48"/>
    <mergeCell ref="V144:W144"/>
    <mergeCell ref="AD24:AE24"/>
    <mergeCell ref="AH122:AH123"/>
    <mergeCell ref="AF144:AI144"/>
    <mergeCell ref="H122:I122"/>
    <mergeCell ref="AI146:AI147"/>
    <mergeCell ref="AG26:AG27"/>
    <mergeCell ref="AG50:AG51"/>
    <mergeCell ref="X144:Y144"/>
    <mergeCell ref="N144:O144"/>
    <mergeCell ref="P144:Q144"/>
    <mergeCell ref="R122:S122"/>
    <mergeCell ref="AD122:AE122"/>
    <mergeCell ref="R98:S98"/>
    <mergeCell ref="N192:O192"/>
    <mergeCell ref="T98:U98"/>
    <mergeCell ref="P192:Q192"/>
    <mergeCell ref="X120:Y120"/>
    <mergeCell ref="AB120:AC120"/>
    <mergeCell ref="AD120:AE120"/>
    <mergeCell ref="A145:AI145"/>
    <mergeCell ref="A26:A27"/>
    <mergeCell ref="A120:E120"/>
    <mergeCell ref="P218:Q218"/>
    <mergeCell ref="R96:S96"/>
    <mergeCell ref="B194:B195"/>
    <mergeCell ref="L72:M72"/>
    <mergeCell ref="D98:D99"/>
    <mergeCell ref="F194:G194"/>
    <mergeCell ref="R74:S74"/>
    <mergeCell ref="D146:D147"/>
    <mergeCell ref="R194:S194"/>
    <mergeCell ref="R50:S50"/>
    <mergeCell ref="J96:K96"/>
    <mergeCell ref="L96:M96"/>
    <mergeCell ref="N194:O194"/>
    <mergeCell ref="AH98:AH99"/>
    <mergeCell ref="V146:W146"/>
    <mergeCell ref="E218:E219"/>
    <mergeCell ref="C218:C219"/>
    <mergeCell ref="N50:O50"/>
    <mergeCell ref="Z120:AA120"/>
    <mergeCell ref="AB74:AC74"/>
    <mergeCell ref="T148:T167"/>
    <mergeCell ref="A216:E216"/>
    <mergeCell ref="J146:K146"/>
    <mergeCell ref="V148:V167"/>
    <mergeCell ref="Z168:AA168"/>
    <mergeCell ref="L146:M146"/>
    <mergeCell ref="T168:U168"/>
    <mergeCell ref="V72:W72"/>
    <mergeCell ref="T100:T119"/>
    <mergeCell ref="AB240:AC240"/>
    <mergeCell ref="A96:E96"/>
    <mergeCell ref="H240:I240"/>
    <mergeCell ref="AG2:AG3"/>
    <mergeCell ref="Z144:AA144"/>
    <mergeCell ref="R218:S218"/>
    <mergeCell ref="AB144:AC144"/>
    <mergeCell ref="A169:AI169"/>
    <mergeCell ref="R168:S168"/>
    <mergeCell ref="H98:I98"/>
    <mergeCell ref="R24:S24"/>
    <mergeCell ref="J98:K98"/>
    <mergeCell ref="R26:S26"/>
    <mergeCell ref="N120:O120"/>
    <mergeCell ref="AF194:AF195"/>
    <mergeCell ref="T26:U26"/>
    <mergeCell ref="AI218:AI219"/>
    <mergeCell ref="AB2:AC2"/>
    <mergeCell ref="AD2:AE2"/>
    <mergeCell ref="J168:K168"/>
    <mergeCell ref="L168:M168"/>
    <mergeCell ref="AF50:AF51"/>
    <mergeCell ref="T172:T191"/>
    <mergeCell ref="V122:W122"/>
    <mergeCell ref="R216:S216"/>
    <mergeCell ref="T216:U216"/>
    <mergeCell ref="Z74:AA74"/>
    <mergeCell ref="AG194:AG195"/>
    <mergeCell ref="N2:O2"/>
    <mergeCell ref="P2:Q2"/>
    <mergeCell ref="AH50:AH51"/>
    <mergeCell ref="AF24:AI24"/>
    <mergeCell ref="AI98:AI99"/>
    <mergeCell ref="A97:AI97"/>
    <mergeCell ref="Z216:AA216"/>
    <mergeCell ref="J48:K48"/>
    <mergeCell ref="AD96:AE96"/>
    <mergeCell ref="L48:M48"/>
    <mergeCell ref="AD98:AE98"/>
    <mergeCell ref="W76:W95"/>
    <mergeCell ref="A50:A51"/>
    <mergeCell ref="C50:C51"/>
    <mergeCell ref="T122:U122"/>
    <mergeCell ref="F192:G192"/>
    <mergeCell ref="H192:I192"/>
    <mergeCell ref="D170:D171"/>
    <mergeCell ref="P170:Q170"/>
    <mergeCell ref="AF192:AI192"/>
    <mergeCell ref="AH2:AH3"/>
    <mergeCell ref="T220:T239"/>
    <mergeCell ref="V124:V143"/>
    <mergeCell ref="E26:E27"/>
    <mergeCell ref="AG98:AG99"/>
    <mergeCell ref="A24:E24"/>
    <mergeCell ref="B50:B51"/>
    <mergeCell ref="AG218:AG219"/>
    <mergeCell ref="X124:X143"/>
    <mergeCell ref="Z2:AA2"/>
    <mergeCell ref="A25:AI25"/>
    <mergeCell ref="AG122:AG123"/>
    <mergeCell ref="AI122:AI123"/>
    <mergeCell ref="U148:U167"/>
    <mergeCell ref="P120:Q120"/>
    <mergeCell ref="H194:I194"/>
    <mergeCell ref="AI26:AI27"/>
    <mergeCell ref="A192:E192"/>
    <mergeCell ref="AD168:AE168"/>
    <mergeCell ref="H218:I218"/>
    <mergeCell ref="R144:S144"/>
    <mergeCell ref="J218:K218"/>
    <mergeCell ref="T144:U144"/>
    <mergeCell ref="A193:AI193"/>
    <mergeCell ref="L122:M122"/>
    <mergeCell ref="AG146:AG147"/>
    <mergeCell ref="AD26:AE26"/>
    <mergeCell ref="F170:G170"/>
    <mergeCell ref="H170:I170"/>
    <mergeCell ref="AH218:AH219"/>
    <mergeCell ref="AH74:AH75"/>
    <mergeCell ref="F120:G120"/>
    <mergeCell ref="AF2:AF3"/>
    <mergeCell ref="N170:O170"/>
    <mergeCell ref="F50:G50"/>
    <mergeCell ref="J74:K74"/>
    <mergeCell ref="T74:U74"/>
    <mergeCell ref="X72:Y72"/>
    <mergeCell ref="H120:I120"/>
    <mergeCell ref="L98:M98"/>
    <mergeCell ref="W4:W23"/>
    <mergeCell ref="Y4:Y23"/>
    <mergeCell ref="W148:W167"/>
    <mergeCell ref="H26:I26"/>
    <mergeCell ref="P50:Q50"/>
    <mergeCell ref="H50:I50"/>
    <mergeCell ref="F74:G74"/>
    <mergeCell ref="H74:I74"/>
    <mergeCell ref="AF170:AF171"/>
    <mergeCell ref="U124:U143"/>
    <mergeCell ref="W124:W143"/>
    <mergeCell ref="C146:C147"/>
    <mergeCell ref="AD240:AE240"/>
    <mergeCell ref="A168:E168"/>
    <mergeCell ref="J216:K216"/>
    <mergeCell ref="L216:M216"/>
    <mergeCell ref="X146:Y146"/>
    <mergeCell ref="Z192:AA192"/>
    <mergeCell ref="AB192:AC192"/>
    <mergeCell ref="B170:B171"/>
    <mergeCell ref="Y172:Y191"/>
    <mergeCell ref="AB194:AC194"/>
    <mergeCell ref="D218:D219"/>
    <mergeCell ref="Z240:AA240"/>
    <mergeCell ref="AH26:AH27"/>
    <mergeCell ref="J50:K50"/>
    <mergeCell ref="V100:V119"/>
    <mergeCell ref="J144:K144"/>
    <mergeCell ref="AD216:AE216"/>
    <mergeCell ref="N72:O72"/>
    <mergeCell ref="P72:Q72"/>
    <mergeCell ref="V96:W96"/>
    <mergeCell ref="AG170:AG171"/>
    <mergeCell ref="Y52:Y71"/>
    <mergeCell ref="V98:W98"/>
    <mergeCell ref="L74:M74"/>
    <mergeCell ref="AF120:AI120"/>
    <mergeCell ref="V50:W50"/>
    <mergeCell ref="AD72:AE72"/>
    <mergeCell ref="T124:T143"/>
    <mergeCell ref="AH146:AH147"/>
    <mergeCell ref="N240:O240"/>
    <mergeCell ref="A122:A123"/>
    <mergeCell ref="C122:C123"/>
    <mergeCell ref="B146:B147"/>
    <mergeCell ref="Z170:AA170"/>
    <mergeCell ref="N146:O146"/>
    <mergeCell ref="AB170:AC170"/>
    <mergeCell ref="P146:Q146"/>
    <mergeCell ref="A146:A147"/>
    <mergeCell ref="T240:U240"/>
    <mergeCell ref="D194:D195"/>
    <mergeCell ref="V240:W240"/>
    <mergeCell ref="AD218:AE218"/>
    <mergeCell ref="A144:E144"/>
    <mergeCell ref="A170:A171"/>
    <mergeCell ref="AI2:AI3"/>
    <mergeCell ref="T218:U218"/>
    <mergeCell ref="AD144:AE144"/>
    <mergeCell ref="E146:E147"/>
    <mergeCell ref="V218:W218"/>
    <mergeCell ref="X218:Y218"/>
    <mergeCell ref="T196:T215"/>
    <mergeCell ref="AD48:AE48"/>
    <mergeCell ref="A121:AI121"/>
    <mergeCell ref="AH194:AH195"/>
    <mergeCell ref="X48:Y48"/>
    <mergeCell ref="T120:U120"/>
    <mergeCell ref="Y148:Y167"/>
    <mergeCell ref="AF98:AF99"/>
    <mergeCell ref="AF72:AI72"/>
    <mergeCell ref="A73:AI73"/>
    <mergeCell ref="A242:B242"/>
    <mergeCell ref="U4:U23"/>
    <mergeCell ref="Z122:AA122"/>
    <mergeCell ref="X216:Y216"/>
    <mergeCell ref="L240:M240"/>
    <mergeCell ref="V76:V95"/>
    <mergeCell ref="B122:B123"/>
    <mergeCell ref="C170:C171"/>
    <mergeCell ref="E98:E99"/>
    <mergeCell ref="D50:D51"/>
    <mergeCell ref="C74:C75"/>
    <mergeCell ref="Y220:Y239"/>
    <mergeCell ref="Z50:AA50"/>
    <mergeCell ref="E74:E75"/>
    <mergeCell ref="T50:U50"/>
    <mergeCell ref="T52:T71"/>
    <mergeCell ref="AF146:AF147"/>
    <mergeCell ref="AI194:AI195"/>
    <mergeCell ref="N48:O48"/>
    <mergeCell ref="V216:W216"/>
    <mergeCell ref="F122:G122"/>
    <mergeCell ref="P48:Q48"/>
    <mergeCell ref="F72:G72"/>
    <mergeCell ref="H72:I72"/>
    <mergeCell ref="L144:M144"/>
    <mergeCell ref="X122:Y122"/>
    <mergeCell ref="J192:K192"/>
    <mergeCell ref="AF122:AF123"/>
    <mergeCell ref="V52:V71"/>
    <mergeCell ref="L192:M192"/>
    <mergeCell ref="X52:X71"/>
    <mergeCell ref="T170:U170"/>
    <mergeCell ref="W52:W71"/>
    <mergeCell ref="R192:S192"/>
    <mergeCell ref="T192:U192"/>
    <mergeCell ref="T28:T47"/>
    <mergeCell ref="AB24:AC24"/>
    <mergeCell ref="R170:S170"/>
    <mergeCell ref="R120:S120"/>
    <mergeCell ref="X96:Y96"/>
    <mergeCell ref="X76:X95"/>
    <mergeCell ref="T24:U24"/>
    <mergeCell ref="AB50:AC50"/>
    <mergeCell ref="U28:U47"/>
    <mergeCell ref="T96:U96"/>
    <mergeCell ref="Z24:AA24"/>
    <mergeCell ref="V24:W24"/>
    <mergeCell ref="N98:O98"/>
    <mergeCell ref="Y124:Y143"/>
    <mergeCell ref="AB122:AC122"/>
    <mergeCell ref="V120:W120"/>
    <mergeCell ref="Z72:AA72"/>
    <mergeCell ref="AB72:AC72"/>
    <mergeCell ref="X100:X119"/>
    <mergeCell ref="X24:Y24"/>
    <mergeCell ref="P98:Q98"/>
    <mergeCell ref="V26:W26"/>
    <mergeCell ref="X26:Y26"/>
    <mergeCell ref="W28:W47"/>
    <mergeCell ref="U76:U95"/>
    <mergeCell ref="X98:Y98"/>
    <mergeCell ref="U100:U119"/>
    <mergeCell ref="AF240:AI240"/>
    <mergeCell ref="U220:U239"/>
    <mergeCell ref="AF96:AI96"/>
    <mergeCell ref="B98:B99"/>
    <mergeCell ref="AH170:AH171"/>
    <mergeCell ref="N216:O216"/>
    <mergeCell ref="L218:M218"/>
    <mergeCell ref="N218:O218"/>
    <mergeCell ref="X240:Y240"/>
    <mergeCell ref="J170:K170"/>
    <mergeCell ref="AD192:AE192"/>
    <mergeCell ref="AD194:AE194"/>
    <mergeCell ref="U172:U191"/>
    <mergeCell ref="W172:W191"/>
    <mergeCell ref="Z146:AA146"/>
    <mergeCell ref="AB146:AC146"/>
    <mergeCell ref="A218:A219"/>
    <mergeCell ref="A74:A75"/>
    <mergeCell ref="Y28:Y47"/>
    <mergeCell ref="V74:W74"/>
    <mergeCell ref="X74:Y74"/>
    <mergeCell ref="X148:X167"/>
    <mergeCell ref="V168:W168"/>
    <mergeCell ref="X168:Y168"/>
    <mergeCell ref="P168:Q168"/>
    <mergeCell ref="R72:S72"/>
    <mergeCell ref="F48:G48"/>
    <mergeCell ref="T72:U72"/>
    <mergeCell ref="H48:I48"/>
    <mergeCell ref="V192:W192"/>
    <mergeCell ref="V28:V47"/>
    <mergeCell ref="X192:Y192"/>
    <mergeCell ref="P240:Q240"/>
    <mergeCell ref="E122:E123"/>
    <mergeCell ref="R146:S146"/>
    <mergeCell ref="T146:U146"/>
    <mergeCell ref="X172:X191"/>
    <mergeCell ref="F240:G240"/>
    <mergeCell ref="V194:W194"/>
    <mergeCell ref="E194:E195"/>
    <mergeCell ref="J194:K194"/>
    <mergeCell ref="L194:M194"/>
    <mergeCell ref="J240:K240"/>
    <mergeCell ref="P194:Q194"/>
    <mergeCell ref="W220:W239"/>
    <mergeCell ref="T194:U194"/>
    <mergeCell ref="U196:U215"/>
    <mergeCell ref="AF168:AI168"/>
    <mergeCell ref="AI170:AI171"/>
    <mergeCell ref="D26:D27"/>
    <mergeCell ref="X194:Y194"/>
    <mergeCell ref="N96:O96"/>
    <mergeCell ref="X28:X47"/>
    <mergeCell ref="L50:M50"/>
    <mergeCell ref="A72:E72"/>
    <mergeCell ref="AD50:AE50"/>
    <mergeCell ref="A98:A99"/>
    <mergeCell ref="AF48:AI48"/>
    <mergeCell ref="AI50:AI51"/>
    <mergeCell ref="AD146:AE146"/>
    <mergeCell ref="W100:W119"/>
    <mergeCell ref="V48:W48"/>
    <mergeCell ref="AD74:AE74"/>
    <mergeCell ref="AI74:AI75"/>
    <mergeCell ref="Z218:AA218"/>
    <mergeCell ref="AB218:AC218"/>
    <mergeCell ref="A1:AI1"/>
    <mergeCell ref="V172:V191"/>
    <mergeCell ref="V196:V215"/>
    <mergeCell ref="X196:X215"/>
    <mergeCell ref="AB48:AC48"/>
    <mergeCell ref="P216:Q216"/>
    <mergeCell ref="F96:G96"/>
    <mergeCell ref="H96:I96"/>
    <mergeCell ref="N168:O168"/>
    <mergeCell ref="N24:O24"/>
    <mergeCell ref="F98:G98"/>
    <mergeCell ref="P24:Q24"/>
    <mergeCell ref="B26:B27"/>
    <mergeCell ref="E170:E171"/>
    <mergeCell ref="T2:U2"/>
    <mergeCell ref="J24:K24"/>
    <mergeCell ref="L24:M24"/>
    <mergeCell ref="J26:K26"/>
    <mergeCell ref="L26:M26"/>
    <mergeCell ref="N26:O26"/>
    <mergeCell ref="P26:Q26"/>
    <mergeCell ref="J120:K120"/>
    <mergeCell ref="L120:M120"/>
    <mergeCell ref="U52:U71"/>
    <mergeCell ref="L2:M2"/>
    <mergeCell ref="E50:E51"/>
    <mergeCell ref="R2:S2"/>
    <mergeCell ref="H24:I24"/>
    <mergeCell ref="A48:E48"/>
    <mergeCell ref="AD170:AE170"/>
    <mergeCell ref="V2:W2"/>
    <mergeCell ref="X2:Y2"/>
    <mergeCell ref="F168:G168"/>
    <mergeCell ref="H168:I168"/>
    <mergeCell ref="T76:T95"/>
    <mergeCell ref="A49:AI49"/>
    <mergeCell ref="P96:Q96"/>
    <mergeCell ref="J2:K2"/>
    <mergeCell ref="T4:T23"/>
    <mergeCell ref="V4:V23"/>
    <mergeCell ref="C98:C99"/>
    <mergeCell ref="F146:G146"/>
    <mergeCell ref="H146:I146"/>
    <mergeCell ref="N122:O1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30"/>
  <sheetViews>
    <sheetView workbookViewId="0">
      <selection sqref="A1:AH1"/>
    </sheetView>
  </sheetViews>
  <sheetFormatPr defaultRowHeight="13.8"/>
  <sheetData>
    <row r="1" spans="1:34">
      <c r="A1" s="112" t="s">
        <v>142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6"/>
    </row>
    <row r="2" spans="1:34" ht="8.85" customHeight="1">
      <c r="A2" s="107" t="s">
        <v>126</v>
      </c>
      <c r="B2" s="107" t="s">
        <v>143</v>
      </c>
      <c r="C2" s="107" t="s">
        <v>144</v>
      </c>
      <c r="D2" s="107" t="s">
        <v>145</v>
      </c>
      <c r="E2" s="107" t="s">
        <v>146</v>
      </c>
      <c r="F2" s="107" t="s">
        <v>147</v>
      </c>
      <c r="G2" s="121"/>
      <c r="H2" s="107" t="s">
        <v>148</v>
      </c>
      <c r="I2" s="121"/>
      <c r="J2" s="107" t="s">
        <v>149</v>
      </c>
      <c r="K2" s="121"/>
      <c r="L2" s="114" t="s">
        <v>150</v>
      </c>
      <c r="M2" s="121"/>
      <c r="N2" s="114" t="s">
        <v>151</v>
      </c>
      <c r="O2" s="121"/>
      <c r="P2" s="114" t="s">
        <v>152</v>
      </c>
      <c r="Q2" s="121"/>
      <c r="R2" s="107" t="s">
        <v>153</v>
      </c>
      <c r="S2" s="121"/>
      <c r="T2" s="107" t="s">
        <v>154</v>
      </c>
      <c r="U2" s="121"/>
      <c r="V2" s="107" t="s">
        <v>155</v>
      </c>
      <c r="W2" s="121"/>
      <c r="X2" s="107" t="s">
        <v>156</v>
      </c>
      <c r="Y2" s="121"/>
      <c r="Z2" s="107" t="s">
        <v>157</v>
      </c>
      <c r="AA2" s="121"/>
      <c r="AB2" s="107" t="s">
        <v>158</v>
      </c>
      <c r="AC2" s="121"/>
      <c r="AD2" s="107" t="s">
        <v>159</v>
      </c>
      <c r="AE2" s="121"/>
      <c r="AF2" s="107" t="s">
        <v>160</v>
      </c>
      <c r="AG2" s="107" t="s">
        <v>162</v>
      </c>
      <c r="AH2" s="107" t="s">
        <v>163</v>
      </c>
    </row>
    <row r="3" spans="1:34">
      <c r="A3" s="111"/>
      <c r="B3" s="111"/>
      <c r="C3" s="111"/>
      <c r="D3" s="111"/>
      <c r="E3" s="111"/>
      <c r="F3" s="122"/>
      <c r="G3" s="123"/>
      <c r="H3" s="122"/>
      <c r="I3" s="123"/>
      <c r="J3" s="122"/>
      <c r="K3" s="123"/>
      <c r="L3" s="122"/>
      <c r="M3" s="123"/>
      <c r="N3" s="122"/>
      <c r="O3" s="123"/>
      <c r="P3" s="122"/>
      <c r="Q3" s="123"/>
      <c r="R3" s="122"/>
      <c r="S3" s="123"/>
      <c r="T3" s="122"/>
      <c r="U3" s="123"/>
      <c r="V3" s="122"/>
      <c r="W3" s="123"/>
      <c r="X3" s="122"/>
      <c r="Y3" s="123"/>
      <c r="Z3" s="122"/>
      <c r="AA3" s="123"/>
      <c r="AB3" s="122"/>
      <c r="AC3" s="123"/>
      <c r="AD3" s="122"/>
      <c r="AE3" s="123"/>
      <c r="AF3" s="111"/>
      <c r="AG3" s="111"/>
      <c r="AH3" s="111"/>
    </row>
    <row r="4" spans="1:34">
      <c r="A4" s="49">
        <v>1</v>
      </c>
      <c r="B4" s="49" t="s">
        <v>166</v>
      </c>
      <c r="C4" s="49">
        <v>0.55000000000000004</v>
      </c>
      <c r="D4" s="49">
        <v>-0.2</v>
      </c>
      <c r="E4" s="49">
        <v>0.35</v>
      </c>
      <c r="F4" s="109">
        <v>0.55010000000000003</v>
      </c>
      <c r="G4" s="106"/>
      <c r="H4" s="109">
        <v>-0.20019999999999999</v>
      </c>
      <c r="I4" s="106"/>
      <c r="J4" s="109">
        <v>0.35089999999999999</v>
      </c>
      <c r="K4" s="106"/>
      <c r="L4" s="109">
        <f t="shared" ref="L4:L23" si="0">ABS(F4-C4)*1000</f>
        <v>0.099999999999989</v>
      </c>
      <c r="M4" s="106"/>
      <c r="N4" s="109">
        <f t="shared" ref="N4:N23" si="1">ABS(H4-D4)*1000</f>
        <v>0.199999999999978</v>
      </c>
      <c r="O4" s="106"/>
      <c r="P4" s="109">
        <f t="shared" ref="P4:P23" si="2">ABS(J4-E4)*1000</f>
        <v>0.900000000000012</v>
      </c>
      <c r="Q4" s="106"/>
      <c r="R4" s="109">
        <f t="shared" ref="R4:R23" si="3">SQRT(SUMSQ(L4:Q4))</f>
        <v>0.927361849549576</v>
      </c>
      <c r="S4" s="106"/>
      <c r="T4" s="109">
        <f>_xlfn.STDEV.S(F4:G23)</f>
        <v>0.0769967482225198</v>
      </c>
      <c r="U4" s="121"/>
      <c r="V4" s="109">
        <f>_xlfn.STDEV.S(H4:I23)</f>
        <v>0.205052360193812</v>
      </c>
      <c r="W4" s="121"/>
      <c r="X4" s="109">
        <f>_xlfn.STDEV.S(J4:K23)</f>
        <v>0.0358931616416216</v>
      </c>
      <c r="Y4" s="121"/>
      <c r="Z4" s="109">
        <v>1.1571400000000001</v>
      </c>
      <c r="AA4" s="106"/>
      <c r="AB4" s="109">
        <v>11.1393</v>
      </c>
      <c r="AC4" s="106"/>
      <c r="AD4" s="109">
        <f t="shared" ref="AD4:AD23" si="4">AB4+Z4</f>
        <v>12.29644</v>
      </c>
      <c r="AE4" s="106"/>
      <c r="AF4" s="49" t="s">
        <v>167</v>
      </c>
      <c r="AG4" s="49">
        <v>1</v>
      </c>
      <c r="AH4" s="49" t="s">
        <v>137</v>
      </c>
    </row>
    <row r="5" spans="1:34">
      <c r="A5" s="49">
        <v>1</v>
      </c>
      <c r="B5" s="49" t="s">
        <v>169</v>
      </c>
      <c r="C5" s="49">
        <v>0.7</v>
      </c>
      <c r="D5" s="49">
        <v>0.2</v>
      </c>
      <c r="E5" s="49">
        <v>0.42</v>
      </c>
      <c r="F5" s="109">
        <v>0.70040000000000002</v>
      </c>
      <c r="G5" s="106"/>
      <c r="H5" s="109">
        <v>0.19900000000000001</v>
      </c>
      <c r="I5" s="106"/>
      <c r="J5" s="109">
        <v>0.42020000000000002</v>
      </c>
      <c r="K5" s="106"/>
      <c r="L5" s="109">
        <f t="shared" si="0"/>
        <v>0.400000000000067</v>
      </c>
      <c r="M5" s="106"/>
      <c r="N5" s="109">
        <f t="shared" si="1"/>
        <v>1</v>
      </c>
      <c r="O5" s="106"/>
      <c r="P5" s="109">
        <f t="shared" si="2"/>
        <v>0.200000000000033</v>
      </c>
      <c r="Q5" s="106"/>
      <c r="R5" s="109">
        <f t="shared" si="3"/>
        <v>1.09544511501036</v>
      </c>
      <c r="S5" s="106"/>
      <c r="T5" s="124"/>
      <c r="U5" s="125"/>
      <c r="V5" s="124"/>
      <c r="W5" s="125"/>
      <c r="X5" s="124"/>
      <c r="Y5" s="125"/>
      <c r="Z5" s="109">
        <v>1.5289999999999999</v>
      </c>
      <c r="AA5" s="106"/>
      <c r="AB5" s="109">
        <v>8.4468999999999994</v>
      </c>
      <c r="AC5" s="106"/>
      <c r="AD5" s="109">
        <f t="shared" si="4"/>
        <v>9.9759</v>
      </c>
      <c r="AE5" s="106"/>
      <c r="AF5" s="49" t="s">
        <v>167</v>
      </c>
      <c r="AG5" s="49">
        <v>1</v>
      </c>
      <c r="AH5" s="49" t="s">
        <v>137</v>
      </c>
    </row>
    <row r="6" spans="1:34">
      <c r="A6" s="49">
        <v>2</v>
      </c>
      <c r="B6" s="49" t="s">
        <v>166</v>
      </c>
      <c r="C6" s="49">
        <v>0.55000000000000004</v>
      </c>
      <c r="D6" s="49">
        <v>-0.2</v>
      </c>
      <c r="E6" s="49">
        <v>0.35</v>
      </c>
      <c r="F6" s="109">
        <v>0.54959999999999998</v>
      </c>
      <c r="G6" s="106"/>
      <c r="H6" s="109">
        <v>-0.20039999999999999</v>
      </c>
      <c r="I6" s="106"/>
      <c r="J6" s="109">
        <v>0.35020000000000001</v>
      </c>
      <c r="K6" s="106"/>
      <c r="L6" s="109">
        <f t="shared" si="0"/>
        <v>0.400000000000067</v>
      </c>
      <c r="M6" s="106"/>
      <c r="N6" s="109">
        <f t="shared" si="1"/>
        <v>0.399999999999984</v>
      </c>
      <c r="O6" s="106"/>
      <c r="P6" s="109">
        <f t="shared" si="2"/>
        <v>0.200000000000033</v>
      </c>
      <c r="Q6" s="106"/>
      <c r="R6" s="109">
        <f t="shared" si="3"/>
        <v>0.600000000000045</v>
      </c>
      <c r="S6" s="106"/>
      <c r="T6" s="124"/>
      <c r="U6" s="125"/>
      <c r="V6" s="124"/>
      <c r="W6" s="125"/>
      <c r="X6" s="124"/>
      <c r="Y6" s="125"/>
      <c r="Z6" s="109">
        <v>1.5674999999999999</v>
      </c>
      <c r="AA6" s="106"/>
      <c r="AB6" s="109">
        <v>9.8331</v>
      </c>
      <c r="AC6" s="106"/>
      <c r="AD6" s="109">
        <f t="shared" si="4"/>
        <v>11.4006</v>
      </c>
      <c r="AE6" s="106"/>
      <c r="AF6" s="49" t="s">
        <v>167</v>
      </c>
      <c r="AG6" s="49">
        <v>1</v>
      </c>
      <c r="AH6" s="49" t="s">
        <v>137</v>
      </c>
    </row>
    <row r="7" spans="1:34">
      <c r="A7" s="49">
        <v>2</v>
      </c>
      <c r="B7" s="49" t="s">
        <v>169</v>
      </c>
      <c r="C7" s="49">
        <v>0.7</v>
      </c>
      <c r="D7" s="49">
        <v>0.2</v>
      </c>
      <c r="E7" s="49">
        <v>0.42</v>
      </c>
      <c r="F7" s="109">
        <v>0.70030000000000003</v>
      </c>
      <c r="G7" s="106"/>
      <c r="H7" s="109">
        <v>0.2</v>
      </c>
      <c r="I7" s="106"/>
      <c r="J7" s="109">
        <v>0.42070000000000002</v>
      </c>
      <c r="K7" s="106"/>
      <c r="L7" s="109">
        <f t="shared" si="0"/>
        <v>0.300000000000078</v>
      </c>
      <c r="M7" s="106"/>
      <c r="N7" s="109">
        <f t="shared" si="1"/>
        <v>0</v>
      </c>
      <c r="O7" s="106"/>
      <c r="P7" s="109">
        <f t="shared" si="2"/>
        <v>0.700000000000034</v>
      </c>
      <c r="Q7" s="106"/>
      <c r="R7" s="109">
        <f t="shared" si="3"/>
        <v>0.761577310586453</v>
      </c>
      <c r="S7" s="106"/>
      <c r="T7" s="124"/>
      <c r="U7" s="125"/>
      <c r="V7" s="124"/>
      <c r="W7" s="125"/>
      <c r="X7" s="124"/>
      <c r="Y7" s="125"/>
      <c r="Z7" s="109">
        <v>1.177</v>
      </c>
      <c r="AA7" s="106"/>
      <c r="AB7" s="109">
        <v>11.6408</v>
      </c>
      <c r="AC7" s="106"/>
      <c r="AD7" s="109">
        <f t="shared" si="4"/>
        <v>12.8178</v>
      </c>
      <c r="AE7" s="106"/>
      <c r="AF7" s="49" t="s">
        <v>167</v>
      </c>
      <c r="AG7" s="49">
        <v>1</v>
      </c>
      <c r="AH7" s="49" t="s">
        <v>137</v>
      </c>
    </row>
    <row r="8" spans="1:34">
      <c r="A8" s="49">
        <v>3</v>
      </c>
      <c r="B8" s="49" t="s">
        <v>166</v>
      </c>
      <c r="C8" s="49">
        <v>0.55000000000000004</v>
      </c>
      <c r="D8" s="49">
        <v>-0.2</v>
      </c>
      <c r="E8" s="49">
        <v>0.35</v>
      </c>
      <c r="F8" s="109">
        <v>0.54890000000000005</v>
      </c>
      <c r="G8" s="106"/>
      <c r="H8" s="109">
        <v>-0.2</v>
      </c>
      <c r="I8" s="106"/>
      <c r="J8" s="109">
        <v>0.34989999999999999</v>
      </c>
      <c r="K8" s="106"/>
      <c r="L8" s="109">
        <f t="shared" si="0"/>
        <v>1.09999999999999</v>
      </c>
      <c r="M8" s="106"/>
      <c r="N8" s="109">
        <f t="shared" si="1"/>
        <v>0</v>
      </c>
      <c r="O8" s="106"/>
      <c r="P8" s="109">
        <f t="shared" si="2"/>
        <v>0.099999999999989</v>
      </c>
      <c r="Q8" s="106"/>
      <c r="R8" s="109">
        <f t="shared" si="3"/>
        <v>1.10453610171872</v>
      </c>
      <c r="S8" s="106"/>
      <c r="T8" s="124"/>
      <c r="U8" s="125"/>
      <c r="V8" s="124"/>
      <c r="W8" s="125"/>
      <c r="X8" s="124"/>
      <c r="Y8" s="125"/>
      <c r="Z8" s="109">
        <v>1.5445</v>
      </c>
      <c r="AA8" s="106"/>
      <c r="AB8" s="109">
        <v>11.3391</v>
      </c>
      <c r="AC8" s="106"/>
      <c r="AD8" s="109">
        <f t="shared" si="4"/>
        <v>12.8836</v>
      </c>
      <c r="AE8" s="106"/>
      <c r="AF8" s="49" t="s">
        <v>167</v>
      </c>
      <c r="AG8" s="49">
        <v>1</v>
      </c>
      <c r="AH8" s="49" t="s">
        <v>137</v>
      </c>
    </row>
    <row r="9" spans="1:34">
      <c r="A9" s="49">
        <v>3</v>
      </c>
      <c r="B9" s="49" t="s">
        <v>169</v>
      </c>
      <c r="C9" s="49">
        <v>0.7</v>
      </c>
      <c r="D9" s="49">
        <v>0.2</v>
      </c>
      <c r="E9" s="49">
        <v>0.42</v>
      </c>
      <c r="F9" s="109">
        <v>0.69950000000000001</v>
      </c>
      <c r="G9" s="106"/>
      <c r="H9" s="109">
        <v>0.19939999999999999</v>
      </c>
      <c r="I9" s="106"/>
      <c r="J9" s="109">
        <v>0.41980000000000001</v>
      </c>
      <c r="K9" s="106"/>
      <c r="L9" s="109">
        <f t="shared" si="0"/>
        <v>0.499999999999945</v>
      </c>
      <c r="M9" s="106"/>
      <c r="N9" s="109">
        <f t="shared" si="1"/>
        <v>0.600000000000017</v>
      </c>
      <c r="O9" s="106"/>
      <c r="P9" s="109">
        <f t="shared" si="2"/>
        <v>0.199999999999978</v>
      </c>
      <c r="Q9" s="106"/>
      <c r="R9" s="109">
        <f t="shared" si="3"/>
        <v>0.806225774829828</v>
      </c>
      <c r="S9" s="106"/>
      <c r="T9" s="124"/>
      <c r="U9" s="125"/>
      <c r="V9" s="124"/>
      <c r="W9" s="125"/>
      <c r="X9" s="124"/>
      <c r="Y9" s="125"/>
      <c r="Z9" s="109">
        <v>1.5410999999999999</v>
      </c>
      <c r="AA9" s="106"/>
      <c r="AB9" s="109">
        <v>8.3414999999999999</v>
      </c>
      <c r="AC9" s="106"/>
      <c r="AD9" s="109">
        <f t="shared" si="4"/>
        <v>9.8826</v>
      </c>
      <c r="AE9" s="106"/>
      <c r="AF9" s="49" t="s">
        <v>167</v>
      </c>
      <c r="AG9" s="49">
        <v>1</v>
      </c>
      <c r="AH9" s="49" t="s">
        <v>137</v>
      </c>
    </row>
    <row r="10" spans="1:34">
      <c r="A10" s="49">
        <v>4</v>
      </c>
      <c r="B10" s="49" t="s">
        <v>166</v>
      </c>
      <c r="C10" s="49">
        <v>0.55000000000000004</v>
      </c>
      <c r="D10" s="49">
        <v>-0.2</v>
      </c>
      <c r="E10" s="49">
        <v>0.35</v>
      </c>
      <c r="F10" s="109">
        <v>0.55030000000000001</v>
      </c>
      <c r="G10" s="106"/>
      <c r="H10" s="109">
        <v>-0.20039999999999999</v>
      </c>
      <c r="I10" s="106"/>
      <c r="J10" s="109">
        <v>0.34960000000000002</v>
      </c>
      <c r="K10" s="106"/>
      <c r="L10" s="109">
        <f t="shared" si="0"/>
        <v>0.299999999999967</v>
      </c>
      <c r="M10" s="106"/>
      <c r="N10" s="109">
        <f t="shared" si="1"/>
        <v>0.399999999999984</v>
      </c>
      <c r="O10" s="106"/>
      <c r="P10" s="109">
        <f t="shared" si="2"/>
        <v>0.399999999999956</v>
      </c>
      <c r="Q10" s="106"/>
      <c r="R10" s="109">
        <f t="shared" si="3"/>
        <v>0.640312423743232</v>
      </c>
      <c r="S10" s="106"/>
      <c r="T10" s="124"/>
      <c r="U10" s="125"/>
      <c r="V10" s="124"/>
      <c r="W10" s="125"/>
      <c r="X10" s="124"/>
      <c r="Y10" s="125"/>
      <c r="Z10" s="109">
        <v>1.5768</v>
      </c>
      <c r="AA10" s="106"/>
      <c r="AB10" s="109">
        <v>11.5617</v>
      </c>
      <c r="AC10" s="106"/>
      <c r="AD10" s="109">
        <f t="shared" si="4"/>
        <v>13.1385</v>
      </c>
      <c r="AE10" s="106"/>
      <c r="AF10" s="49" t="s">
        <v>167</v>
      </c>
      <c r="AG10" s="49">
        <v>1</v>
      </c>
      <c r="AH10" s="49" t="s">
        <v>137</v>
      </c>
    </row>
    <row r="11" spans="1:34">
      <c r="A11" s="49">
        <v>4</v>
      </c>
      <c r="B11" s="49" t="s">
        <v>169</v>
      </c>
      <c r="C11" s="49">
        <v>0.7</v>
      </c>
      <c r="D11" s="49">
        <v>0.2</v>
      </c>
      <c r="E11" s="49">
        <v>0.42</v>
      </c>
      <c r="F11" s="109">
        <v>0.69910000000000005</v>
      </c>
      <c r="G11" s="106"/>
      <c r="H11" s="109">
        <v>0.19950000000000001</v>
      </c>
      <c r="I11" s="106"/>
      <c r="J11" s="109">
        <v>0.41959999999999997</v>
      </c>
      <c r="K11" s="106"/>
      <c r="L11" s="109">
        <f t="shared" si="0"/>
        <v>0.899999999999901</v>
      </c>
      <c r="M11" s="106"/>
      <c r="N11" s="109">
        <f t="shared" si="1"/>
        <v>0.5</v>
      </c>
      <c r="O11" s="106"/>
      <c r="P11" s="109">
        <f t="shared" si="2"/>
        <v>0.400000000000011</v>
      </c>
      <c r="Q11" s="106"/>
      <c r="R11" s="109">
        <f t="shared" si="3"/>
        <v>1.10453610171865</v>
      </c>
      <c r="S11" s="106"/>
      <c r="T11" s="124"/>
      <c r="U11" s="125"/>
      <c r="V11" s="124"/>
      <c r="W11" s="125"/>
      <c r="X11" s="124"/>
      <c r="Y11" s="125"/>
      <c r="Z11" s="109">
        <v>1.5898000000000001</v>
      </c>
      <c r="AA11" s="106"/>
      <c r="AB11" s="109">
        <v>11.994999999999999</v>
      </c>
      <c r="AC11" s="106"/>
      <c r="AD11" s="109">
        <f t="shared" si="4"/>
        <v>13.5848</v>
      </c>
      <c r="AE11" s="106"/>
      <c r="AF11" s="49" t="s">
        <v>167</v>
      </c>
      <c r="AG11" s="49">
        <v>1</v>
      </c>
      <c r="AH11" s="49" t="s">
        <v>137</v>
      </c>
    </row>
    <row r="12" spans="1:34">
      <c r="A12" s="49">
        <v>5</v>
      </c>
      <c r="B12" s="49" t="s">
        <v>166</v>
      </c>
      <c r="C12" s="49">
        <v>0.55000000000000004</v>
      </c>
      <c r="D12" s="49">
        <v>-0.2</v>
      </c>
      <c r="E12" s="49">
        <v>0.35</v>
      </c>
      <c r="F12" s="109">
        <v>0.54910000000000003</v>
      </c>
      <c r="G12" s="106"/>
      <c r="H12" s="109">
        <v>-0.19939999999999999</v>
      </c>
      <c r="I12" s="106"/>
      <c r="J12" s="109">
        <v>0.34939999999999999</v>
      </c>
      <c r="K12" s="106"/>
      <c r="L12" s="109">
        <f t="shared" si="0"/>
        <v>0.900000000000012</v>
      </c>
      <c r="M12" s="106"/>
      <c r="N12" s="109">
        <f t="shared" si="1"/>
        <v>0.600000000000017</v>
      </c>
      <c r="O12" s="106"/>
      <c r="P12" s="109">
        <f t="shared" si="2"/>
        <v>0.599999999999989</v>
      </c>
      <c r="Q12" s="106"/>
      <c r="R12" s="109">
        <f t="shared" si="3"/>
        <v>1.23693168768531</v>
      </c>
      <c r="S12" s="106"/>
      <c r="T12" s="124"/>
      <c r="U12" s="125"/>
      <c r="V12" s="124"/>
      <c r="W12" s="125"/>
      <c r="X12" s="124"/>
      <c r="Y12" s="125"/>
      <c r="Z12" s="109">
        <v>1.5545</v>
      </c>
      <c r="AA12" s="106"/>
      <c r="AB12" s="109">
        <v>9.8610000000000007</v>
      </c>
      <c r="AC12" s="106"/>
      <c r="AD12" s="109">
        <f t="shared" si="4"/>
        <v>11.4155</v>
      </c>
      <c r="AE12" s="106"/>
      <c r="AF12" s="49" t="s">
        <v>167</v>
      </c>
      <c r="AG12" s="49">
        <v>1</v>
      </c>
      <c r="AH12" s="49" t="s">
        <v>137</v>
      </c>
    </row>
    <row r="13" spans="1:34">
      <c r="A13" s="49">
        <v>5</v>
      </c>
      <c r="B13" s="49" t="s">
        <v>169</v>
      </c>
      <c r="C13" s="49">
        <v>0.7</v>
      </c>
      <c r="D13" s="49">
        <v>0.2</v>
      </c>
      <c r="E13" s="49">
        <v>0.42</v>
      </c>
      <c r="F13" s="109">
        <v>0.69910000000000005</v>
      </c>
      <c r="G13" s="106"/>
      <c r="H13" s="109">
        <v>0.19950000000000001</v>
      </c>
      <c r="I13" s="106"/>
      <c r="J13" s="109">
        <v>0.41959999999999997</v>
      </c>
      <c r="K13" s="106"/>
      <c r="L13" s="109">
        <f t="shared" si="0"/>
        <v>0.899999999999901</v>
      </c>
      <c r="M13" s="106"/>
      <c r="N13" s="109">
        <f t="shared" si="1"/>
        <v>0.5</v>
      </c>
      <c r="O13" s="106"/>
      <c r="P13" s="109">
        <f t="shared" si="2"/>
        <v>0.400000000000011</v>
      </c>
      <c r="Q13" s="106"/>
      <c r="R13" s="109">
        <f t="shared" si="3"/>
        <v>1.10453610171865</v>
      </c>
      <c r="S13" s="106"/>
      <c r="T13" s="124"/>
      <c r="U13" s="125"/>
      <c r="V13" s="124"/>
      <c r="W13" s="125"/>
      <c r="X13" s="124"/>
      <c r="Y13" s="125"/>
      <c r="Z13" s="109">
        <v>1.5898000000000001</v>
      </c>
      <c r="AA13" s="106"/>
      <c r="AB13" s="109">
        <v>11.994999999999999</v>
      </c>
      <c r="AC13" s="106"/>
      <c r="AD13" s="109">
        <f t="shared" si="4"/>
        <v>13.5848</v>
      </c>
      <c r="AE13" s="106"/>
      <c r="AF13" s="49" t="s">
        <v>167</v>
      </c>
      <c r="AG13" s="49">
        <v>1</v>
      </c>
      <c r="AH13" s="49" t="s">
        <v>137</v>
      </c>
    </row>
    <row r="14" spans="1:34">
      <c r="A14" s="49">
        <v>6</v>
      </c>
      <c r="B14" s="49" t="s">
        <v>166</v>
      </c>
      <c r="C14" s="49">
        <v>0.55000000000000004</v>
      </c>
      <c r="D14" s="49">
        <v>-0.2</v>
      </c>
      <c r="E14" s="49">
        <v>0.35</v>
      </c>
      <c r="F14" s="109">
        <v>0.54959999999999998</v>
      </c>
      <c r="G14" s="106"/>
      <c r="H14" s="109">
        <v>-0.2</v>
      </c>
      <c r="I14" s="106"/>
      <c r="J14" s="109">
        <v>0.34949999999999998</v>
      </c>
      <c r="K14" s="106"/>
      <c r="L14" s="109">
        <f t="shared" si="0"/>
        <v>0.400000000000067</v>
      </c>
      <c r="M14" s="106"/>
      <c r="N14" s="109">
        <f t="shared" si="1"/>
        <v>0</v>
      </c>
      <c r="O14" s="106"/>
      <c r="P14" s="109">
        <f t="shared" si="2"/>
        <v>0.5</v>
      </c>
      <c r="Q14" s="106"/>
      <c r="R14" s="109">
        <f t="shared" si="3"/>
        <v>0.640312423743327</v>
      </c>
      <c r="S14" s="106"/>
      <c r="T14" s="124"/>
      <c r="U14" s="125"/>
      <c r="V14" s="124"/>
      <c r="W14" s="125"/>
      <c r="X14" s="124"/>
      <c r="Y14" s="125"/>
      <c r="Z14" s="109">
        <v>1.6551</v>
      </c>
      <c r="AA14" s="106"/>
      <c r="AB14" s="109">
        <v>9.9148999999999994</v>
      </c>
      <c r="AC14" s="106"/>
      <c r="AD14" s="109">
        <f t="shared" si="4"/>
        <v>11.57</v>
      </c>
      <c r="AE14" s="106"/>
      <c r="AF14" s="49" t="s">
        <v>167</v>
      </c>
      <c r="AG14" s="49">
        <v>1</v>
      </c>
      <c r="AH14" s="49" t="s">
        <v>137</v>
      </c>
    </row>
    <row r="15" spans="1:34">
      <c r="A15" s="49">
        <v>6</v>
      </c>
      <c r="B15" s="49" t="s">
        <v>169</v>
      </c>
      <c r="C15" s="49">
        <v>0.7</v>
      </c>
      <c r="D15" s="49">
        <v>0.2</v>
      </c>
      <c r="E15" s="49">
        <v>0.42</v>
      </c>
      <c r="F15" s="109">
        <v>0.69930000000000003</v>
      </c>
      <c r="G15" s="106"/>
      <c r="H15" s="109">
        <v>0.2001</v>
      </c>
      <c r="I15" s="106"/>
      <c r="J15" s="109">
        <v>0.41949999999999998</v>
      </c>
      <c r="K15" s="106"/>
      <c r="L15" s="109">
        <f t="shared" si="0"/>
        <v>0.699999999999923</v>
      </c>
      <c r="M15" s="106"/>
      <c r="N15" s="109">
        <f t="shared" si="1"/>
        <v>0.099999999999989</v>
      </c>
      <c r="O15" s="106"/>
      <c r="P15" s="109">
        <f t="shared" si="2"/>
        <v>0.5</v>
      </c>
      <c r="Q15" s="106"/>
      <c r="R15" s="109">
        <f t="shared" si="3"/>
        <v>0.866025403784375</v>
      </c>
      <c r="S15" s="106"/>
      <c r="T15" s="124"/>
      <c r="U15" s="125"/>
      <c r="V15" s="124"/>
      <c r="W15" s="125"/>
      <c r="X15" s="124"/>
      <c r="Y15" s="125"/>
      <c r="Z15" s="109">
        <v>1.5701000000000001</v>
      </c>
      <c r="AA15" s="106"/>
      <c r="AB15" s="109">
        <v>9.8933999999999997</v>
      </c>
      <c r="AC15" s="106"/>
      <c r="AD15" s="109">
        <f t="shared" si="4"/>
        <v>11.4635</v>
      </c>
      <c r="AE15" s="106"/>
      <c r="AF15" s="49" t="s">
        <v>167</v>
      </c>
      <c r="AG15" s="49">
        <v>1</v>
      </c>
      <c r="AH15" s="49" t="s">
        <v>137</v>
      </c>
    </row>
    <row r="16" spans="1:34">
      <c r="A16" s="49">
        <v>7</v>
      </c>
      <c r="B16" s="49" t="s">
        <v>166</v>
      </c>
      <c r="C16" s="49">
        <v>0.55000000000000004</v>
      </c>
      <c r="D16" s="49">
        <v>-0.2</v>
      </c>
      <c r="E16" s="49">
        <v>0.35</v>
      </c>
      <c r="F16" s="109">
        <v>0.55059999999999998</v>
      </c>
      <c r="G16" s="106"/>
      <c r="H16" s="109">
        <v>-0.2</v>
      </c>
      <c r="I16" s="106"/>
      <c r="J16" s="109">
        <v>0.34989999999999999</v>
      </c>
      <c r="K16" s="106"/>
      <c r="L16" s="109">
        <f t="shared" si="0"/>
        <v>0.599999999999934</v>
      </c>
      <c r="M16" s="106"/>
      <c r="N16" s="109">
        <f t="shared" si="1"/>
        <v>0</v>
      </c>
      <c r="O16" s="106"/>
      <c r="P16" s="109">
        <f t="shared" si="2"/>
        <v>0.099999999999989</v>
      </c>
      <c r="Q16" s="106"/>
      <c r="R16" s="109">
        <f t="shared" si="3"/>
        <v>0.608276253029755</v>
      </c>
      <c r="S16" s="106"/>
      <c r="T16" s="124"/>
      <c r="U16" s="125"/>
      <c r="V16" s="124"/>
      <c r="W16" s="125"/>
      <c r="X16" s="124"/>
      <c r="Y16" s="125"/>
      <c r="Z16" s="109">
        <v>1.5972999999999999</v>
      </c>
      <c r="AA16" s="106"/>
      <c r="AB16" s="109">
        <v>11.5479</v>
      </c>
      <c r="AC16" s="106"/>
      <c r="AD16" s="109">
        <f t="shared" si="4"/>
        <v>13.1452</v>
      </c>
      <c r="AE16" s="106"/>
      <c r="AF16" s="49" t="s">
        <v>167</v>
      </c>
      <c r="AG16" s="49">
        <v>1</v>
      </c>
      <c r="AH16" s="49" t="s">
        <v>137</v>
      </c>
    </row>
    <row r="17" spans="1:34">
      <c r="A17" s="49">
        <v>7</v>
      </c>
      <c r="B17" s="49" t="s">
        <v>169</v>
      </c>
      <c r="C17" s="49">
        <v>0.7</v>
      </c>
      <c r="D17" s="49">
        <v>0.2</v>
      </c>
      <c r="E17" s="49">
        <v>0.42</v>
      </c>
      <c r="F17" s="109">
        <v>0.6996</v>
      </c>
      <c r="G17" s="106"/>
      <c r="H17" s="109">
        <v>0.1996</v>
      </c>
      <c r="I17" s="106"/>
      <c r="J17" s="109">
        <v>0.42009999999999997</v>
      </c>
      <c r="K17" s="106"/>
      <c r="L17" s="109">
        <f t="shared" si="0"/>
        <v>0.399999999999956</v>
      </c>
      <c r="M17" s="106"/>
      <c r="N17" s="109">
        <f t="shared" si="1"/>
        <v>0.400000000000011</v>
      </c>
      <c r="O17" s="106"/>
      <c r="P17" s="109">
        <f t="shared" si="2"/>
        <v>0.099999999999989</v>
      </c>
      <c r="Q17" s="106"/>
      <c r="R17" s="109">
        <f t="shared" si="3"/>
        <v>0.574456264653778</v>
      </c>
      <c r="S17" s="106"/>
      <c r="T17" s="124"/>
      <c r="U17" s="125"/>
      <c r="V17" s="124"/>
      <c r="W17" s="125"/>
      <c r="X17" s="124"/>
      <c r="Y17" s="125"/>
      <c r="Z17" s="109">
        <v>1.5995999999999999</v>
      </c>
      <c r="AA17" s="106"/>
      <c r="AB17" s="109">
        <v>12.2468</v>
      </c>
      <c r="AC17" s="106"/>
      <c r="AD17" s="109">
        <f t="shared" si="4"/>
        <v>13.8464</v>
      </c>
      <c r="AE17" s="106"/>
      <c r="AF17" s="49" t="s">
        <v>167</v>
      </c>
      <c r="AG17" s="49">
        <v>1</v>
      </c>
      <c r="AH17" s="49" t="s">
        <v>137</v>
      </c>
    </row>
    <row r="18" spans="1:34">
      <c r="A18" s="49">
        <v>8</v>
      </c>
      <c r="B18" s="49" t="s">
        <v>166</v>
      </c>
      <c r="C18" s="49">
        <v>0.55000000000000004</v>
      </c>
      <c r="D18" s="49">
        <v>-0.2</v>
      </c>
      <c r="E18" s="49">
        <v>0.35</v>
      </c>
      <c r="F18" s="109">
        <v>0.54890000000000005</v>
      </c>
      <c r="G18" s="106"/>
      <c r="H18" s="109">
        <v>-0.20030000000000001</v>
      </c>
      <c r="I18" s="106"/>
      <c r="J18" s="109">
        <v>0.34949999999999998</v>
      </c>
      <c r="K18" s="106"/>
      <c r="L18" s="109">
        <f t="shared" si="0"/>
        <v>1.09999999999999</v>
      </c>
      <c r="M18" s="106"/>
      <c r="N18" s="109">
        <f t="shared" si="1"/>
        <v>0.299999999999995</v>
      </c>
      <c r="O18" s="106"/>
      <c r="P18" s="109">
        <f t="shared" si="2"/>
        <v>0.5</v>
      </c>
      <c r="Q18" s="106"/>
      <c r="R18" s="109">
        <f t="shared" si="3"/>
        <v>1.24498995979886</v>
      </c>
      <c r="S18" s="106"/>
      <c r="T18" s="124"/>
      <c r="U18" s="125"/>
      <c r="V18" s="124"/>
      <c r="W18" s="125"/>
      <c r="X18" s="124"/>
      <c r="Y18" s="125"/>
      <c r="Z18" s="109">
        <v>1.4057999999999999</v>
      </c>
      <c r="AA18" s="106"/>
      <c r="AB18" s="109">
        <v>11.3689</v>
      </c>
      <c r="AC18" s="106"/>
      <c r="AD18" s="109">
        <f t="shared" si="4"/>
        <v>12.7747</v>
      </c>
      <c r="AE18" s="106"/>
      <c r="AF18" s="49" t="s">
        <v>167</v>
      </c>
      <c r="AG18" s="49">
        <v>1</v>
      </c>
      <c r="AH18" s="49" t="s">
        <v>137</v>
      </c>
    </row>
    <row r="19" spans="1:34">
      <c r="A19" s="49">
        <v>8</v>
      </c>
      <c r="B19" s="49" t="s">
        <v>169</v>
      </c>
      <c r="C19" s="49">
        <v>0.7</v>
      </c>
      <c r="D19" s="49">
        <v>0.2</v>
      </c>
      <c r="E19" s="49">
        <v>0.42</v>
      </c>
      <c r="F19" s="109">
        <v>0.69950000000000001</v>
      </c>
      <c r="G19" s="106"/>
      <c r="H19" s="109">
        <v>0.1996</v>
      </c>
      <c r="I19" s="106"/>
      <c r="J19" s="109">
        <v>0.41889999999999999</v>
      </c>
      <c r="K19" s="106"/>
      <c r="L19" s="109">
        <f t="shared" si="0"/>
        <v>0.499999999999945</v>
      </c>
      <c r="M19" s="106"/>
      <c r="N19" s="109">
        <f t="shared" si="1"/>
        <v>0.400000000000011</v>
      </c>
      <c r="O19" s="106"/>
      <c r="P19" s="109">
        <f t="shared" si="2"/>
        <v>1.09999999999999</v>
      </c>
      <c r="Q19" s="106"/>
      <c r="R19" s="109">
        <f t="shared" si="3"/>
        <v>1.27279220613576</v>
      </c>
      <c r="S19" s="106"/>
      <c r="T19" s="124"/>
      <c r="U19" s="125"/>
      <c r="V19" s="124"/>
      <c r="W19" s="125"/>
      <c r="X19" s="124"/>
      <c r="Y19" s="125"/>
      <c r="Z19" s="109">
        <v>1.5865</v>
      </c>
      <c r="AA19" s="106"/>
      <c r="AB19" s="109">
        <v>12.7278</v>
      </c>
      <c r="AC19" s="106"/>
      <c r="AD19" s="109">
        <f t="shared" si="4"/>
        <v>14.3143</v>
      </c>
      <c r="AE19" s="106"/>
      <c r="AF19" s="49" t="s">
        <v>167</v>
      </c>
      <c r="AG19" s="49">
        <v>1</v>
      </c>
      <c r="AH19" s="49" t="s">
        <v>137</v>
      </c>
    </row>
    <row r="20" spans="1:34">
      <c r="A20" s="49">
        <v>9</v>
      </c>
      <c r="B20" s="49" t="s">
        <v>166</v>
      </c>
      <c r="C20" s="49">
        <v>0.55000000000000004</v>
      </c>
      <c r="D20" s="49">
        <v>-0.2</v>
      </c>
      <c r="E20" s="49">
        <v>0.35</v>
      </c>
      <c r="F20" s="109">
        <v>0.55000000000000004</v>
      </c>
      <c r="G20" s="106"/>
      <c r="H20" s="109">
        <v>-0.2001</v>
      </c>
      <c r="I20" s="106"/>
      <c r="J20" s="109">
        <v>0.35089999999999999</v>
      </c>
      <c r="K20" s="106"/>
      <c r="L20" s="109">
        <f t="shared" si="0"/>
        <v>0</v>
      </c>
      <c r="M20" s="106"/>
      <c r="N20" s="109">
        <f t="shared" si="1"/>
        <v>0.099999999999989</v>
      </c>
      <c r="O20" s="106"/>
      <c r="P20" s="109">
        <f t="shared" si="2"/>
        <v>0.900000000000012</v>
      </c>
      <c r="Q20" s="106"/>
      <c r="R20" s="109">
        <f t="shared" si="3"/>
        <v>0.905538513813752</v>
      </c>
      <c r="S20" s="106"/>
      <c r="T20" s="124"/>
      <c r="U20" s="125"/>
      <c r="V20" s="124"/>
      <c r="W20" s="125"/>
      <c r="X20" s="124"/>
      <c r="Y20" s="125"/>
      <c r="Z20" s="109">
        <v>1.5469999999999999</v>
      </c>
      <c r="AA20" s="106"/>
      <c r="AB20" s="109">
        <v>10.1669</v>
      </c>
      <c r="AC20" s="106"/>
      <c r="AD20" s="109">
        <f t="shared" si="4"/>
        <v>11.7139</v>
      </c>
      <c r="AE20" s="106"/>
      <c r="AF20" s="49" t="s">
        <v>167</v>
      </c>
      <c r="AG20" s="49">
        <v>1</v>
      </c>
      <c r="AH20" s="49" t="s">
        <v>137</v>
      </c>
    </row>
    <row r="21" spans="1:34">
      <c r="A21" s="49">
        <v>9</v>
      </c>
      <c r="B21" s="49" t="s">
        <v>169</v>
      </c>
      <c r="C21" s="49">
        <v>0.7</v>
      </c>
      <c r="D21" s="49">
        <v>0.2</v>
      </c>
      <c r="E21" s="49">
        <v>0.42</v>
      </c>
      <c r="F21" s="109">
        <v>0.70089999999999997</v>
      </c>
      <c r="G21" s="106"/>
      <c r="H21" s="109">
        <v>0.19900000000000001</v>
      </c>
      <c r="I21" s="106"/>
      <c r="J21" s="109">
        <v>0.42099999999999999</v>
      </c>
      <c r="K21" s="106"/>
      <c r="L21" s="109">
        <f t="shared" si="0"/>
        <v>0.900000000000012</v>
      </c>
      <c r="M21" s="106"/>
      <c r="N21" s="109">
        <f t="shared" si="1"/>
        <v>1</v>
      </c>
      <c r="O21" s="106"/>
      <c r="P21" s="109">
        <f t="shared" si="2"/>
        <v>1</v>
      </c>
      <c r="Q21" s="106"/>
      <c r="R21" s="109">
        <f t="shared" si="3"/>
        <v>1.67630546142403</v>
      </c>
      <c r="S21" s="106"/>
      <c r="T21" s="124"/>
      <c r="U21" s="125"/>
      <c r="V21" s="124"/>
      <c r="W21" s="125"/>
      <c r="X21" s="124"/>
      <c r="Y21" s="125"/>
      <c r="Z21" s="109">
        <v>1.5343</v>
      </c>
      <c r="AA21" s="106"/>
      <c r="AB21" s="109">
        <v>9.9817</v>
      </c>
      <c r="AC21" s="106"/>
      <c r="AD21" s="109">
        <f t="shared" si="4"/>
        <v>11.516</v>
      </c>
      <c r="AE21" s="106"/>
      <c r="AF21" s="49" t="s">
        <v>167</v>
      </c>
      <c r="AG21" s="49">
        <v>1</v>
      </c>
      <c r="AH21" s="49" t="s">
        <v>137</v>
      </c>
    </row>
    <row r="22" spans="1:34">
      <c r="A22" s="49">
        <v>10</v>
      </c>
      <c r="B22" s="49" t="s">
        <v>166</v>
      </c>
      <c r="C22" s="49">
        <v>0.55000000000000004</v>
      </c>
      <c r="D22" s="49">
        <v>-0.2</v>
      </c>
      <c r="E22" s="49">
        <v>0.35</v>
      </c>
      <c r="F22" s="109">
        <v>0.54979999999999996</v>
      </c>
      <c r="G22" s="106"/>
      <c r="H22" s="109">
        <v>-0.2009</v>
      </c>
      <c r="I22" s="106"/>
      <c r="J22" s="109">
        <v>0.35010000000000002</v>
      </c>
      <c r="K22" s="106"/>
      <c r="L22" s="109">
        <f t="shared" si="0"/>
        <v>0.200000000000089</v>
      </c>
      <c r="M22" s="106"/>
      <c r="N22" s="109">
        <f t="shared" si="1"/>
        <v>0.899999999999984</v>
      </c>
      <c r="O22" s="106"/>
      <c r="P22" s="109">
        <f t="shared" si="2"/>
        <v>0.100000000000045</v>
      </c>
      <c r="Q22" s="106"/>
      <c r="R22" s="109">
        <f t="shared" si="3"/>
        <v>0.927361849549579</v>
      </c>
      <c r="S22" s="106"/>
      <c r="T22" s="124"/>
      <c r="U22" s="125"/>
      <c r="V22" s="124"/>
      <c r="W22" s="125"/>
      <c r="X22" s="124"/>
      <c r="Y22" s="125"/>
      <c r="Z22" s="109">
        <v>1.4451000000000001</v>
      </c>
      <c r="AA22" s="106"/>
      <c r="AB22" s="109">
        <v>11.4285</v>
      </c>
      <c r="AC22" s="106"/>
      <c r="AD22" s="109">
        <f t="shared" si="4"/>
        <v>12.8736</v>
      </c>
      <c r="AE22" s="106"/>
      <c r="AF22" s="49" t="s">
        <v>167</v>
      </c>
      <c r="AG22" s="49">
        <v>1</v>
      </c>
      <c r="AH22" s="49" t="s">
        <v>137</v>
      </c>
    </row>
    <row r="23" spans="1:34">
      <c r="A23" s="49">
        <v>10</v>
      </c>
      <c r="B23" s="49" t="s">
        <v>169</v>
      </c>
      <c r="C23" s="49">
        <v>0.7</v>
      </c>
      <c r="D23" s="49">
        <v>0.2</v>
      </c>
      <c r="E23" s="49">
        <v>0.42</v>
      </c>
      <c r="F23" s="109">
        <v>0.70009999999999994</v>
      </c>
      <c r="G23" s="106"/>
      <c r="H23" s="109">
        <v>0.19980000000000001</v>
      </c>
      <c r="I23" s="106"/>
      <c r="J23" s="109">
        <v>0.42009999999999997</v>
      </c>
      <c r="K23" s="106"/>
      <c r="L23" s="109">
        <f t="shared" si="0"/>
        <v>0.099999999999989</v>
      </c>
      <c r="M23" s="106"/>
      <c r="N23" s="109">
        <f t="shared" si="1"/>
        <v>0.200000000000006</v>
      </c>
      <c r="O23" s="106"/>
      <c r="P23" s="109">
        <f t="shared" si="2"/>
        <v>0.099999999999989</v>
      </c>
      <c r="Q23" s="106"/>
      <c r="R23" s="109">
        <f t="shared" si="3"/>
        <v>0.244948974278314</v>
      </c>
      <c r="S23" s="106"/>
      <c r="T23" s="122"/>
      <c r="U23" s="123"/>
      <c r="V23" s="122"/>
      <c r="W23" s="123"/>
      <c r="X23" s="122"/>
      <c r="Y23" s="123"/>
      <c r="Z23" s="109">
        <v>1.5246999999999999</v>
      </c>
      <c r="AA23" s="106"/>
      <c r="AB23" s="109">
        <v>8.4219000000000008</v>
      </c>
      <c r="AC23" s="106"/>
      <c r="AD23" s="109">
        <f t="shared" si="4"/>
        <v>9.9466</v>
      </c>
      <c r="AE23" s="106"/>
      <c r="AF23" s="49" t="s">
        <v>167</v>
      </c>
      <c r="AG23" s="49">
        <v>1</v>
      </c>
      <c r="AH23" s="49" t="s">
        <v>137</v>
      </c>
    </row>
    <row r="24" spans="1:34">
      <c r="A24" s="112" t="s">
        <v>171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6"/>
    </row>
    <row r="25" spans="1:34" ht="8.85" customHeight="1">
      <c r="A25" s="107" t="s">
        <v>126</v>
      </c>
      <c r="B25" s="107" t="s">
        <v>143</v>
      </c>
      <c r="C25" s="107" t="s">
        <v>144</v>
      </c>
      <c r="D25" s="107" t="s">
        <v>145</v>
      </c>
      <c r="E25" s="107" t="s">
        <v>146</v>
      </c>
      <c r="F25" s="107" t="s">
        <v>147</v>
      </c>
      <c r="G25" s="121"/>
      <c r="H25" s="107" t="s">
        <v>148</v>
      </c>
      <c r="I25" s="121"/>
      <c r="J25" s="107" t="s">
        <v>149</v>
      </c>
      <c r="K25" s="121"/>
      <c r="L25" s="114" t="s">
        <v>150</v>
      </c>
      <c r="M25" s="121"/>
      <c r="N25" s="114" t="s">
        <v>151</v>
      </c>
      <c r="O25" s="121"/>
      <c r="P25" s="114" t="s">
        <v>152</v>
      </c>
      <c r="Q25" s="121"/>
      <c r="R25" s="107" t="s">
        <v>153</v>
      </c>
      <c r="S25" s="121"/>
      <c r="T25" s="107" t="s">
        <v>154</v>
      </c>
      <c r="U25" s="121"/>
      <c r="V25" s="107" t="s">
        <v>155</v>
      </c>
      <c r="W25" s="121"/>
      <c r="X25" s="107" t="s">
        <v>156</v>
      </c>
      <c r="Y25" s="121"/>
      <c r="Z25" s="107" t="s">
        <v>157</v>
      </c>
      <c r="AA25" s="121"/>
      <c r="AB25" s="107" t="s">
        <v>158</v>
      </c>
      <c r="AC25" s="121"/>
      <c r="AD25" s="107" t="s">
        <v>159</v>
      </c>
      <c r="AE25" s="121"/>
      <c r="AF25" s="107" t="s">
        <v>160</v>
      </c>
      <c r="AG25" s="107" t="s">
        <v>162</v>
      </c>
      <c r="AH25" s="107" t="s">
        <v>163</v>
      </c>
    </row>
    <row r="26" spans="1:34">
      <c r="A26" s="111"/>
      <c r="B26" s="111"/>
      <c r="C26" s="111"/>
      <c r="D26" s="111"/>
      <c r="E26" s="111"/>
      <c r="F26" s="122"/>
      <c r="G26" s="123"/>
      <c r="H26" s="122"/>
      <c r="I26" s="123"/>
      <c r="J26" s="122"/>
      <c r="K26" s="123"/>
      <c r="L26" s="122"/>
      <c r="M26" s="123"/>
      <c r="N26" s="122"/>
      <c r="O26" s="123"/>
      <c r="P26" s="122"/>
      <c r="Q26" s="123"/>
      <c r="R26" s="122"/>
      <c r="S26" s="123"/>
      <c r="T26" s="122"/>
      <c r="U26" s="123"/>
      <c r="V26" s="122"/>
      <c r="W26" s="123"/>
      <c r="X26" s="122"/>
      <c r="Y26" s="123"/>
      <c r="Z26" s="122"/>
      <c r="AA26" s="123"/>
      <c r="AB26" s="122"/>
      <c r="AC26" s="123"/>
      <c r="AD26" s="122"/>
      <c r="AE26" s="123"/>
      <c r="AF26" s="111"/>
      <c r="AG26" s="111"/>
      <c r="AH26" s="111"/>
    </row>
    <row r="27" spans="1:34">
      <c r="A27" s="49">
        <v>1</v>
      </c>
      <c r="B27" s="49" t="s">
        <v>166</v>
      </c>
      <c r="C27" s="49">
        <v>0.6</v>
      </c>
      <c r="D27" s="49">
        <v>0</v>
      </c>
      <c r="E27" s="49">
        <v>0.35</v>
      </c>
      <c r="F27" s="109">
        <v>0.59899999999999998</v>
      </c>
      <c r="G27" s="106"/>
      <c r="H27" s="109">
        <v>0</v>
      </c>
      <c r="I27" s="106"/>
      <c r="J27" s="109">
        <v>0.34939999999999999</v>
      </c>
      <c r="K27" s="106"/>
      <c r="L27" s="109">
        <f t="shared" ref="L27:L46" si="5">ABS(F27-C27)*1000</f>
        <v>1</v>
      </c>
      <c r="M27" s="106"/>
      <c r="N27" s="109">
        <f t="shared" ref="N27:N46" si="6">ABS(H27-D27)*1000</f>
        <v>0</v>
      </c>
      <c r="O27" s="106"/>
      <c r="P27" s="109">
        <f t="shared" ref="P27:P46" si="7">ABS(J27-E27)*1000</f>
        <v>0.599999999999989</v>
      </c>
      <c r="Q27" s="106"/>
      <c r="R27" s="109">
        <v>0</v>
      </c>
      <c r="S27" s="106"/>
      <c r="T27" s="109">
        <f>_xlfn.STDEV.S(F27:G46)</f>
        <v>0.0512403582714785</v>
      </c>
      <c r="U27" s="121"/>
      <c r="V27" s="109">
        <f>_xlfn.STDEV.S(H27:I46)</f>
        <v>0.128022674389714</v>
      </c>
      <c r="W27" s="121"/>
      <c r="X27" s="109">
        <f>_xlfn.STDEV.S(J27:K46)</f>
        <v>0.0362669818662128</v>
      </c>
      <c r="Y27" s="121"/>
      <c r="Z27" s="109">
        <v>1.5642</v>
      </c>
      <c r="AA27" s="106"/>
      <c r="AB27" s="109">
        <v>11.530200000000001</v>
      </c>
      <c r="AC27" s="106"/>
      <c r="AD27" s="109">
        <f t="shared" ref="AD27:AD46" si="8">AB27+Z27</f>
        <v>13.0944</v>
      </c>
      <c r="AE27" s="106"/>
      <c r="AF27" s="49" t="s">
        <v>167</v>
      </c>
      <c r="AG27" s="49">
        <v>1</v>
      </c>
      <c r="AH27" s="49" t="s">
        <v>137</v>
      </c>
    </row>
    <row r="28" spans="1:34">
      <c r="A28" s="49">
        <v>1</v>
      </c>
      <c r="B28" s="49" t="s">
        <v>169</v>
      </c>
      <c r="C28" s="49">
        <v>0.5</v>
      </c>
      <c r="D28" s="49">
        <v>0.25</v>
      </c>
      <c r="E28" s="49">
        <v>0.42</v>
      </c>
      <c r="F28" s="109">
        <v>0.50049999999999994</v>
      </c>
      <c r="G28" s="106"/>
      <c r="H28" s="109">
        <v>0.249</v>
      </c>
      <c r="I28" s="106"/>
      <c r="J28" s="109">
        <v>0.42080000000000001</v>
      </c>
      <c r="K28" s="106"/>
      <c r="L28" s="109">
        <f t="shared" si="5"/>
        <v>0.499999999999945</v>
      </c>
      <c r="M28" s="106"/>
      <c r="N28" s="109">
        <f t="shared" si="6"/>
        <v>1</v>
      </c>
      <c r="O28" s="106"/>
      <c r="P28" s="109">
        <f t="shared" si="7"/>
        <v>0.800000000000023</v>
      </c>
      <c r="Q28" s="106"/>
      <c r="R28" s="109">
        <f t="shared" ref="R28:R46" si="9">SQRT(SUMSQ(L28:Q28))</f>
        <v>1.37477270848675</v>
      </c>
      <c r="S28" s="106"/>
      <c r="T28" s="124"/>
      <c r="U28" s="125"/>
      <c r="V28" s="124"/>
      <c r="W28" s="125"/>
      <c r="X28" s="124"/>
      <c r="Y28" s="125"/>
      <c r="Z28" s="109">
        <v>1.4532</v>
      </c>
      <c r="AA28" s="106"/>
      <c r="AB28" s="109">
        <v>12.122400000000001</v>
      </c>
      <c r="AC28" s="106"/>
      <c r="AD28" s="109">
        <f t="shared" si="8"/>
        <v>13.5756</v>
      </c>
      <c r="AE28" s="106"/>
      <c r="AF28" s="49" t="s">
        <v>167</v>
      </c>
      <c r="AG28" s="49">
        <v>1</v>
      </c>
      <c r="AH28" s="49" t="s">
        <v>137</v>
      </c>
    </row>
    <row r="29" spans="1:34">
      <c r="A29" s="49">
        <v>2</v>
      </c>
      <c r="B29" s="49" t="s">
        <v>166</v>
      </c>
      <c r="C29" s="49">
        <v>0.6</v>
      </c>
      <c r="D29" s="49">
        <v>0</v>
      </c>
      <c r="E29" s="49">
        <v>0.35</v>
      </c>
      <c r="F29" s="109">
        <v>0.6</v>
      </c>
      <c r="G29" s="106"/>
      <c r="H29" s="109">
        <v>1E-3</v>
      </c>
      <c r="I29" s="106"/>
      <c r="J29" s="109">
        <v>0.34960000000000002</v>
      </c>
      <c r="K29" s="106"/>
      <c r="L29" s="109">
        <f t="shared" si="5"/>
        <v>0</v>
      </c>
      <c r="M29" s="106"/>
      <c r="N29" s="109">
        <f t="shared" si="6"/>
        <v>1</v>
      </c>
      <c r="O29" s="106"/>
      <c r="P29" s="109">
        <f t="shared" si="7"/>
        <v>0.399999999999956</v>
      </c>
      <c r="Q29" s="106"/>
      <c r="R29" s="109">
        <f t="shared" si="9"/>
        <v>1.07703296142688</v>
      </c>
      <c r="S29" s="106"/>
      <c r="T29" s="124"/>
      <c r="U29" s="125"/>
      <c r="V29" s="124"/>
      <c r="W29" s="125"/>
      <c r="X29" s="124"/>
      <c r="Y29" s="125"/>
      <c r="Z29" s="109">
        <v>1.58</v>
      </c>
      <c r="AA29" s="106"/>
      <c r="AB29" s="109">
        <v>11.5488</v>
      </c>
      <c r="AC29" s="106"/>
      <c r="AD29" s="109">
        <f t="shared" si="8"/>
        <v>13.1288</v>
      </c>
      <c r="AE29" s="106"/>
      <c r="AF29" s="49" t="s">
        <v>167</v>
      </c>
      <c r="AG29" s="49">
        <v>1</v>
      </c>
      <c r="AH29" s="49" t="s">
        <v>137</v>
      </c>
    </row>
    <row r="30" spans="1:34">
      <c r="A30" s="49">
        <v>2</v>
      </c>
      <c r="B30" s="49" t="s">
        <v>169</v>
      </c>
      <c r="C30" s="49">
        <v>0.5</v>
      </c>
      <c r="D30" s="49">
        <v>0.25</v>
      </c>
      <c r="E30" s="49">
        <v>0.42</v>
      </c>
      <c r="F30" s="109">
        <v>0.50049999999999994</v>
      </c>
      <c r="G30" s="106"/>
      <c r="H30" s="109">
        <v>0.24970000000000001</v>
      </c>
      <c r="I30" s="106"/>
      <c r="J30" s="109">
        <v>0.42009999999999997</v>
      </c>
      <c r="K30" s="106"/>
      <c r="L30" s="109">
        <f t="shared" si="5"/>
        <v>0.499999999999945</v>
      </c>
      <c r="M30" s="106"/>
      <c r="N30" s="109">
        <f t="shared" si="6"/>
        <v>0.299999999999995</v>
      </c>
      <c r="O30" s="106"/>
      <c r="P30" s="109">
        <f t="shared" si="7"/>
        <v>0.099999999999989</v>
      </c>
      <c r="Q30" s="106"/>
      <c r="R30" s="109">
        <f t="shared" si="9"/>
        <v>0.591607978309911</v>
      </c>
      <c r="S30" s="106"/>
      <c r="T30" s="124"/>
      <c r="U30" s="125"/>
      <c r="V30" s="124"/>
      <c r="W30" s="125"/>
      <c r="X30" s="124"/>
      <c r="Y30" s="125"/>
      <c r="Z30" s="109">
        <v>1.5617000000000001</v>
      </c>
      <c r="AA30" s="106"/>
      <c r="AB30" s="109">
        <v>10.690200000000001</v>
      </c>
      <c r="AC30" s="106"/>
      <c r="AD30" s="109">
        <f t="shared" si="8"/>
        <v>12.2519</v>
      </c>
      <c r="AE30" s="106"/>
      <c r="AF30" s="49" t="s">
        <v>167</v>
      </c>
      <c r="AG30" s="49">
        <v>1</v>
      </c>
      <c r="AH30" s="49" t="s">
        <v>137</v>
      </c>
    </row>
    <row r="31" spans="1:34">
      <c r="A31" s="49">
        <v>3</v>
      </c>
      <c r="B31" s="49" t="s">
        <v>166</v>
      </c>
      <c r="C31" s="49">
        <v>0.6</v>
      </c>
      <c r="D31" s="49">
        <v>0</v>
      </c>
      <c r="E31" s="49">
        <v>0.35</v>
      </c>
      <c r="F31" s="109">
        <v>0.60099999999999998</v>
      </c>
      <c r="G31" s="106"/>
      <c r="H31" s="109">
        <v>-2.0000000000000001E-4</v>
      </c>
      <c r="I31" s="106"/>
      <c r="J31" s="109">
        <v>0.35010000000000002</v>
      </c>
      <c r="K31" s="106"/>
      <c r="L31" s="109">
        <f t="shared" si="5"/>
        <v>1</v>
      </c>
      <c r="M31" s="106"/>
      <c r="N31" s="109">
        <f t="shared" si="6"/>
        <v>0.2</v>
      </c>
      <c r="O31" s="106"/>
      <c r="P31" s="109">
        <f t="shared" si="7"/>
        <v>0.100000000000045</v>
      </c>
      <c r="Q31" s="106"/>
      <c r="R31" s="109">
        <f t="shared" si="9"/>
        <v>1.02469507659597</v>
      </c>
      <c r="S31" s="106"/>
      <c r="T31" s="124"/>
      <c r="U31" s="125"/>
      <c r="V31" s="124"/>
      <c r="W31" s="125"/>
      <c r="X31" s="124"/>
      <c r="Y31" s="125"/>
      <c r="Z31" s="109">
        <v>1.5599000000000001</v>
      </c>
      <c r="AA31" s="106"/>
      <c r="AB31" s="109">
        <v>9.2665000000000006</v>
      </c>
      <c r="AC31" s="106"/>
      <c r="AD31" s="109">
        <f t="shared" si="8"/>
        <v>10.8264</v>
      </c>
      <c r="AE31" s="106"/>
      <c r="AF31" s="49" t="s">
        <v>167</v>
      </c>
      <c r="AG31" s="49">
        <v>1</v>
      </c>
      <c r="AH31" s="49" t="s">
        <v>137</v>
      </c>
    </row>
    <row r="32" spans="1:34">
      <c r="A32" s="49">
        <v>3</v>
      </c>
      <c r="B32" s="49" t="s">
        <v>169</v>
      </c>
      <c r="C32" s="49">
        <v>0.5</v>
      </c>
      <c r="D32" s="49">
        <v>0.25</v>
      </c>
      <c r="E32" s="49">
        <v>0.42</v>
      </c>
      <c r="F32" s="109">
        <v>0.50019999999999998</v>
      </c>
      <c r="G32" s="106"/>
      <c r="H32" s="109">
        <v>0.24909999999999999</v>
      </c>
      <c r="I32" s="106"/>
      <c r="J32" s="109">
        <v>0.41949999999999998</v>
      </c>
      <c r="K32" s="106"/>
      <c r="L32" s="109">
        <f t="shared" si="5"/>
        <v>0.199999999999978</v>
      </c>
      <c r="M32" s="106"/>
      <c r="N32" s="109">
        <f t="shared" si="6"/>
        <v>0.900000000000012</v>
      </c>
      <c r="O32" s="106"/>
      <c r="P32" s="109">
        <f t="shared" si="7"/>
        <v>0.5</v>
      </c>
      <c r="Q32" s="106"/>
      <c r="R32" s="109">
        <f t="shared" si="9"/>
        <v>1.04880884817016</v>
      </c>
      <c r="S32" s="106"/>
      <c r="T32" s="124"/>
      <c r="U32" s="125"/>
      <c r="V32" s="124"/>
      <c r="W32" s="125"/>
      <c r="X32" s="124"/>
      <c r="Y32" s="125"/>
      <c r="Z32" s="109">
        <v>1.5505</v>
      </c>
      <c r="AA32" s="106"/>
      <c r="AB32" s="109">
        <v>9.8095999999999997</v>
      </c>
      <c r="AC32" s="106"/>
      <c r="AD32" s="109">
        <f t="shared" si="8"/>
        <v>11.3601</v>
      </c>
      <c r="AE32" s="106"/>
      <c r="AF32" s="49" t="s">
        <v>167</v>
      </c>
      <c r="AG32" s="49">
        <v>1</v>
      </c>
      <c r="AH32" s="49" t="s">
        <v>137</v>
      </c>
    </row>
    <row r="33" spans="1:34">
      <c r="A33" s="49">
        <v>4</v>
      </c>
      <c r="B33" s="49" t="s">
        <v>166</v>
      </c>
      <c r="C33" s="49">
        <v>0.6</v>
      </c>
      <c r="D33" s="49">
        <v>0</v>
      </c>
      <c r="E33" s="49">
        <v>0.35</v>
      </c>
      <c r="F33" s="109">
        <v>0.59950000000000003</v>
      </c>
      <c r="G33" s="106"/>
      <c r="H33" s="109">
        <v>6.9999999999999999E-4</v>
      </c>
      <c r="I33" s="106"/>
      <c r="J33" s="109">
        <v>0.34960000000000002</v>
      </c>
      <c r="K33" s="106"/>
      <c r="L33" s="109">
        <f t="shared" si="5"/>
        <v>0.499999999999945</v>
      </c>
      <c r="M33" s="106"/>
      <c r="N33" s="109">
        <f t="shared" si="6"/>
        <v>0.7</v>
      </c>
      <c r="O33" s="106"/>
      <c r="P33" s="109">
        <f t="shared" si="7"/>
        <v>0.399999999999956</v>
      </c>
      <c r="Q33" s="106"/>
      <c r="R33" s="109">
        <f t="shared" si="9"/>
        <v>0.948683298050466</v>
      </c>
      <c r="S33" s="106"/>
      <c r="T33" s="124"/>
      <c r="U33" s="125"/>
      <c r="V33" s="124"/>
      <c r="W33" s="125"/>
      <c r="X33" s="124"/>
      <c r="Y33" s="125"/>
      <c r="Z33" s="109">
        <v>1.5604</v>
      </c>
      <c r="AA33" s="106"/>
      <c r="AB33" s="109">
        <v>11.5398</v>
      </c>
      <c r="AC33" s="106"/>
      <c r="AD33" s="109">
        <f t="shared" si="8"/>
        <v>13.1002</v>
      </c>
      <c r="AE33" s="106"/>
      <c r="AF33" s="49" t="s">
        <v>167</v>
      </c>
      <c r="AG33" s="49">
        <v>1</v>
      </c>
      <c r="AH33" s="49" t="s">
        <v>137</v>
      </c>
    </row>
    <row r="34" spans="1:34">
      <c r="A34" s="49">
        <v>4</v>
      </c>
      <c r="B34" s="49" t="s">
        <v>169</v>
      </c>
      <c r="C34" s="49">
        <v>0.5</v>
      </c>
      <c r="D34" s="49">
        <v>0.25</v>
      </c>
      <c r="E34" s="49">
        <v>0.42</v>
      </c>
      <c r="F34" s="109">
        <v>0.50009999999999999</v>
      </c>
      <c r="G34" s="106"/>
      <c r="H34" s="109">
        <v>0.24990000000000001</v>
      </c>
      <c r="I34" s="106"/>
      <c r="J34" s="109">
        <v>0.41959999999999997</v>
      </c>
      <c r="K34" s="106"/>
      <c r="L34" s="109">
        <f t="shared" si="5"/>
        <v>0.099999999999989</v>
      </c>
      <c r="M34" s="106"/>
      <c r="N34" s="109">
        <f t="shared" si="6"/>
        <v>0.099999999999989</v>
      </c>
      <c r="O34" s="106"/>
      <c r="P34" s="109">
        <f t="shared" si="7"/>
        <v>0.400000000000011</v>
      </c>
      <c r="Q34" s="106"/>
      <c r="R34" s="109">
        <f t="shared" si="9"/>
        <v>0.424264068711934</v>
      </c>
      <c r="S34" s="106"/>
      <c r="T34" s="124"/>
      <c r="U34" s="125"/>
      <c r="V34" s="124"/>
      <c r="W34" s="125"/>
      <c r="X34" s="124"/>
      <c r="Y34" s="125"/>
      <c r="Z34" s="109">
        <v>1.5915999999999999</v>
      </c>
      <c r="AA34" s="106"/>
      <c r="AB34" s="109">
        <v>13.191700000000001</v>
      </c>
      <c r="AC34" s="106"/>
      <c r="AD34" s="109">
        <f t="shared" si="8"/>
        <v>14.7833</v>
      </c>
      <c r="AE34" s="106"/>
      <c r="AF34" s="49" t="s">
        <v>167</v>
      </c>
      <c r="AG34" s="49">
        <v>1</v>
      </c>
      <c r="AH34" s="49" t="s">
        <v>137</v>
      </c>
    </row>
    <row r="35" spans="1:34">
      <c r="A35" s="49">
        <v>5</v>
      </c>
      <c r="B35" s="49" t="s">
        <v>166</v>
      </c>
      <c r="C35" s="49">
        <v>0.6</v>
      </c>
      <c r="D35" s="49">
        <v>0</v>
      </c>
      <c r="E35" s="49">
        <v>0.35</v>
      </c>
      <c r="F35" s="109">
        <v>0.59960000000000002</v>
      </c>
      <c r="G35" s="106"/>
      <c r="H35" s="109">
        <v>1E-4</v>
      </c>
      <c r="I35" s="106"/>
      <c r="J35" s="109">
        <v>0.34989999999999999</v>
      </c>
      <c r="K35" s="106"/>
      <c r="L35" s="109">
        <f t="shared" si="5"/>
        <v>0.399999999999956</v>
      </c>
      <c r="M35" s="106"/>
      <c r="N35" s="109">
        <f t="shared" si="6"/>
        <v>0.1</v>
      </c>
      <c r="O35" s="106"/>
      <c r="P35" s="109">
        <f t="shared" si="7"/>
        <v>0.099999999999989</v>
      </c>
      <c r="Q35" s="106"/>
      <c r="R35" s="109">
        <f t="shared" si="9"/>
        <v>0.424264068711884</v>
      </c>
      <c r="S35" s="106"/>
      <c r="T35" s="124"/>
      <c r="U35" s="125"/>
      <c r="V35" s="124"/>
      <c r="W35" s="125"/>
      <c r="X35" s="124"/>
      <c r="Y35" s="125"/>
      <c r="Z35" s="109">
        <v>1.5477000000000001</v>
      </c>
      <c r="AA35" s="106"/>
      <c r="AB35" s="109">
        <v>11.568099999999999</v>
      </c>
      <c r="AC35" s="106"/>
      <c r="AD35" s="109">
        <f t="shared" si="8"/>
        <v>13.1158</v>
      </c>
      <c r="AE35" s="106"/>
      <c r="AF35" s="49" t="s">
        <v>167</v>
      </c>
      <c r="AG35" s="49">
        <v>1</v>
      </c>
      <c r="AH35" s="49" t="s">
        <v>137</v>
      </c>
    </row>
    <row r="36" spans="1:34">
      <c r="A36" s="49">
        <v>5</v>
      </c>
      <c r="B36" s="49" t="s">
        <v>169</v>
      </c>
      <c r="C36" s="49">
        <v>0.5</v>
      </c>
      <c r="D36" s="49">
        <v>0.25</v>
      </c>
      <c r="E36" s="49">
        <v>0.42</v>
      </c>
      <c r="F36" s="109">
        <v>0.50029999999999997</v>
      </c>
      <c r="G36" s="106"/>
      <c r="H36" s="109">
        <v>0.25030000000000002</v>
      </c>
      <c r="I36" s="106"/>
      <c r="J36" s="109">
        <v>0.42009999999999997</v>
      </c>
      <c r="K36" s="106"/>
      <c r="L36" s="109">
        <f t="shared" si="5"/>
        <v>0.299999999999967</v>
      </c>
      <c r="M36" s="106"/>
      <c r="N36" s="109">
        <f t="shared" si="6"/>
        <v>0.300000000000022</v>
      </c>
      <c r="O36" s="106"/>
      <c r="P36" s="109">
        <f t="shared" si="7"/>
        <v>0.099999999999989</v>
      </c>
      <c r="Q36" s="106"/>
      <c r="R36" s="109">
        <f t="shared" si="9"/>
        <v>0.435889894354058</v>
      </c>
      <c r="S36" s="106"/>
      <c r="T36" s="124"/>
      <c r="U36" s="125"/>
      <c r="V36" s="124"/>
      <c r="W36" s="125"/>
      <c r="X36" s="124"/>
      <c r="Y36" s="125"/>
      <c r="Z36" s="109">
        <v>1.5638000000000001</v>
      </c>
      <c r="AA36" s="106"/>
      <c r="AB36" s="109">
        <v>9.8933</v>
      </c>
      <c r="AC36" s="106"/>
      <c r="AD36" s="109">
        <f t="shared" si="8"/>
        <v>11.4571</v>
      </c>
      <c r="AE36" s="106"/>
      <c r="AF36" s="49" t="s">
        <v>167</v>
      </c>
      <c r="AG36" s="49">
        <v>1</v>
      </c>
      <c r="AH36" s="49" t="s">
        <v>137</v>
      </c>
    </row>
    <row r="37" spans="1:34">
      <c r="A37" s="49">
        <v>6</v>
      </c>
      <c r="B37" s="49" t="s">
        <v>166</v>
      </c>
      <c r="C37" s="49">
        <v>0.6</v>
      </c>
      <c r="D37" s="49">
        <v>0</v>
      </c>
      <c r="E37" s="49">
        <v>0.35</v>
      </c>
      <c r="F37" s="109">
        <v>0.60040000000000004</v>
      </c>
      <c r="G37" s="106"/>
      <c r="H37" s="109">
        <v>-6.9999999999999999E-4</v>
      </c>
      <c r="I37" s="106"/>
      <c r="J37" s="109">
        <v>0.35039999999999999</v>
      </c>
      <c r="K37" s="106"/>
      <c r="L37" s="109">
        <f t="shared" si="5"/>
        <v>0.400000000000067</v>
      </c>
      <c r="M37" s="106"/>
      <c r="N37" s="109">
        <f t="shared" si="6"/>
        <v>0.7</v>
      </c>
      <c r="O37" s="106"/>
      <c r="P37" s="109">
        <f t="shared" si="7"/>
        <v>0.400000000000011</v>
      </c>
      <c r="Q37" s="106"/>
      <c r="R37" s="109">
        <f t="shared" si="9"/>
        <v>0.900000000000035</v>
      </c>
      <c r="S37" s="106"/>
      <c r="T37" s="124"/>
      <c r="U37" s="125"/>
      <c r="V37" s="124"/>
      <c r="W37" s="125"/>
      <c r="X37" s="124"/>
      <c r="Y37" s="125"/>
      <c r="Z37" s="109">
        <v>1.5523</v>
      </c>
      <c r="AA37" s="106"/>
      <c r="AB37" s="109">
        <v>11.0374</v>
      </c>
      <c r="AC37" s="106"/>
      <c r="AD37" s="109">
        <f t="shared" si="8"/>
        <v>12.5897</v>
      </c>
      <c r="AE37" s="106"/>
      <c r="AF37" s="49" t="s">
        <v>167</v>
      </c>
      <c r="AG37" s="49">
        <v>1</v>
      </c>
      <c r="AH37" s="49" t="s">
        <v>137</v>
      </c>
    </row>
    <row r="38" spans="1:34">
      <c r="A38" s="49">
        <v>6</v>
      </c>
      <c r="B38" s="49" t="s">
        <v>169</v>
      </c>
      <c r="C38" s="49">
        <v>0.5</v>
      </c>
      <c r="D38" s="49">
        <v>0.25</v>
      </c>
      <c r="E38" s="49">
        <v>0.42</v>
      </c>
      <c r="F38" s="109">
        <v>0.50009999999999999</v>
      </c>
      <c r="G38" s="106"/>
      <c r="H38" s="109">
        <v>0.24940000000000001</v>
      </c>
      <c r="I38" s="106"/>
      <c r="J38" s="109">
        <v>0.42109999999999997</v>
      </c>
      <c r="K38" s="106"/>
      <c r="L38" s="109">
        <f t="shared" si="5"/>
        <v>0.099999999999989</v>
      </c>
      <c r="M38" s="106"/>
      <c r="N38" s="109">
        <f t="shared" si="6"/>
        <v>0.599999999999989</v>
      </c>
      <c r="O38" s="106"/>
      <c r="P38" s="109">
        <f t="shared" si="7"/>
        <v>1.09999999999999</v>
      </c>
      <c r="Q38" s="106"/>
      <c r="R38" s="109">
        <f t="shared" si="9"/>
        <v>1.25698050899764</v>
      </c>
      <c r="S38" s="106"/>
      <c r="T38" s="124"/>
      <c r="U38" s="125"/>
      <c r="V38" s="124"/>
      <c r="W38" s="125"/>
      <c r="X38" s="124"/>
      <c r="Y38" s="125"/>
      <c r="Z38" s="109">
        <v>1.5383</v>
      </c>
      <c r="AA38" s="106"/>
      <c r="AB38" s="109">
        <v>9.7965</v>
      </c>
      <c r="AC38" s="106"/>
      <c r="AD38" s="109">
        <f t="shared" si="8"/>
        <v>11.3348</v>
      </c>
      <c r="AE38" s="106"/>
      <c r="AF38" s="49" t="s">
        <v>167</v>
      </c>
      <c r="AG38" s="49">
        <v>1</v>
      </c>
      <c r="AH38" s="49" t="s">
        <v>137</v>
      </c>
    </row>
    <row r="39" spans="1:34">
      <c r="A39" s="49">
        <v>7</v>
      </c>
      <c r="B39" s="49" t="s">
        <v>166</v>
      </c>
      <c r="C39" s="49">
        <v>0.6</v>
      </c>
      <c r="D39" s="49">
        <v>0</v>
      </c>
      <c r="E39" s="49">
        <v>0.35</v>
      </c>
      <c r="F39" s="109">
        <v>0.59970000000000001</v>
      </c>
      <c r="G39" s="106"/>
      <c r="H39" s="109">
        <v>1E-4</v>
      </c>
      <c r="I39" s="106"/>
      <c r="J39" s="109">
        <v>0.34839999999999999</v>
      </c>
      <c r="K39" s="106"/>
      <c r="L39" s="109">
        <f t="shared" si="5"/>
        <v>0.299999999999967</v>
      </c>
      <c r="M39" s="106"/>
      <c r="N39" s="109">
        <f t="shared" si="6"/>
        <v>0.1</v>
      </c>
      <c r="O39" s="106"/>
      <c r="P39" s="109">
        <f t="shared" si="7"/>
        <v>1.59999999999999</v>
      </c>
      <c r="Q39" s="106"/>
      <c r="R39" s="109">
        <f t="shared" si="9"/>
        <v>1.63095064302999</v>
      </c>
      <c r="S39" s="106"/>
      <c r="T39" s="124"/>
      <c r="U39" s="125"/>
      <c r="V39" s="124"/>
      <c r="W39" s="125"/>
      <c r="X39" s="124"/>
      <c r="Y39" s="125"/>
      <c r="Z39" s="109">
        <v>1.5567</v>
      </c>
      <c r="AA39" s="106"/>
      <c r="AB39" s="109">
        <v>11.525700000000001</v>
      </c>
      <c r="AC39" s="106"/>
      <c r="AD39" s="109">
        <f t="shared" si="8"/>
        <v>13.0824</v>
      </c>
      <c r="AE39" s="106"/>
      <c r="AF39" s="49" t="s">
        <v>167</v>
      </c>
      <c r="AG39" s="49">
        <v>1</v>
      </c>
      <c r="AH39" s="49" t="s">
        <v>137</v>
      </c>
    </row>
    <row r="40" spans="1:34">
      <c r="A40" s="49">
        <v>7</v>
      </c>
      <c r="B40" s="49" t="s">
        <v>169</v>
      </c>
      <c r="C40" s="49">
        <v>0.5</v>
      </c>
      <c r="D40" s="49">
        <v>0.25</v>
      </c>
      <c r="E40" s="49">
        <v>0.42</v>
      </c>
      <c r="F40" s="109">
        <v>0.49890000000000001</v>
      </c>
      <c r="G40" s="106"/>
      <c r="H40" s="109">
        <v>0.25030000000000002</v>
      </c>
      <c r="I40" s="106"/>
      <c r="J40" s="109">
        <v>0.41980000000000001</v>
      </c>
      <c r="K40" s="106"/>
      <c r="L40" s="109">
        <f t="shared" si="5"/>
        <v>1.09999999999999</v>
      </c>
      <c r="M40" s="106"/>
      <c r="N40" s="109">
        <f t="shared" si="6"/>
        <v>0.300000000000022</v>
      </c>
      <c r="O40" s="106"/>
      <c r="P40" s="109">
        <f t="shared" si="7"/>
        <v>0.199999999999978</v>
      </c>
      <c r="Q40" s="106"/>
      <c r="R40" s="109">
        <f t="shared" si="9"/>
        <v>1.15758369027902</v>
      </c>
      <c r="S40" s="106"/>
      <c r="T40" s="124"/>
      <c r="U40" s="125"/>
      <c r="V40" s="124"/>
      <c r="W40" s="125"/>
      <c r="X40" s="124"/>
      <c r="Y40" s="125"/>
      <c r="Z40" s="109">
        <v>1.6325000000000001</v>
      </c>
      <c r="AA40" s="106"/>
      <c r="AB40" s="109">
        <v>12.014900000000001</v>
      </c>
      <c r="AC40" s="106"/>
      <c r="AD40" s="109">
        <f t="shared" si="8"/>
        <v>13.6474</v>
      </c>
      <c r="AE40" s="106"/>
      <c r="AF40" s="49" t="s">
        <v>167</v>
      </c>
      <c r="AG40" s="49">
        <v>1</v>
      </c>
      <c r="AH40" s="49" t="s">
        <v>137</v>
      </c>
    </row>
    <row r="41" spans="1:34">
      <c r="A41" s="49">
        <v>8</v>
      </c>
      <c r="B41" s="49" t="s">
        <v>166</v>
      </c>
      <c r="C41" s="49">
        <v>0.6</v>
      </c>
      <c r="D41" s="49">
        <v>0</v>
      </c>
      <c r="E41" s="49">
        <v>0.35</v>
      </c>
      <c r="F41" s="109">
        <v>0.59930000000000005</v>
      </c>
      <c r="G41" s="106"/>
      <c r="H41" s="109">
        <v>5.9999999999999995E-4</v>
      </c>
      <c r="I41" s="106"/>
      <c r="J41" s="109">
        <v>0.34910000000000002</v>
      </c>
      <c r="K41" s="106"/>
      <c r="L41" s="109">
        <f t="shared" si="5"/>
        <v>0.699999999999923</v>
      </c>
      <c r="M41" s="106"/>
      <c r="N41" s="109">
        <f t="shared" si="6"/>
        <v>0.6</v>
      </c>
      <c r="O41" s="106"/>
      <c r="P41" s="109">
        <f t="shared" si="7"/>
        <v>0.899999999999956</v>
      </c>
      <c r="Q41" s="106"/>
      <c r="R41" s="109">
        <f t="shared" si="9"/>
        <v>1.28840987267244</v>
      </c>
      <c r="S41" s="106"/>
      <c r="T41" s="124"/>
      <c r="U41" s="125"/>
      <c r="V41" s="124"/>
      <c r="W41" s="125"/>
      <c r="X41" s="124"/>
      <c r="Y41" s="125"/>
      <c r="Z41" s="109">
        <v>1.5882000000000001</v>
      </c>
      <c r="AA41" s="106"/>
      <c r="AB41" s="109">
        <v>9.7866</v>
      </c>
      <c r="AC41" s="106"/>
      <c r="AD41" s="109">
        <f t="shared" si="8"/>
        <v>11.3748</v>
      </c>
      <c r="AE41" s="106"/>
      <c r="AF41" s="49" t="s">
        <v>167</v>
      </c>
      <c r="AG41" s="49">
        <v>1</v>
      </c>
      <c r="AH41" s="49" t="s">
        <v>137</v>
      </c>
    </row>
    <row r="42" spans="1:34">
      <c r="A42" s="49">
        <v>8</v>
      </c>
      <c r="B42" s="49" t="s">
        <v>169</v>
      </c>
      <c r="C42" s="49">
        <v>0.5</v>
      </c>
      <c r="D42" s="49">
        <v>0.25</v>
      </c>
      <c r="E42" s="49">
        <v>0.42</v>
      </c>
      <c r="F42" s="109">
        <v>0.49969999999999998</v>
      </c>
      <c r="G42" s="106"/>
      <c r="H42" s="109">
        <v>0.25019999999999998</v>
      </c>
      <c r="I42" s="106"/>
      <c r="J42" s="109">
        <v>0.42030000000000001</v>
      </c>
      <c r="K42" s="106"/>
      <c r="L42" s="109">
        <f t="shared" si="5"/>
        <v>0.300000000000022</v>
      </c>
      <c r="M42" s="106"/>
      <c r="N42" s="109">
        <f t="shared" si="6"/>
        <v>0.199999999999978</v>
      </c>
      <c r="O42" s="106"/>
      <c r="P42" s="109">
        <f t="shared" si="7"/>
        <v>0.300000000000022</v>
      </c>
      <c r="Q42" s="106"/>
      <c r="R42" s="109">
        <f t="shared" si="9"/>
        <v>0.469041575982362</v>
      </c>
      <c r="S42" s="106"/>
      <c r="T42" s="124"/>
      <c r="U42" s="125"/>
      <c r="V42" s="124"/>
      <c r="W42" s="125"/>
      <c r="X42" s="124"/>
      <c r="Y42" s="125"/>
      <c r="Z42" s="109">
        <v>1.5686</v>
      </c>
      <c r="AA42" s="106"/>
      <c r="AB42" s="109">
        <v>14.599</v>
      </c>
      <c r="AC42" s="106"/>
      <c r="AD42" s="109">
        <f t="shared" si="8"/>
        <v>16.1676</v>
      </c>
      <c r="AE42" s="106"/>
      <c r="AF42" s="49" t="s">
        <v>167</v>
      </c>
      <c r="AG42" s="49">
        <v>1</v>
      </c>
      <c r="AH42" s="49" t="s">
        <v>137</v>
      </c>
    </row>
    <row r="43" spans="1:34">
      <c r="A43" s="49">
        <v>9</v>
      </c>
      <c r="B43" s="49" t="s">
        <v>166</v>
      </c>
      <c r="C43" s="49">
        <v>0.6</v>
      </c>
      <c r="D43" s="49">
        <v>0</v>
      </c>
      <c r="E43" s="49">
        <v>0.35</v>
      </c>
      <c r="F43" s="109">
        <v>0.60040000000000004</v>
      </c>
      <c r="G43" s="106"/>
      <c r="H43" s="109">
        <v>8.9999999999999998E-4</v>
      </c>
      <c r="I43" s="106"/>
      <c r="J43" s="109">
        <v>0.34960000000000002</v>
      </c>
      <c r="K43" s="106"/>
      <c r="L43" s="109">
        <f t="shared" si="5"/>
        <v>0.400000000000067</v>
      </c>
      <c r="M43" s="106"/>
      <c r="N43" s="109">
        <f t="shared" si="6"/>
        <v>0.9</v>
      </c>
      <c r="O43" s="106"/>
      <c r="P43" s="109">
        <f t="shared" si="7"/>
        <v>0.399999999999956</v>
      </c>
      <c r="Q43" s="106"/>
      <c r="R43" s="109">
        <f t="shared" si="9"/>
        <v>1.06301458127347</v>
      </c>
      <c r="S43" s="106"/>
      <c r="T43" s="124"/>
      <c r="U43" s="125"/>
      <c r="V43" s="124"/>
      <c r="W43" s="125"/>
      <c r="X43" s="124"/>
      <c r="Y43" s="125"/>
      <c r="Z43" s="109">
        <v>1.5571999999999999</v>
      </c>
      <c r="AA43" s="106"/>
      <c r="AB43" s="109">
        <v>10.491899999999999</v>
      </c>
      <c r="AC43" s="106"/>
      <c r="AD43" s="109">
        <f t="shared" si="8"/>
        <v>12.0491</v>
      </c>
      <c r="AE43" s="106"/>
      <c r="AF43" s="49" t="s">
        <v>167</v>
      </c>
      <c r="AG43" s="49">
        <v>1</v>
      </c>
      <c r="AH43" s="49" t="s">
        <v>137</v>
      </c>
    </row>
    <row r="44" spans="1:34">
      <c r="A44" s="49">
        <v>9</v>
      </c>
      <c r="B44" s="49" t="s">
        <v>169</v>
      </c>
      <c r="C44" s="49">
        <v>0.5</v>
      </c>
      <c r="D44" s="49">
        <v>0.25</v>
      </c>
      <c r="E44" s="49">
        <v>0.42</v>
      </c>
      <c r="F44" s="109">
        <v>0.49940000000000001</v>
      </c>
      <c r="G44" s="106"/>
      <c r="H44" s="109">
        <v>0.25059999999999999</v>
      </c>
      <c r="I44" s="106"/>
      <c r="J44" s="109">
        <v>0.42049999999999998</v>
      </c>
      <c r="K44" s="106"/>
      <c r="L44" s="109">
        <f t="shared" si="5"/>
        <v>0.599999999999989</v>
      </c>
      <c r="M44" s="106"/>
      <c r="N44" s="109">
        <f t="shared" si="6"/>
        <v>0.599999999999989</v>
      </c>
      <c r="O44" s="106"/>
      <c r="P44" s="109">
        <f t="shared" si="7"/>
        <v>0.5</v>
      </c>
      <c r="Q44" s="106"/>
      <c r="R44" s="109">
        <f t="shared" si="9"/>
        <v>0.984885780179598</v>
      </c>
      <c r="S44" s="106"/>
      <c r="T44" s="124"/>
      <c r="U44" s="125"/>
      <c r="V44" s="124"/>
      <c r="W44" s="125"/>
      <c r="X44" s="124"/>
      <c r="Y44" s="125"/>
      <c r="Z44" s="109">
        <v>1.5408999999999999</v>
      </c>
      <c r="AA44" s="106"/>
      <c r="AB44" s="109">
        <v>9.8506999999999998</v>
      </c>
      <c r="AC44" s="106"/>
      <c r="AD44" s="109">
        <f t="shared" si="8"/>
        <v>11.3916</v>
      </c>
      <c r="AE44" s="106"/>
      <c r="AF44" s="49" t="s">
        <v>167</v>
      </c>
      <c r="AG44" s="49">
        <v>1</v>
      </c>
      <c r="AH44" s="49" t="s">
        <v>137</v>
      </c>
    </row>
    <row r="45" spans="1:34">
      <c r="A45" s="49">
        <v>10</v>
      </c>
      <c r="B45" s="49" t="s">
        <v>166</v>
      </c>
      <c r="C45" s="49">
        <v>0.6</v>
      </c>
      <c r="D45" s="49">
        <v>0</v>
      </c>
      <c r="E45" s="49">
        <v>0.35</v>
      </c>
      <c r="F45" s="109">
        <v>0.59930000000000005</v>
      </c>
      <c r="G45" s="106"/>
      <c r="H45" s="109">
        <v>5.9999999999999995E-4</v>
      </c>
      <c r="I45" s="106"/>
      <c r="J45" s="109">
        <v>0.34910000000000002</v>
      </c>
      <c r="K45" s="106"/>
      <c r="L45" s="109">
        <f t="shared" si="5"/>
        <v>0.699999999999923</v>
      </c>
      <c r="M45" s="106"/>
      <c r="N45" s="109">
        <f t="shared" si="6"/>
        <v>0.6</v>
      </c>
      <c r="O45" s="106"/>
      <c r="P45" s="109">
        <f t="shared" si="7"/>
        <v>0.899999999999956</v>
      </c>
      <c r="Q45" s="106"/>
      <c r="R45" s="109">
        <f t="shared" si="9"/>
        <v>1.28840987267244</v>
      </c>
      <c r="S45" s="106"/>
      <c r="T45" s="124"/>
      <c r="U45" s="125"/>
      <c r="V45" s="124"/>
      <c r="W45" s="125"/>
      <c r="X45" s="124"/>
      <c r="Y45" s="125"/>
      <c r="Z45" s="109">
        <v>1.5882000000000001</v>
      </c>
      <c r="AA45" s="106"/>
      <c r="AB45" s="109">
        <v>9.7866</v>
      </c>
      <c r="AC45" s="106"/>
      <c r="AD45" s="109">
        <f t="shared" si="8"/>
        <v>11.3748</v>
      </c>
      <c r="AE45" s="106"/>
      <c r="AF45" s="49" t="s">
        <v>167</v>
      </c>
      <c r="AG45" s="49">
        <v>1</v>
      </c>
      <c r="AH45" s="49" t="s">
        <v>137</v>
      </c>
    </row>
    <row r="46" spans="1:34">
      <c r="A46" s="49">
        <v>10</v>
      </c>
      <c r="B46" s="49" t="s">
        <v>169</v>
      </c>
      <c r="C46" s="49">
        <v>0.5</v>
      </c>
      <c r="D46" s="49">
        <v>0.25</v>
      </c>
      <c r="E46" s="49">
        <v>0.42</v>
      </c>
      <c r="F46" s="109">
        <v>0.49969999999999998</v>
      </c>
      <c r="G46" s="106"/>
      <c r="H46" s="109">
        <v>0.25019999999999998</v>
      </c>
      <c r="I46" s="106"/>
      <c r="J46" s="109">
        <v>0.42030000000000001</v>
      </c>
      <c r="K46" s="106"/>
      <c r="L46" s="109">
        <f t="shared" si="5"/>
        <v>0.300000000000022</v>
      </c>
      <c r="M46" s="106"/>
      <c r="N46" s="109">
        <f t="shared" si="6"/>
        <v>0.199999999999978</v>
      </c>
      <c r="O46" s="106"/>
      <c r="P46" s="109">
        <f t="shared" si="7"/>
        <v>0.300000000000022</v>
      </c>
      <c r="Q46" s="106"/>
      <c r="R46" s="109">
        <f t="shared" si="9"/>
        <v>0.469041575982362</v>
      </c>
      <c r="S46" s="106"/>
      <c r="T46" s="122"/>
      <c r="U46" s="123"/>
      <c r="V46" s="122"/>
      <c r="W46" s="123"/>
      <c r="X46" s="122"/>
      <c r="Y46" s="123"/>
      <c r="Z46" s="109">
        <v>1.5686</v>
      </c>
      <c r="AA46" s="106"/>
      <c r="AB46" s="109">
        <v>14.599</v>
      </c>
      <c r="AC46" s="106"/>
      <c r="AD46" s="109">
        <f t="shared" si="8"/>
        <v>16.1676</v>
      </c>
      <c r="AE46" s="106"/>
      <c r="AF46" s="49" t="s">
        <v>167</v>
      </c>
      <c r="AG46" s="49">
        <v>1</v>
      </c>
      <c r="AH46" s="49" t="s">
        <v>137</v>
      </c>
    </row>
    <row r="47" spans="1:34">
      <c r="A47" s="112" t="s">
        <v>172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6"/>
    </row>
    <row r="48" spans="1:34" ht="8.85" customHeight="1">
      <c r="A48" s="107" t="s">
        <v>126</v>
      </c>
      <c r="B48" s="107" t="s">
        <v>143</v>
      </c>
      <c r="C48" s="107" t="s">
        <v>144</v>
      </c>
      <c r="D48" s="107" t="s">
        <v>145</v>
      </c>
      <c r="E48" s="107" t="s">
        <v>146</v>
      </c>
      <c r="F48" s="107" t="s">
        <v>147</v>
      </c>
      <c r="G48" s="121"/>
      <c r="H48" s="107" t="s">
        <v>148</v>
      </c>
      <c r="I48" s="121"/>
      <c r="J48" s="107" t="s">
        <v>149</v>
      </c>
      <c r="K48" s="121"/>
      <c r="L48" s="114" t="s">
        <v>150</v>
      </c>
      <c r="M48" s="121"/>
      <c r="N48" s="114" t="s">
        <v>151</v>
      </c>
      <c r="O48" s="121"/>
      <c r="P48" s="114" t="s">
        <v>152</v>
      </c>
      <c r="Q48" s="121"/>
      <c r="R48" s="107" t="s">
        <v>153</v>
      </c>
      <c r="S48" s="121"/>
      <c r="T48" s="107" t="s">
        <v>154</v>
      </c>
      <c r="U48" s="121"/>
      <c r="V48" s="107" t="s">
        <v>155</v>
      </c>
      <c r="W48" s="121"/>
      <c r="X48" s="107" t="s">
        <v>156</v>
      </c>
      <c r="Y48" s="121"/>
      <c r="Z48" s="107" t="s">
        <v>157</v>
      </c>
      <c r="AA48" s="121"/>
      <c r="AB48" s="107" t="s">
        <v>158</v>
      </c>
      <c r="AC48" s="121"/>
      <c r="AD48" s="107" t="s">
        <v>159</v>
      </c>
      <c r="AE48" s="121"/>
      <c r="AF48" s="107" t="s">
        <v>160</v>
      </c>
      <c r="AG48" s="107" t="s">
        <v>162</v>
      </c>
      <c r="AH48" s="107" t="s">
        <v>163</v>
      </c>
    </row>
    <row r="49" spans="1:34">
      <c r="A49" s="111"/>
      <c r="B49" s="111"/>
      <c r="C49" s="111"/>
      <c r="D49" s="111"/>
      <c r="E49" s="111"/>
      <c r="F49" s="122"/>
      <c r="G49" s="123"/>
      <c r="H49" s="122"/>
      <c r="I49" s="123"/>
      <c r="J49" s="122"/>
      <c r="K49" s="123"/>
      <c r="L49" s="122"/>
      <c r="M49" s="123"/>
      <c r="N49" s="122"/>
      <c r="O49" s="123"/>
      <c r="P49" s="122"/>
      <c r="Q49" s="123"/>
      <c r="R49" s="122"/>
      <c r="S49" s="123"/>
      <c r="T49" s="122"/>
      <c r="U49" s="123"/>
      <c r="V49" s="122"/>
      <c r="W49" s="123"/>
      <c r="X49" s="122"/>
      <c r="Y49" s="123"/>
      <c r="Z49" s="122"/>
      <c r="AA49" s="123"/>
      <c r="AB49" s="122"/>
      <c r="AC49" s="123"/>
      <c r="AD49" s="122"/>
      <c r="AE49" s="123"/>
      <c r="AF49" s="111"/>
      <c r="AG49" s="111"/>
      <c r="AH49" s="111"/>
    </row>
    <row r="50" spans="1:34">
      <c r="A50" s="49">
        <v>1</v>
      </c>
      <c r="B50" s="49" t="s">
        <v>166</v>
      </c>
      <c r="C50" s="49">
        <v>0.52</v>
      </c>
      <c r="D50" s="49">
        <v>0.25</v>
      </c>
      <c r="E50" s="49">
        <v>0.35</v>
      </c>
      <c r="F50" s="109">
        <v>0.51990000000000003</v>
      </c>
      <c r="G50" s="106"/>
      <c r="H50" s="109">
        <v>0.25030000000000002</v>
      </c>
      <c r="I50" s="106"/>
      <c r="J50" s="109">
        <v>0.34920000000000001</v>
      </c>
      <c r="K50" s="106"/>
      <c r="L50" s="109">
        <f t="shared" ref="L50:L69" si="10">ABS(F50-C50)*1000</f>
        <v>0.099999999999989</v>
      </c>
      <c r="M50" s="106"/>
      <c r="N50" s="109">
        <f t="shared" ref="N50:N69" si="11">ABS(H50-D50)*1000</f>
        <v>0.300000000000022</v>
      </c>
      <c r="O50" s="106"/>
      <c r="P50" s="109">
        <f t="shared" ref="P50:P69" si="12">ABS(J50-E50)*1000</f>
        <v>0.799999999999967</v>
      </c>
      <c r="Q50" s="106"/>
      <c r="R50" s="109">
        <f t="shared" ref="R50:R69" si="13">SQRT(SUMSQ(L50:Q50))</f>
        <v>0.860232526704239</v>
      </c>
      <c r="S50" s="106"/>
      <c r="T50" s="109">
        <f>_xlfn.STDEV.S(F50:G69)</f>
        <v>0.102655206625716</v>
      </c>
      <c r="U50" s="121"/>
      <c r="V50" s="109">
        <f>_xlfn.STDEV.S(H50:I69)</f>
        <v>0.231112484347022</v>
      </c>
      <c r="W50" s="121"/>
      <c r="X50" s="109">
        <f>_xlfn.STDEV.S(J50:K69)</f>
        <v>0.0362126773381919</v>
      </c>
      <c r="Y50" s="121"/>
      <c r="Z50" s="109">
        <v>1.5807</v>
      </c>
      <c r="AA50" s="106"/>
      <c r="AB50" s="109">
        <v>11.02</v>
      </c>
      <c r="AC50" s="106"/>
      <c r="AD50" s="109">
        <f t="shared" ref="AD50:AD69" si="14">AB50+Z50</f>
        <v>12.6007</v>
      </c>
      <c r="AE50" s="106"/>
      <c r="AF50" s="49" t="s">
        <v>167</v>
      </c>
      <c r="AG50" s="49">
        <v>1</v>
      </c>
      <c r="AH50" s="49" t="s">
        <v>137</v>
      </c>
    </row>
    <row r="51" spans="1:34">
      <c r="A51" s="49">
        <v>1</v>
      </c>
      <c r="B51" s="49" t="s">
        <v>169</v>
      </c>
      <c r="C51" s="49">
        <v>0.72</v>
      </c>
      <c r="D51" s="49">
        <v>-0.2</v>
      </c>
      <c r="E51" s="49">
        <v>0.42</v>
      </c>
      <c r="F51" s="109">
        <v>0.72040000000000004</v>
      </c>
      <c r="G51" s="106"/>
      <c r="H51" s="109">
        <v>-0.2014</v>
      </c>
      <c r="I51" s="106"/>
      <c r="J51" s="109">
        <v>0.42080000000000001</v>
      </c>
      <c r="K51" s="106"/>
      <c r="L51" s="109">
        <f t="shared" si="10"/>
        <v>0.400000000000067</v>
      </c>
      <c r="M51" s="106"/>
      <c r="N51" s="109">
        <f t="shared" si="11"/>
        <v>1.39999999999998</v>
      </c>
      <c r="O51" s="106"/>
      <c r="P51" s="109">
        <f t="shared" si="12"/>
        <v>0.800000000000023</v>
      </c>
      <c r="Q51" s="106"/>
      <c r="R51" s="109">
        <f t="shared" si="13"/>
        <v>1.66132477258363</v>
      </c>
      <c r="S51" s="106"/>
      <c r="T51" s="124"/>
      <c r="U51" s="125"/>
      <c r="V51" s="124"/>
      <c r="W51" s="125"/>
      <c r="X51" s="124"/>
      <c r="Y51" s="125"/>
      <c r="Z51" s="109">
        <v>1.258</v>
      </c>
      <c r="AA51" s="106"/>
      <c r="AB51" s="109">
        <v>11.645099999999999</v>
      </c>
      <c r="AC51" s="106"/>
      <c r="AD51" s="109">
        <f t="shared" si="14"/>
        <v>12.9031</v>
      </c>
      <c r="AE51" s="106"/>
      <c r="AF51" s="49" t="s">
        <v>167</v>
      </c>
      <c r="AG51" s="49">
        <v>1</v>
      </c>
      <c r="AH51" s="49" t="s">
        <v>137</v>
      </c>
    </row>
    <row r="52" spans="1:34">
      <c r="A52" s="49">
        <v>2</v>
      </c>
      <c r="B52" s="49" t="s">
        <v>166</v>
      </c>
      <c r="C52" s="49">
        <v>0.52</v>
      </c>
      <c r="D52" s="49">
        <v>0.25</v>
      </c>
      <c r="E52" s="49">
        <v>0.35</v>
      </c>
      <c r="F52" s="109">
        <v>0.51949999999999996</v>
      </c>
      <c r="G52" s="106"/>
      <c r="H52" s="109">
        <v>0.2495</v>
      </c>
      <c r="I52" s="106"/>
      <c r="J52" s="109">
        <v>0.34960000000000002</v>
      </c>
      <c r="K52" s="106"/>
      <c r="L52" s="109">
        <f t="shared" si="10"/>
        <v>0.500000000000056</v>
      </c>
      <c r="M52" s="106"/>
      <c r="N52" s="109">
        <f t="shared" si="11"/>
        <v>0.5</v>
      </c>
      <c r="O52" s="106"/>
      <c r="P52" s="109">
        <f t="shared" si="12"/>
        <v>0.399999999999956</v>
      </c>
      <c r="Q52" s="106"/>
      <c r="R52" s="109">
        <f t="shared" si="13"/>
        <v>0.812403840463609</v>
      </c>
      <c r="S52" s="106"/>
      <c r="T52" s="124"/>
      <c r="U52" s="125"/>
      <c r="V52" s="124"/>
      <c r="W52" s="125"/>
      <c r="X52" s="124"/>
      <c r="Y52" s="125"/>
      <c r="Z52" s="109">
        <v>1.1769000000000001</v>
      </c>
      <c r="AA52" s="106"/>
      <c r="AB52" s="109">
        <v>11.5442</v>
      </c>
      <c r="AC52" s="106"/>
      <c r="AD52" s="109">
        <f t="shared" si="14"/>
        <v>12.7211</v>
      </c>
      <c r="AE52" s="106"/>
      <c r="AF52" s="49" t="s">
        <v>167</v>
      </c>
      <c r="AG52" s="49">
        <v>1</v>
      </c>
      <c r="AH52" s="49" t="s">
        <v>137</v>
      </c>
    </row>
    <row r="53" spans="1:34">
      <c r="A53" s="49">
        <v>2</v>
      </c>
      <c r="B53" s="49" t="s">
        <v>169</v>
      </c>
      <c r="C53" s="49">
        <v>0.72</v>
      </c>
      <c r="D53" s="49">
        <v>-0.2</v>
      </c>
      <c r="E53" s="49">
        <v>0.42</v>
      </c>
      <c r="F53" s="109">
        <v>0.7198</v>
      </c>
      <c r="G53" s="106"/>
      <c r="H53" s="109">
        <v>-0.19939999999999999</v>
      </c>
      <c r="I53" s="106"/>
      <c r="J53" s="109">
        <v>0.41899999999999998</v>
      </c>
      <c r="K53" s="106"/>
      <c r="L53" s="109">
        <f t="shared" si="10"/>
        <v>0.199999999999978</v>
      </c>
      <c r="M53" s="106"/>
      <c r="N53" s="109">
        <f t="shared" si="11"/>
        <v>0.600000000000017</v>
      </c>
      <c r="O53" s="106"/>
      <c r="P53" s="109">
        <f t="shared" si="12"/>
        <v>1</v>
      </c>
      <c r="Q53" s="106"/>
      <c r="R53" s="109">
        <f t="shared" si="13"/>
        <v>1.18321595661993</v>
      </c>
      <c r="S53" s="106"/>
      <c r="T53" s="124"/>
      <c r="U53" s="125"/>
      <c r="V53" s="124"/>
      <c r="W53" s="125"/>
      <c r="X53" s="124"/>
      <c r="Y53" s="125"/>
      <c r="Z53" s="109">
        <v>1.5627</v>
      </c>
      <c r="AA53" s="106"/>
      <c r="AB53" s="109">
        <v>13.043100000000001</v>
      </c>
      <c r="AC53" s="106"/>
      <c r="AD53" s="109">
        <f t="shared" si="14"/>
        <v>14.6058</v>
      </c>
      <c r="AE53" s="106"/>
      <c r="AF53" s="49" t="s">
        <v>167</v>
      </c>
      <c r="AG53" s="49">
        <v>1</v>
      </c>
      <c r="AH53" s="49" t="s">
        <v>137</v>
      </c>
    </row>
    <row r="54" spans="1:34">
      <c r="A54" s="49">
        <v>3</v>
      </c>
      <c r="B54" s="49" t="s">
        <v>166</v>
      </c>
      <c r="C54" s="49">
        <v>0.52</v>
      </c>
      <c r="D54" s="49">
        <v>0.25</v>
      </c>
      <c r="E54" s="49">
        <v>0.35</v>
      </c>
      <c r="F54" s="109">
        <v>0.51970000000000005</v>
      </c>
      <c r="G54" s="106"/>
      <c r="H54" s="109">
        <v>0.24929999999999999</v>
      </c>
      <c r="I54" s="106"/>
      <c r="J54" s="109">
        <v>0.35039999999999999</v>
      </c>
      <c r="K54" s="106"/>
      <c r="L54" s="109">
        <f t="shared" si="10"/>
        <v>0.299999999999967</v>
      </c>
      <c r="M54" s="106"/>
      <c r="N54" s="109">
        <f t="shared" si="11"/>
        <v>0.700000000000006</v>
      </c>
      <c r="O54" s="106"/>
      <c r="P54" s="109">
        <f t="shared" si="12"/>
        <v>0.400000000000011</v>
      </c>
      <c r="Q54" s="106"/>
      <c r="R54" s="109">
        <f t="shared" si="13"/>
        <v>0.860232526704262</v>
      </c>
      <c r="S54" s="106"/>
      <c r="T54" s="124"/>
      <c r="U54" s="125"/>
      <c r="V54" s="124"/>
      <c r="W54" s="125"/>
      <c r="X54" s="124"/>
      <c r="Y54" s="125"/>
      <c r="Z54" s="109">
        <v>1.5663</v>
      </c>
      <c r="AA54" s="106"/>
      <c r="AB54" s="109">
        <v>11.052099999999999</v>
      </c>
      <c r="AC54" s="106"/>
      <c r="AD54" s="109">
        <f t="shared" si="14"/>
        <v>12.6184</v>
      </c>
      <c r="AE54" s="106"/>
      <c r="AF54" s="49" t="s">
        <v>167</v>
      </c>
      <c r="AG54" s="49">
        <v>1</v>
      </c>
      <c r="AH54" s="49" t="s">
        <v>137</v>
      </c>
    </row>
    <row r="55" spans="1:34">
      <c r="A55" s="49">
        <v>3</v>
      </c>
      <c r="B55" s="49" t="s">
        <v>169</v>
      </c>
      <c r="C55" s="49">
        <v>0.72</v>
      </c>
      <c r="D55" s="49">
        <v>-0.2</v>
      </c>
      <c r="E55" s="49">
        <v>0.42</v>
      </c>
      <c r="F55" s="109">
        <v>0.7208</v>
      </c>
      <c r="G55" s="106"/>
      <c r="H55" s="109">
        <v>-0.20039999999999999</v>
      </c>
      <c r="I55" s="106"/>
      <c r="J55" s="109">
        <v>0.42</v>
      </c>
      <c r="K55" s="106"/>
      <c r="L55" s="109">
        <f t="shared" si="10"/>
        <v>0.800000000000023</v>
      </c>
      <c r="M55" s="106"/>
      <c r="N55" s="109">
        <f t="shared" si="11"/>
        <v>0.399999999999984</v>
      </c>
      <c r="O55" s="106"/>
      <c r="P55" s="109">
        <f t="shared" si="12"/>
        <v>0</v>
      </c>
      <c r="Q55" s="106"/>
      <c r="R55" s="109">
        <f t="shared" si="13"/>
        <v>0.894427190999929</v>
      </c>
      <c r="S55" s="106"/>
      <c r="T55" s="124"/>
      <c r="U55" s="125"/>
      <c r="V55" s="124"/>
      <c r="W55" s="125"/>
      <c r="X55" s="124"/>
      <c r="Y55" s="125"/>
      <c r="Z55" s="109">
        <v>1.5457000000000001</v>
      </c>
      <c r="AA55" s="106"/>
      <c r="AB55" s="109">
        <v>8.6476000000000006</v>
      </c>
      <c r="AC55" s="106"/>
      <c r="AD55" s="109">
        <f t="shared" si="14"/>
        <v>10.1933</v>
      </c>
      <c r="AE55" s="106"/>
      <c r="AF55" s="49" t="s">
        <v>167</v>
      </c>
      <c r="AG55" s="49">
        <v>1</v>
      </c>
      <c r="AH55" s="49" t="s">
        <v>137</v>
      </c>
    </row>
    <row r="56" spans="1:34">
      <c r="A56" s="49">
        <v>4</v>
      </c>
      <c r="B56" s="49" t="s">
        <v>166</v>
      </c>
      <c r="C56" s="49">
        <v>0.52</v>
      </c>
      <c r="D56" s="49">
        <v>0.25</v>
      </c>
      <c r="E56" s="49">
        <v>0.35</v>
      </c>
      <c r="F56" s="109">
        <v>0.51959999999999995</v>
      </c>
      <c r="G56" s="106"/>
      <c r="H56" s="109">
        <v>0.24990000000000001</v>
      </c>
      <c r="I56" s="106"/>
      <c r="J56" s="109">
        <v>0.35060000000000002</v>
      </c>
      <c r="K56" s="106"/>
      <c r="L56" s="109">
        <f t="shared" si="10"/>
        <v>0.400000000000067</v>
      </c>
      <c r="M56" s="106"/>
      <c r="N56" s="109">
        <f t="shared" si="11"/>
        <v>0.099999999999989</v>
      </c>
      <c r="O56" s="106"/>
      <c r="P56" s="109">
        <f t="shared" si="12"/>
        <v>0.600000000000045</v>
      </c>
      <c r="Q56" s="106"/>
      <c r="R56" s="109">
        <f t="shared" si="13"/>
        <v>0.728010988928124</v>
      </c>
      <c r="S56" s="106"/>
      <c r="T56" s="124"/>
      <c r="U56" s="125"/>
      <c r="V56" s="124"/>
      <c r="W56" s="125"/>
      <c r="X56" s="124"/>
      <c r="Y56" s="125"/>
      <c r="Z56" s="109">
        <v>1.5542</v>
      </c>
      <c r="AA56" s="106"/>
      <c r="AB56" s="109">
        <v>11.111700000000001</v>
      </c>
      <c r="AC56" s="106"/>
      <c r="AD56" s="109">
        <f t="shared" si="14"/>
        <v>12.6659</v>
      </c>
      <c r="AE56" s="106"/>
      <c r="AF56" s="49" t="s">
        <v>167</v>
      </c>
      <c r="AG56" s="49">
        <v>1</v>
      </c>
      <c r="AH56" s="49" t="s">
        <v>137</v>
      </c>
    </row>
    <row r="57" spans="1:34">
      <c r="A57" s="49">
        <v>4</v>
      </c>
      <c r="B57" s="49" t="s">
        <v>169</v>
      </c>
      <c r="C57" s="49">
        <v>0.72</v>
      </c>
      <c r="D57" s="49">
        <v>-0.2</v>
      </c>
      <c r="E57" s="49">
        <v>0.42</v>
      </c>
      <c r="F57" s="109">
        <v>0.7208</v>
      </c>
      <c r="G57" s="106"/>
      <c r="H57" s="109">
        <v>-0.2006</v>
      </c>
      <c r="I57" s="106"/>
      <c r="J57" s="109">
        <v>0.4204</v>
      </c>
      <c r="K57" s="106"/>
      <c r="L57" s="109">
        <f t="shared" si="10"/>
        <v>0.800000000000023</v>
      </c>
      <c r="M57" s="106"/>
      <c r="N57" s="109">
        <f t="shared" si="11"/>
        <v>0.599999999999989</v>
      </c>
      <c r="O57" s="106"/>
      <c r="P57" s="109">
        <f t="shared" si="12"/>
        <v>0.400000000000011</v>
      </c>
      <c r="Q57" s="106"/>
      <c r="R57" s="109">
        <f t="shared" si="13"/>
        <v>1.07703296142692</v>
      </c>
      <c r="S57" s="106"/>
      <c r="T57" s="124"/>
      <c r="U57" s="125"/>
      <c r="V57" s="124"/>
      <c r="W57" s="125"/>
      <c r="X57" s="124"/>
      <c r="Y57" s="125"/>
      <c r="Z57" s="109">
        <v>1.5348999999999999</v>
      </c>
      <c r="AA57" s="106"/>
      <c r="AB57" s="109">
        <v>8.7002000000000006</v>
      </c>
      <c r="AC57" s="106"/>
      <c r="AD57" s="109">
        <f t="shared" si="14"/>
        <v>10.2351</v>
      </c>
      <c r="AE57" s="106"/>
      <c r="AF57" s="49" t="s">
        <v>167</v>
      </c>
      <c r="AG57" s="49">
        <v>1</v>
      </c>
      <c r="AH57" s="49" t="s">
        <v>137</v>
      </c>
    </row>
    <row r="58" spans="1:34">
      <c r="A58" s="49">
        <v>5</v>
      </c>
      <c r="B58" s="49" t="s">
        <v>166</v>
      </c>
      <c r="C58" s="49">
        <v>0.52</v>
      </c>
      <c r="D58" s="49">
        <v>0.25</v>
      </c>
      <c r="E58" s="49">
        <v>0.35</v>
      </c>
      <c r="F58" s="109">
        <v>0.52039999999999997</v>
      </c>
      <c r="G58" s="106"/>
      <c r="H58" s="109">
        <v>0.25040000000000001</v>
      </c>
      <c r="I58" s="106"/>
      <c r="J58" s="109">
        <v>0.3503</v>
      </c>
      <c r="K58" s="106"/>
      <c r="L58" s="109">
        <f t="shared" si="10"/>
        <v>0.399999999999956</v>
      </c>
      <c r="M58" s="106"/>
      <c r="N58" s="109">
        <f t="shared" si="11"/>
        <v>0.400000000000011</v>
      </c>
      <c r="O58" s="106"/>
      <c r="P58" s="109">
        <f t="shared" si="12"/>
        <v>0.300000000000022</v>
      </c>
      <c r="Q58" s="106"/>
      <c r="R58" s="109">
        <f t="shared" si="13"/>
        <v>0.640312423743275</v>
      </c>
      <c r="S58" s="106"/>
      <c r="T58" s="124"/>
      <c r="U58" s="125"/>
      <c r="V58" s="124"/>
      <c r="W58" s="125"/>
      <c r="X58" s="124"/>
      <c r="Y58" s="125"/>
      <c r="Z58" s="109">
        <v>1.5610999999999999</v>
      </c>
      <c r="AA58" s="106"/>
      <c r="AB58" s="109">
        <v>9.6996000000000002</v>
      </c>
      <c r="AC58" s="106"/>
      <c r="AD58" s="109">
        <f t="shared" si="14"/>
        <v>11.2607</v>
      </c>
      <c r="AE58" s="106"/>
      <c r="AF58" s="49" t="s">
        <v>167</v>
      </c>
      <c r="AG58" s="49">
        <v>1</v>
      </c>
      <c r="AH58" s="49" t="s">
        <v>137</v>
      </c>
    </row>
    <row r="59" spans="1:34">
      <c r="A59" s="49">
        <v>5</v>
      </c>
      <c r="B59" s="49" t="s">
        <v>169</v>
      </c>
      <c r="C59" s="49">
        <v>0.72</v>
      </c>
      <c r="D59" s="49">
        <v>-0.2</v>
      </c>
      <c r="E59" s="49">
        <v>0.42</v>
      </c>
      <c r="F59" s="109">
        <v>0.71989999999999998</v>
      </c>
      <c r="G59" s="106"/>
      <c r="H59" s="109">
        <v>-0.2006</v>
      </c>
      <c r="I59" s="106"/>
      <c r="J59" s="109">
        <v>0.42049999999999998</v>
      </c>
      <c r="K59" s="106"/>
      <c r="L59" s="109">
        <f t="shared" si="10"/>
        <v>0.099999999999989</v>
      </c>
      <c r="M59" s="106"/>
      <c r="N59" s="109">
        <f t="shared" si="11"/>
        <v>0.599999999999989</v>
      </c>
      <c r="O59" s="106"/>
      <c r="P59" s="109">
        <f t="shared" si="12"/>
        <v>0.5</v>
      </c>
      <c r="Q59" s="106"/>
      <c r="R59" s="109">
        <f t="shared" si="13"/>
        <v>0.787400787401172</v>
      </c>
      <c r="S59" s="106"/>
      <c r="T59" s="124"/>
      <c r="U59" s="125"/>
      <c r="V59" s="124"/>
      <c r="W59" s="125"/>
      <c r="X59" s="124"/>
      <c r="Y59" s="125"/>
      <c r="Z59" s="109">
        <v>1.5187999999999999</v>
      </c>
      <c r="AA59" s="106"/>
      <c r="AB59" s="109">
        <v>10.1548</v>
      </c>
      <c r="AC59" s="106"/>
      <c r="AD59" s="109">
        <f t="shared" si="14"/>
        <v>11.6736</v>
      </c>
      <c r="AE59" s="106"/>
      <c r="AF59" s="49" t="s">
        <v>167</v>
      </c>
      <c r="AG59" s="49">
        <v>1</v>
      </c>
      <c r="AH59" s="49" t="s">
        <v>137</v>
      </c>
    </row>
    <row r="60" spans="1:34">
      <c r="A60" s="49">
        <v>6</v>
      </c>
      <c r="B60" s="49" t="s">
        <v>166</v>
      </c>
      <c r="C60" s="49">
        <v>0.52</v>
      </c>
      <c r="D60" s="49">
        <v>0.25</v>
      </c>
      <c r="E60" s="49">
        <v>0.35</v>
      </c>
      <c r="F60" s="109">
        <v>0.52029999999999998</v>
      </c>
      <c r="G60" s="106"/>
      <c r="H60" s="109">
        <v>0.24990000000000001</v>
      </c>
      <c r="I60" s="106"/>
      <c r="J60" s="109">
        <v>0.34920000000000001</v>
      </c>
      <c r="K60" s="106"/>
      <c r="L60" s="109">
        <f t="shared" si="10"/>
        <v>0.299999999999967</v>
      </c>
      <c r="M60" s="106"/>
      <c r="N60" s="109">
        <f t="shared" si="11"/>
        <v>0.099999999999989</v>
      </c>
      <c r="O60" s="106"/>
      <c r="P60" s="109">
        <f t="shared" si="12"/>
        <v>0.799999999999967</v>
      </c>
      <c r="Q60" s="106"/>
      <c r="R60" s="109">
        <f t="shared" si="13"/>
        <v>0.86023252670422</v>
      </c>
      <c r="S60" s="106"/>
      <c r="T60" s="124"/>
      <c r="U60" s="125"/>
      <c r="V60" s="124"/>
      <c r="W60" s="125"/>
      <c r="X60" s="124"/>
      <c r="Y60" s="125"/>
      <c r="Z60" s="109">
        <v>1.5814999999999999</v>
      </c>
      <c r="AA60" s="106"/>
      <c r="AB60" s="109">
        <v>11.567600000000001</v>
      </c>
      <c r="AC60" s="106"/>
      <c r="AD60" s="109">
        <f t="shared" si="14"/>
        <v>13.1491</v>
      </c>
      <c r="AE60" s="106"/>
      <c r="AF60" s="49" t="s">
        <v>167</v>
      </c>
      <c r="AG60" s="49">
        <v>1</v>
      </c>
      <c r="AH60" s="49" t="s">
        <v>137</v>
      </c>
    </row>
    <row r="61" spans="1:34">
      <c r="A61" s="49">
        <v>6</v>
      </c>
      <c r="B61" s="49" t="s">
        <v>169</v>
      </c>
      <c r="C61" s="49">
        <v>0.72</v>
      </c>
      <c r="D61" s="49">
        <v>-0.2</v>
      </c>
      <c r="E61" s="49">
        <v>0.42</v>
      </c>
      <c r="F61" s="109">
        <v>0.71950000000000003</v>
      </c>
      <c r="G61" s="106"/>
      <c r="H61" s="109">
        <v>-0.19980000000000001</v>
      </c>
      <c r="I61" s="106"/>
      <c r="J61" s="109">
        <v>0.41920000000000002</v>
      </c>
      <c r="K61" s="106"/>
      <c r="L61" s="109">
        <f t="shared" si="10"/>
        <v>0.499999999999945</v>
      </c>
      <c r="M61" s="106"/>
      <c r="N61" s="109">
        <f t="shared" si="11"/>
        <v>0.200000000000006</v>
      </c>
      <c r="O61" s="106"/>
      <c r="P61" s="109">
        <f t="shared" si="12"/>
        <v>0.799999999999967</v>
      </c>
      <c r="Q61" s="106"/>
      <c r="R61" s="109">
        <f t="shared" si="13"/>
        <v>0.964365076099241</v>
      </c>
      <c r="S61" s="106"/>
      <c r="T61" s="124"/>
      <c r="U61" s="125"/>
      <c r="V61" s="124"/>
      <c r="W61" s="125"/>
      <c r="X61" s="124"/>
      <c r="Y61" s="125"/>
      <c r="Z61" s="109">
        <v>1.5929</v>
      </c>
      <c r="AA61" s="106"/>
      <c r="AB61" s="109">
        <v>12.208600000000001</v>
      </c>
      <c r="AC61" s="106"/>
      <c r="AD61" s="109">
        <f t="shared" si="14"/>
        <v>13.8015</v>
      </c>
      <c r="AE61" s="106"/>
      <c r="AF61" s="49" t="s">
        <v>167</v>
      </c>
      <c r="AG61" s="49">
        <v>1</v>
      </c>
      <c r="AH61" s="49" t="s">
        <v>137</v>
      </c>
    </row>
    <row r="62" spans="1:34">
      <c r="A62" s="49">
        <v>7</v>
      </c>
      <c r="B62" s="49" t="s">
        <v>166</v>
      </c>
      <c r="C62" s="49">
        <v>0.52</v>
      </c>
      <c r="D62" s="49">
        <v>0.25</v>
      </c>
      <c r="E62" s="49">
        <v>0.35</v>
      </c>
      <c r="F62" s="109">
        <v>0.52010000000000001</v>
      </c>
      <c r="G62" s="106"/>
      <c r="H62" s="109">
        <v>0.24929999999999999</v>
      </c>
      <c r="I62" s="106"/>
      <c r="J62" s="109">
        <v>0.34870000000000001</v>
      </c>
      <c r="K62" s="106"/>
      <c r="L62" s="109">
        <f t="shared" si="10"/>
        <v>0.099999999999989</v>
      </c>
      <c r="M62" s="106"/>
      <c r="N62" s="109">
        <f t="shared" si="11"/>
        <v>0.700000000000006</v>
      </c>
      <c r="O62" s="106"/>
      <c r="P62" s="109">
        <f t="shared" si="12"/>
        <v>1.29999999999997</v>
      </c>
      <c r="Q62" s="106"/>
      <c r="R62" s="109">
        <f t="shared" si="13"/>
        <v>1.47986485869485</v>
      </c>
      <c r="S62" s="106"/>
      <c r="T62" s="124"/>
      <c r="U62" s="125"/>
      <c r="V62" s="124"/>
      <c r="W62" s="125"/>
      <c r="X62" s="124"/>
      <c r="Y62" s="125"/>
      <c r="Z62" s="109">
        <v>1.4581999999999999</v>
      </c>
      <c r="AA62" s="106"/>
      <c r="AB62" s="109">
        <v>10.123200000000001</v>
      </c>
      <c r="AC62" s="106"/>
      <c r="AD62" s="109">
        <f t="shared" si="14"/>
        <v>11.5814</v>
      </c>
      <c r="AE62" s="106"/>
      <c r="AF62" s="49" t="s">
        <v>167</v>
      </c>
      <c r="AG62" s="49">
        <v>1</v>
      </c>
      <c r="AH62" s="49" t="s">
        <v>137</v>
      </c>
    </row>
    <row r="63" spans="1:34">
      <c r="A63" s="49">
        <v>7</v>
      </c>
      <c r="B63" s="49" t="s">
        <v>169</v>
      </c>
      <c r="C63" s="49">
        <v>0.72</v>
      </c>
      <c r="D63" s="49">
        <v>-0.2</v>
      </c>
      <c r="E63" s="49">
        <v>0.42</v>
      </c>
      <c r="F63" s="109">
        <v>0.71960000000000002</v>
      </c>
      <c r="G63" s="106"/>
      <c r="H63" s="109">
        <v>-0.20050000000000001</v>
      </c>
      <c r="I63" s="106"/>
      <c r="J63" s="109">
        <v>0.42009999999999997</v>
      </c>
      <c r="K63" s="106"/>
      <c r="L63" s="109">
        <f t="shared" si="10"/>
        <v>0.399999999999956</v>
      </c>
      <c r="M63" s="106"/>
      <c r="N63" s="109">
        <f t="shared" si="11"/>
        <v>0.5</v>
      </c>
      <c r="O63" s="106"/>
      <c r="P63" s="109">
        <f t="shared" si="12"/>
        <v>0.099999999999989</v>
      </c>
      <c r="Q63" s="106"/>
      <c r="R63" s="109">
        <f t="shared" si="13"/>
        <v>0.648074069840757</v>
      </c>
      <c r="S63" s="106"/>
      <c r="T63" s="124"/>
      <c r="U63" s="125"/>
      <c r="V63" s="124"/>
      <c r="W63" s="125"/>
      <c r="X63" s="124"/>
      <c r="Y63" s="125"/>
      <c r="Z63" s="109">
        <v>1.5835999999999999</v>
      </c>
      <c r="AA63" s="106"/>
      <c r="AB63" s="109">
        <v>13.8545</v>
      </c>
      <c r="AC63" s="106"/>
      <c r="AD63" s="109">
        <f t="shared" si="14"/>
        <v>15.4381</v>
      </c>
      <c r="AE63" s="106"/>
      <c r="AF63" s="49" t="s">
        <v>167</v>
      </c>
      <c r="AG63" s="49">
        <v>1</v>
      </c>
      <c r="AH63" s="49" t="s">
        <v>137</v>
      </c>
    </row>
    <row r="64" spans="1:34">
      <c r="A64" s="49">
        <v>8</v>
      </c>
      <c r="B64" s="49" t="s">
        <v>166</v>
      </c>
      <c r="C64" s="49">
        <v>0.52</v>
      </c>
      <c r="D64" s="49">
        <v>0.25</v>
      </c>
      <c r="E64" s="49">
        <v>0.35</v>
      </c>
      <c r="F64" s="109">
        <v>0.52070000000000005</v>
      </c>
      <c r="G64" s="106"/>
      <c r="H64" s="109">
        <v>0.25009999999999999</v>
      </c>
      <c r="I64" s="106"/>
      <c r="J64" s="109">
        <v>0.35</v>
      </c>
      <c r="K64" s="106"/>
      <c r="L64" s="109">
        <f t="shared" si="10"/>
        <v>0.700000000000034</v>
      </c>
      <c r="M64" s="106"/>
      <c r="N64" s="109">
        <f t="shared" si="11"/>
        <v>0.099999999999989</v>
      </c>
      <c r="O64" s="106"/>
      <c r="P64" s="109">
        <f t="shared" si="12"/>
        <v>0</v>
      </c>
      <c r="Q64" s="106"/>
      <c r="R64" s="109">
        <f t="shared" si="13"/>
        <v>0.70710678118658</v>
      </c>
      <c r="S64" s="106"/>
      <c r="T64" s="124"/>
      <c r="U64" s="125"/>
      <c r="V64" s="124"/>
      <c r="W64" s="125"/>
      <c r="X64" s="124"/>
      <c r="Y64" s="125"/>
      <c r="Z64" s="109">
        <v>1.552</v>
      </c>
      <c r="AA64" s="106"/>
      <c r="AB64" s="109">
        <v>10.799899999999999</v>
      </c>
      <c r="AC64" s="106"/>
      <c r="AD64" s="109">
        <f t="shared" si="14"/>
        <v>12.3519</v>
      </c>
      <c r="AE64" s="106"/>
      <c r="AF64" s="49" t="s">
        <v>167</v>
      </c>
      <c r="AG64" s="49">
        <v>1</v>
      </c>
      <c r="AH64" s="49" t="s">
        <v>137</v>
      </c>
    </row>
    <row r="65" spans="1:34">
      <c r="A65" s="49">
        <v>8</v>
      </c>
      <c r="B65" s="49" t="s">
        <v>169</v>
      </c>
      <c r="C65" s="49">
        <v>0.72</v>
      </c>
      <c r="D65" s="49">
        <v>-0.2</v>
      </c>
      <c r="E65" s="49">
        <v>0.42</v>
      </c>
      <c r="F65" s="109">
        <v>0.72</v>
      </c>
      <c r="G65" s="106"/>
      <c r="H65" s="109">
        <v>-0.20080000000000001</v>
      </c>
      <c r="I65" s="106"/>
      <c r="J65" s="109">
        <v>0.42130000000000001</v>
      </c>
      <c r="K65" s="106"/>
      <c r="L65" s="109">
        <f t="shared" si="10"/>
        <v>0</v>
      </c>
      <c r="M65" s="106"/>
      <c r="N65" s="109">
        <f t="shared" si="11"/>
        <v>0.799999999999995</v>
      </c>
      <c r="O65" s="106"/>
      <c r="P65" s="109">
        <f t="shared" si="12"/>
        <v>1.30000000000002</v>
      </c>
      <c r="Q65" s="106"/>
      <c r="R65" s="109">
        <f t="shared" si="13"/>
        <v>1.52643375224739</v>
      </c>
      <c r="S65" s="106"/>
      <c r="T65" s="124"/>
      <c r="U65" s="125"/>
      <c r="V65" s="124"/>
      <c r="W65" s="125"/>
      <c r="X65" s="124"/>
      <c r="Y65" s="125"/>
      <c r="Z65" s="109">
        <v>1.5376000000000001</v>
      </c>
      <c r="AA65" s="106"/>
      <c r="AB65" s="109">
        <v>8.6509999999999998</v>
      </c>
      <c r="AC65" s="106"/>
      <c r="AD65" s="109">
        <f t="shared" si="14"/>
        <v>10.1886</v>
      </c>
      <c r="AE65" s="106"/>
      <c r="AF65" s="49" t="s">
        <v>167</v>
      </c>
      <c r="AG65" s="49">
        <v>1</v>
      </c>
      <c r="AH65" s="49" t="s">
        <v>137</v>
      </c>
    </row>
    <row r="66" spans="1:34">
      <c r="A66" s="49">
        <v>9</v>
      </c>
      <c r="B66" s="49" t="s">
        <v>166</v>
      </c>
      <c r="C66" s="49">
        <v>0.52</v>
      </c>
      <c r="D66" s="49">
        <v>0.25</v>
      </c>
      <c r="E66" s="49">
        <v>0.35</v>
      </c>
      <c r="F66" s="109">
        <v>0.52059999999999995</v>
      </c>
      <c r="G66" s="106"/>
      <c r="H66" s="109">
        <v>0.25019999999999998</v>
      </c>
      <c r="I66" s="106"/>
      <c r="J66" s="109">
        <v>0.34960000000000002</v>
      </c>
      <c r="K66" s="106"/>
      <c r="L66" s="109">
        <f t="shared" si="10"/>
        <v>0.599999999999934</v>
      </c>
      <c r="M66" s="106"/>
      <c r="N66" s="109">
        <f t="shared" si="11"/>
        <v>0.199999999999978</v>
      </c>
      <c r="O66" s="106"/>
      <c r="P66" s="109">
        <f t="shared" si="12"/>
        <v>0.399999999999956</v>
      </c>
      <c r="Q66" s="106"/>
      <c r="R66" s="109">
        <f t="shared" si="13"/>
        <v>0.748331477354706</v>
      </c>
      <c r="S66" s="106"/>
      <c r="T66" s="124"/>
      <c r="U66" s="125"/>
      <c r="V66" s="124"/>
      <c r="W66" s="125"/>
      <c r="X66" s="124"/>
      <c r="Y66" s="125"/>
      <c r="Z66" s="109">
        <v>1.5676000000000001</v>
      </c>
      <c r="AA66" s="106"/>
      <c r="AB66" s="109">
        <v>9.6156000000000006</v>
      </c>
      <c r="AC66" s="106"/>
      <c r="AD66" s="109">
        <f t="shared" si="14"/>
        <v>11.1832</v>
      </c>
      <c r="AE66" s="106"/>
      <c r="AF66" s="49" t="s">
        <v>167</v>
      </c>
      <c r="AG66" s="49">
        <v>1</v>
      </c>
      <c r="AH66" s="49" t="s">
        <v>137</v>
      </c>
    </row>
    <row r="67" spans="1:34">
      <c r="A67" s="49">
        <v>9</v>
      </c>
      <c r="B67" s="49" t="s">
        <v>169</v>
      </c>
      <c r="C67" s="49">
        <v>0.72</v>
      </c>
      <c r="D67" s="49">
        <v>-0.2</v>
      </c>
      <c r="E67" s="49">
        <v>0.42</v>
      </c>
      <c r="F67" s="109">
        <v>0.72060000000000002</v>
      </c>
      <c r="G67" s="106"/>
      <c r="H67" s="109">
        <v>-0.2011</v>
      </c>
      <c r="I67" s="106"/>
      <c r="J67" s="109">
        <v>0.42049999999999998</v>
      </c>
      <c r="K67" s="106"/>
      <c r="L67" s="109">
        <f t="shared" si="10"/>
        <v>0.600000000000045</v>
      </c>
      <c r="M67" s="106"/>
      <c r="N67" s="109">
        <f t="shared" si="11"/>
        <v>1.09999999999999</v>
      </c>
      <c r="O67" s="106"/>
      <c r="P67" s="109">
        <f t="shared" si="12"/>
        <v>0.5</v>
      </c>
      <c r="Q67" s="106"/>
      <c r="R67" s="109">
        <f t="shared" si="13"/>
        <v>1.34907375632322</v>
      </c>
      <c r="S67" s="106"/>
      <c r="T67" s="124"/>
      <c r="U67" s="125"/>
      <c r="V67" s="124"/>
      <c r="W67" s="125"/>
      <c r="X67" s="124"/>
      <c r="Y67" s="125"/>
      <c r="Z67" s="109">
        <v>1.4429000000000001</v>
      </c>
      <c r="AA67" s="106"/>
      <c r="AB67" s="109">
        <v>10.1046</v>
      </c>
      <c r="AC67" s="106"/>
      <c r="AD67" s="109">
        <f t="shared" si="14"/>
        <v>11.5475</v>
      </c>
      <c r="AE67" s="106"/>
      <c r="AF67" s="49" t="s">
        <v>167</v>
      </c>
      <c r="AG67" s="49">
        <v>1</v>
      </c>
      <c r="AH67" s="49" t="s">
        <v>137</v>
      </c>
    </row>
    <row r="68" spans="1:34">
      <c r="A68" s="49">
        <v>10</v>
      </c>
      <c r="B68" s="49" t="s">
        <v>166</v>
      </c>
      <c r="C68" s="49">
        <v>0.52</v>
      </c>
      <c r="D68" s="49">
        <v>0.25</v>
      </c>
      <c r="E68" s="49">
        <v>0.35</v>
      </c>
      <c r="F68" s="109">
        <v>0.51990000000000003</v>
      </c>
      <c r="G68" s="106"/>
      <c r="H68" s="109">
        <v>0.25030000000000002</v>
      </c>
      <c r="I68" s="106"/>
      <c r="J68" s="109">
        <v>0.34920000000000001</v>
      </c>
      <c r="K68" s="106"/>
      <c r="L68" s="109">
        <f t="shared" si="10"/>
        <v>0.099999999999989</v>
      </c>
      <c r="M68" s="106"/>
      <c r="N68" s="109">
        <f t="shared" si="11"/>
        <v>0.300000000000022</v>
      </c>
      <c r="O68" s="106"/>
      <c r="P68" s="109">
        <f t="shared" si="12"/>
        <v>0.799999999999967</v>
      </c>
      <c r="Q68" s="106"/>
      <c r="R68" s="109">
        <f t="shared" si="13"/>
        <v>0.860232526704239</v>
      </c>
      <c r="S68" s="106"/>
      <c r="T68" s="124"/>
      <c r="U68" s="125"/>
      <c r="V68" s="124"/>
      <c r="W68" s="125"/>
      <c r="X68" s="124"/>
      <c r="Y68" s="125"/>
      <c r="Z68" s="109">
        <v>1.5807</v>
      </c>
      <c r="AA68" s="106"/>
      <c r="AB68" s="109">
        <v>11.02</v>
      </c>
      <c r="AC68" s="106"/>
      <c r="AD68" s="109">
        <f t="shared" si="14"/>
        <v>12.6007</v>
      </c>
      <c r="AE68" s="106"/>
      <c r="AF68" s="49" t="s">
        <v>167</v>
      </c>
      <c r="AG68" s="49">
        <v>1</v>
      </c>
      <c r="AH68" s="49" t="s">
        <v>137</v>
      </c>
    </row>
    <row r="69" spans="1:34">
      <c r="A69" s="49">
        <v>10</v>
      </c>
      <c r="B69" s="49" t="s">
        <v>169</v>
      </c>
      <c r="C69" s="49">
        <v>0.72</v>
      </c>
      <c r="D69" s="49">
        <v>-0.2</v>
      </c>
      <c r="E69" s="49">
        <v>0.42</v>
      </c>
      <c r="F69" s="109">
        <v>0.72040000000000004</v>
      </c>
      <c r="G69" s="106"/>
      <c r="H69" s="109">
        <v>-0.2014</v>
      </c>
      <c r="I69" s="106"/>
      <c r="J69" s="109">
        <v>0.42080000000000001</v>
      </c>
      <c r="K69" s="106"/>
      <c r="L69" s="109">
        <f t="shared" si="10"/>
        <v>0.400000000000067</v>
      </c>
      <c r="M69" s="106"/>
      <c r="N69" s="109">
        <f t="shared" si="11"/>
        <v>1.39999999999998</v>
      </c>
      <c r="O69" s="106"/>
      <c r="P69" s="109">
        <f t="shared" si="12"/>
        <v>0.800000000000023</v>
      </c>
      <c r="Q69" s="106"/>
      <c r="R69" s="109">
        <f t="shared" si="13"/>
        <v>1.66132477258363</v>
      </c>
      <c r="S69" s="106"/>
      <c r="T69" s="122"/>
      <c r="U69" s="123"/>
      <c r="V69" s="122"/>
      <c r="W69" s="123"/>
      <c r="X69" s="122"/>
      <c r="Y69" s="123"/>
      <c r="Z69" s="109">
        <v>1.258</v>
      </c>
      <c r="AA69" s="106"/>
      <c r="AB69" s="109">
        <v>11.645099999999999</v>
      </c>
      <c r="AC69" s="106"/>
      <c r="AD69" s="109">
        <f t="shared" si="14"/>
        <v>12.9031</v>
      </c>
      <c r="AE69" s="106"/>
      <c r="AF69" s="49" t="s">
        <v>167</v>
      </c>
      <c r="AG69" s="49">
        <v>1</v>
      </c>
      <c r="AH69" s="49" t="s">
        <v>137</v>
      </c>
    </row>
    <row r="70" spans="1:34">
      <c r="A70" s="112" t="s">
        <v>173</v>
      </c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6"/>
    </row>
    <row r="71" spans="1:34" ht="8.85" customHeight="1">
      <c r="A71" s="107" t="s">
        <v>126</v>
      </c>
      <c r="B71" s="107" t="s">
        <v>143</v>
      </c>
      <c r="C71" s="107" t="s">
        <v>144</v>
      </c>
      <c r="D71" s="107" t="s">
        <v>145</v>
      </c>
      <c r="E71" s="107" t="s">
        <v>146</v>
      </c>
      <c r="F71" s="107" t="s">
        <v>147</v>
      </c>
      <c r="G71" s="121"/>
      <c r="H71" s="107" t="s">
        <v>148</v>
      </c>
      <c r="I71" s="121"/>
      <c r="J71" s="107" t="s">
        <v>149</v>
      </c>
      <c r="K71" s="121"/>
      <c r="L71" s="114" t="s">
        <v>150</v>
      </c>
      <c r="M71" s="121"/>
      <c r="N71" s="114" t="s">
        <v>151</v>
      </c>
      <c r="O71" s="121"/>
      <c r="P71" s="114" t="s">
        <v>152</v>
      </c>
      <c r="Q71" s="121"/>
      <c r="R71" s="107" t="s">
        <v>153</v>
      </c>
      <c r="S71" s="121"/>
      <c r="T71" s="107" t="s">
        <v>154</v>
      </c>
      <c r="U71" s="121"/>
      <c r="V71" s="107" t="s">
        <v>155</v>
      </c>
      <c r="W71" s="121"/>
      <c r="X71" s="107" t="s">
        <v>156</v>
      </c>
      <c r="Y71" s="121"/>
      <c r="Z71" s="107" t="s">
        <v>157</v>
      </c>
      <c r="AA71" s="121"/>
      <c r="AB71" s="107" t="s">
        <v>158</v>
      </c>
      <c r="AC71" s="121"/>
      <c r="AD71" s="107" t="s">
        <v>159</v>
      </c>
      <c r="AE71" s="121"/>
      <c r="AF71" s="107" t="s">
        <v>160</v>
      </c>
      <c r="AG71" s="107" t="s">
        <v>162</v>
      </c>
      <c r="AH71" s="107" t="s">
        <v>163</v>
      </c>
    </row>
    <row r="72" spans="1:34">
      <c r="A72" s="111"/>
      <c r="B72" s="111"/>
      <c r="C72" s="111"/>
      <c r="D72" s="111"/>
      <c r="E72" s="111"/>
      <c r="F72" s="122"/>
      <c r="G72" s="123"/>
      <c r="H72" s="122"/>
      <c r="I72" s="123"/>
      <c r="J72" s="122"/>
      <c r="K72" s="123"/>
      <c r="L72" s="122"/>
      <c r="M72" s="123"/>
      <c r="N72" s="122"/>
      <c r="O72" s="123"/>
      <c r="P72" s="122"/>
      <c r="Q72" s="123"/>
      <c r="R72" s="122"/>
      <c r="S72" s="123"/>
      <c r="T72" s="122"/>
      <c r="U72" s="123"/>
      <c r="V72" s="122"/>
      <c r="W72" s="123"/>
      <c r="X72" s="122"/>
      <c r="Y72" s="123"/>
      <c r="Z72" s="122"/>
      <c r="AA72" s="123"/>
      <c r="AB72" s="122"/>
      <c r="AC72" s="123"/>
      <c r="AD72" s="122"/>
      <c r="AE72" s="123"/>
      <c r="AF72" s="111"/>
      <c r="AG72" s="111"/>
      <c r="AH72" s="111"/>
    </row>
    <row r="73" spans="1:34">
      <c r="A73" s="49">
        <v>1</v>
      </c>
      <c r="B73" s="49" t="s">
        <v>166</v>
      </c>
      <c r="C73" s="49">
        <v>0.7</v>
      </c>
      <c r="D73" s="49">
        <v>-0.25</v>
      </c>
      <c r="E73" s="49">
        <v>0.35</v>
      </c>
      <c r="F73" s="109">
        <v>0.69979999999999998</v>
      </c>
      <c r="G73" s="106"/>
      <c r="H73" s="109">
        <v>-0.25080000000000002</v>
      </c>
      <c r="I73" s="106"/>
      <c r="J73" s="109">
        <v>0.3508</v>
      </c>
      <c r="K73" s="106"/>
      <c r="L73" s="109">
        <f t="shared" ref="L73:L92" si="15">ABS(F73-C73)*1000</f>
        <v>0.199999999999978</v>
      </c>
      <c r="M73" s="106"/>
      <c r="N73" s="109">
        <f t="shared" ref="N73:N92" si="16">ABS(H73-D73)*1000</f>
        <v>0.800000000000023</v>
      </c>
      <c r="O73" s="106"/>
      <c r="P73" s="109">
        <f t="shared" ref="P73:P92" si="17">ABS(J73-E73)*1000</f>
        <v>0.800000000000023</v>
      </c>
      <c r="Q73" s="106"/>
      <c r="R73" s="109">
        <f t="shared" ref="R73:R92" si="18">SQRT(SUMSQ(L73:Q73))</f>
        <v>1.14891252930763</v>
      </c>
      <c r="S73" s="106"/>
      <c r="T73" s="109">
        <f>_xlfn.STDEV.P(F73:G92)</f>
        <v>0.0899110009954288</v>
      </c>
      <c r="U73" s="121"/>
      <c r="V73" s="109">
        <f>_xlfn.STDEV.P(H73:I92)</f>
        <v>0.000510881590977788</v>
      </c>
      <c r="W73" s="121"/>
      <c r="X73" s="109">
        <f>_xlfn.STDEV.P(J73:K92)</f>
        <v>0.0350876530990604</v>
      </c>
      <c r="Y73" s="121"/>
      <c r="Z73" s="109">
        <v>1.5465</v>
      </c>
      <c r="AA73" s="106"/>
      <c r="AB73" s="109">
        <v>10.897600000000001</v>
      </c>
      <c r="AC73" s="106"/>
      <c r="AD73" s="109">
        <f t="shared" ref="AD73:AD92" si="19">AB73+Z73</f>
        <v>12.4441</v>
      </c>
      <c r="AE73" s="106"/>
      <c r="AF73" s="49" t="s">
        <v>167</v>
      </c>
      <c r="AG73" s="49">
        <v>1</v>
      </c>
      <c r="AH73" s="49" t="s">
        <v>137</v>
      </c>
    </row>
    <row r="74" spans="1:34">
      <c r="A74" s="49">
        <v>1</v>
      </c>
      <c r="B74" s="49" t="s">
        <v>169</v>
      </c>
      <c r="C74" s="49">
        <v>0.52</v>
      </c>
      <c r="D74" s="49">
        <v>-0.25</v>
      </c>
      <c r="E74" s="49">
        <v>0.42</v>
      </c>
      <c r="F74" s="109">
        <v>0.51980000000000004</v>
      </c>
      <c r="G74" s="106"/>
      <c r="H74" s="109">
        <v>-0.25059999999999999</v>
      </c>
      <c r="I74" s="106"/>
      <c r="J74" s="109">
        <v>0.42130000000000001</v>
      </c>
      <c r="K74" s="106"/>
      <c r="L74" s="109">
        <f t="shared" si="15"/>
        <v>0.199999999999978</v>
      </c>
      <c r="M74" s="106"/>
      <c r="N74" s="109">
        <f t="shared" si="16"/>
        <v>0.599999999999989</v>
      </c>
      <c r="O74" s="106"/>
      <c r="P74" s="109">
        <f t="shared" si="17"/>
        <v>1.30000000000002</v>
      </c>
      <c r="Q74" s="106"/>
      <c r="R74" s="109">
        <f t="shared" si="18"/>
        <v>1.44568322948011</v>
      </c>
      <c r="S74" s="106"/>
      <c r="T74" s="124"/>
      <c r="U74" s="125"/>
      <c r="V74" s="124"/>
      <c r="W74" s="125"/>
      <c r="X74" s="124"/>
      <c r="Y74" s="125"/>
      <c r="Z74" s="109">
        <v>1.536</v>
      </c>
      <c r="AA74" s="106"/>
      <c r="AB74" s="109">
        <v>8.2948000000000004</v>
      </c>
      <c r="AC74" s="106"/>
      <c r="AD74" s="109">
        <f t="shared" si="19"/>
        <v>9.8308</v>
      </c>
      <c r="AE74" s="106"/>
      <c r="AF74" s="49" t="s">
        <v>167</v>
      </c>
      <c r="AG74" s="49">
        <v>1</v>
      </c>
      <c r="AH74" s="49" t="s">
        <v>137</v>
      </c>
    </row>
    <row r="75" spans="1:34">
      <c r="A75" s="49">
        <v>2</v>
      </c>
      <c r="B75" s="49" t="s">
        <v>166</v>
      </c>
      <c r="C75" s="49">
        <v>0.7</v>
      </c>
      <c r="D75" s="49">
        <v>-0.25</v>
      </c>
      <c r="E75" s="49">
        <v>0.35</v>
      </c>
      <c r="F75" s="109">
        <v>0.69910000000000005</v>
      </c>
      <c r="G75" s="106"/>
      <c r="H75" s="109">
        <v>-0.24940000000000001</v>
      </c>
      <c r="I75" s="106"/>
      <c r="J75" s="109">
        <v>0.34899999999999998</v>
      </c>
      <c r="K75" s="106"/>
      <c r="L75" s="109">
        <f t="shared" si="15"/>
        <v>0.899999999999901</v>
      </c>
      <c r="M75" s="106"/>
      <c r="N75" s="109">
        <f t="shared" si="16"/>
        <v>0.599999999999989</v>
      </c>
      <c r="O75" s="106"/>
      <c r="P75" s="109">
        <f t="shared" si="17"/>
        <v>1</v>
      </c>
      <c r="Q75" s="106"/>
      <c r="R75" s="109">
        <f t="shared" si="18"/>
        <v>1.47309198626556</v>
      </c>
      <c r="S75" s="106"/>
      <c r="T75" s="124"/>
      <c r="U75" s="125"/>
      <c r="V75" s="124"/>
      <c r="W75" s="125"/>
      <c r="X75" s="124"/>
      <c r="Y75" s="125"/>
      <c r="Z75" s="109">
        <v>1.4551000000000001</v>
      </c>
      <c r="AA75" s="106"/>
      <c r="AB75" s="109">
        <v>10.9468</v>
      </c>
      <c r="AC75" s="106"/>
      <c r="AD75" s="109">
        <f t="shared" si="19"/>
        <v>12.4019</v>
      </c>
      <c r="AE75" s="106"/>
      <c r="AF75" s="49" t="s">
        <v>167</v>
      </c>
      <c r="AG75" s="49">
        <v>1</v>
      </c>
      <c r="AH75" s="49" t="s">
        <v>137</v>
      </c>
    </row>
    <row r="76" spans="1:34">
      <c r="A76" s="49">
        <v>2</v>
      </c>
      <c r="B76" s="49" t="s">
        <v>169</v>
      </c>
      <c r="C76" s="49">
        <v>0.52</v>
      </c>
      <c r="D76" s="49">
        <v>-0.25</v>
      </c>
      <c r="E76" s="49">
        <v>0.42</v>
      </c>
      <c r="F76" s="109">
        <v>0.52029999999999998</v>
      </c>
      <c r="G76" s="106"/>
      <c r="H76" s="109">
        <v>-0.25019999999999998</v>
      </c>
      <c r="I76" s="106"/>
      <c r="J76" s="109">
        <v>0.41909999999999997</v>
      </c>
      <c r="K76" s="106"/>
      <c r="L76" s="109">
        <f t="shared" si="15"/>
        <v>0.299999999999967</v>
      </c>
      <c r="M76" s="106"/>
      <c r="N76" s="109">
        <f t="shared" si="16"/>
        <v>0.199999999999978</v>
      </c>
      <c r="O76" s="106"/>
      <c r="P76" s="109">
        <f t="shared" si="17"/>
        <v>0.900000000000012</v>
      </c>
      <c r="Q76" s="106"/>
      <c r="R76" s="109">
        <f t="shared" si="18"/>
        <v>0.969535971483262</v>
      </c>
      <c r="S76" s="106"/>
      <c r="T76" s="124"/>
      <c r="U76" s="125"/>
      <c r="V76" s="124"/>
      <c r="W76" s="125"/>
      <c r="X76" s="124"/>
      <c r="Y76" s="125"/>
      <c r="Z76" s="109">
        <v>1.5371999999999999</v>
      </c>
      <c r="AA76" s="106"/>
      <c r="AB76" s="109">
        <v>9.7302999999999997</v>
      </c>
      <c r="AC76" s="106"/>
      <c r="AD76" s="109">
        <f t="shared" si="19"/>
        <v>11.2675</v>
      </c>
      <c r="AE76" s="106"/>
      <c r="AF76" s="49" t="s">
        <v>167</v>
      </c>
      <c r="AG76" s="49">
        <v>1</v>
      </c>
      <c r="AH76" s="49" t="s">
        <v>137</v>
      </c>
    </row>
    <row r="77" spans="1:34">
      <c r="A77" s="49">
        <v>3</v>
      </c>
      <c r="B77" s="49" t="s">
        <v>166</v>
      </c>
      <c r="C77" s="49">
        <v>0.7</v>
      </c>
      <c r="D77" s="49">
        <v>-0.25</v>
      </c>
      <c r="E77" s="49">
        <v>0.35</v>
      </c>
      <c r="F77" s="109">
        <v>0.70030000000000003</v>
      </c>
      <c r="G77" s="106"/>
      <c r="H77" s="109">
        <v>-0.25109999999999999</v>
      </c>
      <c r="I77" s="106"/>
      <c r="J77" s="109">
        <v>0.35020000000000001</v>
      </c>
      <c r="K77" s="106"/>
      <c r="L77" s="109">
        <f t="shared" si="15"/>
        <v>0.300000000000078</v>
      </c>
      <c r="M77" s="106"/>
      <c r="N77" s="109">
        <f t="shared" si="16"/>
        <v>1.09999999999999</v>
      </c>
      <c r="O77" s="106"/>
      <c r="P77" s="109">
        <f t="shared" si="17"/>
        <v>0.200000000000033</v>
      </c>
      <c r="Q77" s="106"/>
      <c r="R77" s="109">
        <f t="shared" si="18"/>
        <v>1.15758369027904</v>
      </c>
      <c r="S77" s="106"/>
      <c r="T77" s="124"/>
      <c r="U77" s="125"/>
      <c r="V77" s="124"/>
      <c r="W77" s="125"/>
      <c r="X77" s="124"/>
      <c r="Y77" s="125"/>
      <c r="Z77" s="109">
        <v>1.5558000000000001</v>
      </c>
      <c r="AA77" s="106"/>
      <c r="AB77" s="109">
        <v>10.9231</v>
      </c>
      <c r="AC77" s="106"/>
      <c r="AD77" s="109">
        <f t="shared" si="19"/>
        <v>12.4789</v>
      </c>
      <c r="AE77" s="106"/>
      <c r="AF77" s="49" t="s">
        <v>167</v>
      </c>
      <c r="AG77" s="49">
        <v>1</v>
      </c>
      <c r="AH77" s="49" t="s">
        <v>137</v>
      </c>
    </row>
    <row r="78" spans="1:34">
      <c r="A78" s="49">
        <v>3</v>
      </c>
      <c r="B78" s="49" t="s">
        <v>169</v>
      </c>
      <c r="C78" s="49">
        <v>0.52</v>
      </c>
      <c r="D78" s="49">
        <v>-0.25</v>
      </c>
      <c r="E78" s="49">
        <v>0.42</v>
      </c>
      <c r="F78" s="109">
        <v>0.51919999999999999</v>
      </c>
      <c r="G78" s="106"/>
      <c r="H78" s="109">
        <v>-0.25030000000000002</v>
      </c>
      <c r="I78" s="106"/>
      <c r="J78" s="109">
        <v>0.4209</v>
      </c>
      <c r="K78" s="106"/>
      <c r="L78" s="109">
        <f t="shared" si="15"/>
        <v>0.800000000000023</v>
      </c>
      <c r="M78" s="106"/>
      <c r="N78" s="109">
        <f t="shared" si="16"/>
        <v>0.300000000000022</v>
      </c>
      <c r="O78" s="106"/>
      <c r="P78" s="109">
        <f t="shared" si="17"/>
        <v>0.900000000000012</v>
      </c>
      <c r="Q78" s="106"/>
      <c r="R78" s="109">
        <f t="shared" si="18"/>
        <v>1.24096736459911</v>
      </c>
      <c r="S78" s="106"/>
      <c r="T78" s="124"/>
      <c r="U78" s="125"/>
      <c r="V78" s="124"/>
      <c r="W78" s="125"/>
      <c r="X78" s="124"/>
      <c r="Y78" s="125"/>
      <c r="Z78" s="109">
        <v>1.5362</v>
      </c>
      <c r="AA78" s="106"/>
      <c r="AB78" s="109">
        <v>9.7403999999999993</v>
      </c>
      <c r="AC78" s="106"/>
      <c r="AD78" s="109">
        <f t="shared" si="19"/>
        <v>11.2766</v>
      </c>
      <c r="AE78" s="106"/>
      <c r="AF78" s="49" t="s">
        <v>167</v>
      </c>
      <c r="AG78" s="49">
        <v>1</v>
      </c>
      <c r="AH78" s="49" t="s">
        <v>137</v>
      </c>
    </row>
    <row r="79" spans="1:34">
      <c r="A79" s="49">
        <v>4</v>
      </c>
      <c r="B79" s="49" t="s">
        <v>166</v>
      </c>
      <c r="C79" s="49">
        <v>0.7</v>
      </c>
      <c r="D79" s="49">
        <v>-0.25</v>
      </c>
      <c r="E79" s="49">
        <v>0.35</v>
      </c>
      <c r="F79" s="109">
        <v>0.69950000000000001</v>
      </c>
      <c r="G79" s="106"/>
      <c r="H79" s="109">
        <v>-0.25</v>
      </c>
      <c r="I79" s="106"/>
      <c r="J79" s="109">
        <v>0.35089999999999999</v>
      </c>
      <c r="K79" s="106"/>
      <c r="L79" s="109">
        <f t="shared" si="15"/>
        <v>0.499999999999945</v>
      </c>
      <c r="M79" s="106"/>
      <c r="N79" s="109">
        <f t="shared" si="16"/>
        <v>0</v>
      </c>
      <c r="O79" s="106"/>
      <c r="P79" s="109">
        <f t="shared" si="17"/>
        <v>0.900000000000012</v>
      </c>
      <c r="Q79" s="106"/>
      <c r="R79" s="109">
        <f t="shared" si="18"/>
        <v>1.02956301409868</v>
      </c>
      <c r="S79" s="106"/>
      <c r="T79" s="124"/>
      <c r="U79" s="125"/>
      <c r="V79" s="124"/>
      <c r="W79" s="125"/>
      <c r="X79" s="124"/>
      <c r="Y79" s="125"/>
      <c r="Z79" s="109">
        <v>1.5489999999999999</v>
      </c>
      <c r="AA79" s="106"/>
      <c r="AB79" s="109">
        <v>9.5401000000000007</v>
      </c>
      <c r="AC79" s="106"/>
      <c r="AD79" s="109">
        <f t="shared" si="19"/>
        <v>11.0891</v>
      </c>
      <c r="AE79" s="106"/>
      <c r="AF79" s="49" t="s">
        <v>167</v>
      </c>
      <c r="AG79" s="49">
        <v>1</v>
      </c>
      <c r="AH79" s="49" t="s">
        <v>137</v>
      </c>
    </row>
    <row r="80" spans="1:34">
      <c r="A80" s="49">
        <v>4</v>
      </c>
      <c r="B80" s="49" t="s">
        <v>169</v>
      </c>
      <c r="C80" s="49">
        <v>0.52</v>
      </c>
      <c r="D80" s="49">
        <v>-0.25</v>
      </c>
      <c r="E80" s="49">
        <v>0.42</v>
      </c>
      <c r="F80" s="109">
        <v>0.51959999999999995</v>
      </c>
      <c r="G80" s="106"/>
      <c r="H80" s="109">
        <v>-0.24990000000000001</v>
      </c>
      <c r="I80" s="106"/>
      <c r="J80" s="109">
        <v>0.42059999999999997</v>
      </c>
      <c r="K80" s="106"/>
      <c r="L80" s="109">
        <f t="shared" si="15"/>
        <v>0.400000000000067</v>
      </c>
      <c r="M80" s="106"/>
      <c r="N80" s="109">
        <f t="shared" si="16"/>
        <v>0.099999999999989</v>
      </c>
      <c r="O80" s="106"/>
      <c r="P80" s="109">
        <f t="shared" si="17"/>
        <v>0.599999999999989</v>
      </c>
      <c r="Q80" s="106"/>
      <c r="R80" s="109">
        <f t="shared" si="18"/>
        <v>0.728010988928078</v>
      </c>
      <c r="S80" s="106"/>
      <c r="T80" s="124"/>
      <c r="U80" s="125"/>
      <c r="V80" s="124"/>
      <c r="W80" s="125"/>
      <c r="X80" s="124"/>
      <c r="Y80" s="125"/>
      <c r="Z80" s="109">
        <v>1.5596000000000001</v>
      </c>
      <c r="AA80" s="106"/>
      <c r="AB80" s="109">
        <v>9.7288999999999994</v>
      </c>
      <c r="AC80" s="106"/>
      <c r="AD80" s="109">
        <f t="shared" si="19"/>
        <v>11.2885</v>
      </c>
      <c r="AE80" s="106"/>
      <c r="AF80" s="49" t="s">
        <v>167</v>
      </c>
      <c r="AG80" s="49">
        <v>1</v>
      </c>
      <c r="AH80" s="49" t="s">
        <v>137</v>
      </c>
    </row>
    <row r="81" spans="1:34">
      <c r="A81" s="49">
        <v>5</v>
      </c>
      <c r="B81" s="49" t="s">
        <v>166</v>
      </c>
      <c r="C81" s="49">
        <v>0.7</v>
      </c>
      <c r="D81" s="49">
        <v>-0.25</v>
      </c>
      <c r="E81" s="49">
        <v>0.35</v>
      </c>
      <c r="F81" s="109">
        <v>0.69979999999999998</v>
      </c>
      <c r="G81" s="106"/>
      <c r="H81" s="109">
        <v>-0.25040000000000001</v>
      </c>
      <c r="I81" s="106"/>
      <c r="J81" s="109">
        <v>0.3508</v>
      </c>
      <c r="K81" s="106"/>
      <c r="L81" s="109">
        <f t="shared" si="15"/>
        <v>0.199999999999978</v>
      </c>
      <c r="M81" s="106"/>
      <c r="N81" s="109">
        <f t="shared" si="16"/>
        <v>0.400000000000011</v>
      </c>
      <c r="O81" s="106"/>
      <c r="P81" s="109">
        <f t="shared" si="17"/>
        <v>0.800000000000023</v>
      </c>
      <c r="Q81" s="106"/>
      <c r="R81" s="109">
        <f t="shared" si="18"/>
        <v>0.916515138991188</v>
      </c>
      <c r="S81" s="106"/>
      <c r="T81" s="124"/>
      <c r="U81" s="125"/>
      <c r="V81" s="124"/>
      <c r="W81" s="125"/>
      <c r="X81" s="124"/>
      <c r="Y81" s="125"/>
      <c r="Z81" s="109">
        <v>1.5512999999999999</v>
      </c>
      <c r="AA81" s="106"/>
      <c r="AB81" s="109">
        <v>10.834199999999999</v>
      </c>
      <c r="AC81" s="106"/>
      <c r="AD81" s="109">
        <f t="shared" si="19"/>
        <v>12.3855</v>
      </c>
      <c r="AE81" s="106"/>
      <c r="AF81" s="49" t="s">
        <v>167</v>
      </c>
      <c r="AG81" s="49">
        <v>1</v>
      </c>
      <c r="AH81" s="49" t="s">
        <v>137</v>
      </c>
    </row>
    <row r="82" spans="1:34">
      <c r="A82" s="49">
        <v>5</v>
      </c>
      <c r="B82" s="49" t="s">
        <v>169</v>
      </c>
      <c r="C82" s="49">
        <v>0.52</v>
      </c>
      <c r="D82" s="49">
        <v>-0.25</v>
      </c>
      <c r="E82" s="49">
        <v>0.42</v>
      </c>
      <c r="F82" s="109">
        <v>0.51970000000000005</v>
      </c>
      <c r="G82" s="106"/>
      <c r="H82" s="109">
        <v>-0.25</v>
      </c>
      <c r="I82" s="106"/>
      <c r="J82" s="109">
        <v>0.42070000000000002</v>
      </c>
      <c r="K82" s="106"/>
      <c r="L82" s="109">
        <f t="shared" si="15"/>
        <v>0.299999999999967</v>
      </c>
      <c r="M82" s="106"/>
      <c r="N82" s="109">
        <f t="shared" si="16"/>
        <v>0</v>
      </c>
      <c r="O82" s="106"/>
      <c r="P82" s="109">
        <f t="shared" si="17"/>
        <v>0.700000000000034</v>
      </c>
      <c r="Q82" s="106"/>
      <c r="R82" s="109">
        <f t="shared" si="18"/>
        <v>0.761577310586409</v>
      </c>
      <c r="S82" s="106"/>
      <c r="T82" s="124"/>
      <c r="U82" s="125"/>
      <c r="V82" s="124"/>
      <c r="W82" s="125"/>
      <c r="X82" s="124"/>
      <c r="Y82" s="125"/>
      <c r="Z82" s="109">
        <v>1.5569</v>
      </c>
      <c r="AA82" s="106"/>
      <c r="AB82" s="109">
        <v>11.6516</v>
      </c>
      <c r="AC82" s="106"/>
      <c r="AD82" s="109">
        <f t="shared" si="19"/>
        <v>13.2085</v>
      </c>
      <c r="AE82" s="106"/>
      <c r="AF82" s="49" t="s">
        <v>167</v>
      </c>
      <c r="AG82" s="49">
        <v>1</v>
      </c>
      <c r="AH82" s="49" t="s">
        <v>137</v>
      </c>
    </row>
    <row r="83" spans="1:34">
      <c r="A83" s="49">
        <v>6</v>
      </c>
      <c r="B83" s="49" t="s">
        <v>166</v>
      </c>
      <c r="C83" s="49">
        <v>0.7</v>
      </c>
      <c r="D83" s="49">
        <v>-0.25</v>
      </c>
      <c r="E83" s="49">
        <v>0.35</v>
      </c>
      <c r="F83" s="109">
        <v>0.69910000000000005</v>
      </c>
      <c r="G83" s="106"/>
      <c r="H83" s="109">
        <v>-0.25109999999999999</v>
      </c>
      <c r="I83" s="106"/>
      <c r="J83" s="109">
        <v>0.35089999999999999</v>
      </c>
      <c r="K83" s="106"/>
      <c r="L83" s="109">
        <f t="shared" si="15"/>
        <v>0.899999999999901</v>
      </c>
      <c r="M83" s="106"/>
      <c r="N83" s="109">
        <f t="shared" si="16"/>
        <v>1.09999999999999</v>
      </c>
      <c r="O83" s="106"/>
      <c r="P83" s="109">
        <f t="shared" si="17"/>
        <v>0.900000000000012</v>
      </c>
      <c r="Q83" s="106"/>
      <c r="R83" s="109">
        <f t="shared" si="18"/>
        <v>1.68226038412602</v>
      </c>
      <c r="S83" s="106"/>
      <c r="T83" s="124"/>
      <c r="U83" s="125"/>
      <c r="V83" s="124"/>
      <c r="W83" s="125"/>
      <c r="X83" s="124"/>
      <c r="Y83" s="125"/>
      <c r="Z83" s="109">
        <v>1.5606</v>
      </c>
      <c r="AA83" s="106"/>
      <c r="AB83" s="109">
        <v>10.8978</v>
      </c>
      <c r="AC83" s="106"/>
      <c r="AD83" s="109">
        <f t="shared" si="19"/>
        <v>12.4584</v>
      </c>
      <c r="AE83" s="106"/>
      <c r="AF83" s="49" t="s">
        <v>167</v>
      </c>
      <c r="AG83" s="49">
        <v>1</v>
      </c>
      <c r="AH83" s="49" t="s">
        <v>137</v>
      </c>
    </row>
    <row r="84" spans="1:34">
      <c r="A84" s="49">
        <v>6</v>
      </c>
      <c r="B84" s="49" t="s">
        <v>169</v>
      </c>
      <c r="C84" s="49">
        <v>0.52</v>
      </c>
      <c r="D84" s="49">
        <v>-0.25</v>
      </c>
      <c r="E84" s="49">
        <v>0.42</v>
      </c>
      <c r="F84" s="109">
        <v>0.52049999999999996</v>
      </c>
      <c r="G84" s="106"/>
      <c r="H84" s="109">
        <v>-0.25040000000000001</v>
      </c>
      <c r="I84" s="106"/>
      <c r="J84" s="109">
        <v>0.42</v>
      </c>
      <c r="K84" s="106"/>
      <c r="L84" s="109">
        <f t="shared" si="15"/>
        <v>0.499999999999945</v>
      </c>
      <c r="M84" s="106"/>
      <c r="N84" s="109">
        <f t="shared" si="16"/>
        <v>0.400000000000011</v>
      </c>
      <c r="O84" s="106"/>
      <c r="P84" s="109">
        <f t="shared" si="17"/>
        <v>0</v>
      </c>
      <c r="Q84" s="106"/>
      <c r="R84" s="109">
        <f t="shared" si="18"/>
        <v>0.640312423743249</v>
      </c>
      <c r="S84" s="106"/>
      <c r="T84" s="124"/>
      <c r="U84" s="125"/>
      <c r="V84" s="124"/>
      <c r="W84" s="125"/>
      <c r="X84" s="124"/>
      <c r="Y84" s="125"/>
      <c r="Z84" s="109">
        <v>1.5317000000000001</v>
      </c>
      <c r="AA84" s="106"/>
      <c r="AB84" s="109">
        <v>9.7411999999999992</v>
      </c>
      <c r="AC84" s="106"/>
      <c r="AD84" s="109">
        <f t="shared" si="19"/>
        <v>11.2729</v>
      </c>
      <c r="AE84" s="106"/>
      <c r="AF84" s="49" t="s">
        <v>167</v>
      </c>
      <c r="AG84" s="49">
        <v>1</v>
      </c>
      <c r="AH84" s="49" t="s">
        <v>137</v>
      </c>
    </row>
    <row r="85" spans="1:34">
      <c r="A85" s="49">
        <v>7</v>
      </c>
      <c r="B85" s="49" t="s">
        <v>166</v>
      </c>
      <c r="C85" s="49">
        <v>0.7</v>
      </c>
      <c r="D85" s="49">
        <v>-0.25</v>
      </c>
      <c r="E85" s="49">
        <v>0.35</v>
      </c>
      <c r="F85" s="109">
        <v>0.6996</v>
      </c>
      <c r="G85" s="106"/>
      <c r="H85" s="109">
        <v>-0.25119999999999998</v>
      </c>
      <c r="I85" s="106"/>
      <c r="J85" s="109">
        <v>0.35</v>
      </c>
      <c r="K85" s="106"/>
      <c r="L85" s="109">
        <f t="shared" si="15"/>
        <v>0.399999999999956</v>
      </c>
      <c r="M85" s="106"/>
      <c r="N85" s="109">
        <f t="shared" si="16"/>
        <v>1.19999999999998</v>
      </c>
      <c r="O85" s="106"/>
      <c r="P85" s="109">
        <f t="shared" si="17"/>
        <v>0</v>
      </c>
      <c r="Q85" s="106"/>
      <c r="R85" s="109">
        <f t="shared" si="18"/>
        <v>1.26491106406732</v>
      </c>
      <c r="S85" s="106"/>
      <c r="T85" s="124"/>
      <c r="U85" s="125"/>
      <c r="V85" s="124"/>
      <c r="W85" s="125"/>
      <c r="X85" s="124"/>
      <c r="Y85" s="125"/>
      <c r="Z85" s="109">
        <v>1.5582</v>
      </c>
      <c r="AA85" s="106"/>
      <c r="AB85" s="109">
        <v>10.886200000000001</v>
      </c>
      <c r="AC85" s="106"/>
      <c r="AD85" s="109">
        <f t="shared" si="19"/>
        <v>12.4444</v>
      </c>
      <c r="AE85" s="106"/>
      <c r="AF85" s="49" t="s">
        <v>167</v>
      </c>
      <c r="AG85" s="49">
        <v>1</v>
      </c>
      <c r="AH85" s="49" t="s">
        <v>137</v>
      </c>
    </row>
    <row r="86" spans="1:34">
      <c r="A86" s="49">
        <v>7</v>
      </c>
      <c r="B86" s="49" t="s">
        <v>169</v>
      </c>
      <c r="C86" s="49">
        <v>0.52</v>
      </c>
      <c r="D86" s="49">
        <v>-0.25</v>
      </c>
      <c r="E86" s="49">
        <v>0.42</v>
      </c>
      <c r="F86" s="109">
        <v>0.51980000000000004</v>
      </c>
      <c r="G86" s="106"/>
      <c r="H86" s="109">
        <v>-0.25019999999999998</v>
      </c>
      <c r="I86" s="106"/>
      <c r="J86" s="109">
        <v>0.42030000000000001</v>
      </c>
      <c r="K86" s="106"/>
      <c r="L86" s="109">
        <f t="shared" si="15"/>
        <v>0.199999999999978</v>
      </c>
      <c r="M86" s="106"/>
      <c r="N86" s="109">
        <f t="shared" si="16"/>
        <v>0.199999999999978</v>
      </c>
      <c r="O86" s="106"/>
      <c r="P86" s="109">
        <f t="shared" si="17"/>
        <v>0.300000000000022</v>
      </c>
      <c r="Q86" s="106"/>
      <c r="R86" s="109">
        <f t="shared" si="18"/>
        <v>0.412310562561761</v>
      </c>
      <c r="S86" s="106"/>
      <c r="T86" s="124"/>
      <c r="U86" s="125"/>
      <c r="V86" s="124"/>
      <c r="W86" s="125"/>
      <c r="X86" s="124"/>
      <c r="Y86" s="125"/>
      <c r="Z86" s="109">
        <v>1.5427999999999999</v>
      </c>
      <c r="AA86" s="106"/>
      <c r="AB86" s="109">
        <v>9.7408999999999999</v>
      </c>
      <c r="AC86" s="106"/>
      <c r="AD86" s="109">
        <f t="shared" si="19"/>
        <v>11.2837</v>
      </c>
      <c r="AE86" s="106"/>
      <c r="AF86" s="49" t="s">
        <v>167</v>
      </c>
      <c r="AG86" s="49">
        <v>1</v>
      </c>
      <c r="AH86" s="49" t="s">
        <v>137</v>
      </c>
    </row>
    <row r="87" spans="1:34">
      <c r="A87" s="49">
        <v>8</v>
      </c>
      <c r="B87" s="49" t="s">
        <v>166</v>
      </c>
      <c r="C87" s="49">
        <v>0.7</v>
      </c>
      <c r="D87" s="49">
        <v>-0.25</v>
      </c>
      <c r="E87" s="49">
        <v>0.35</v>
      </c>
      <c r="F87" s="109">
        <v>0.69979999999999998</v>
      </c>
      <c r="G87" s="106"/>
      <c r="H87" s="109">
        <v>-0.25080000000000002</v>
      </c>
      <c r="I87" s="106"/>
      <c r="J87" s="109">
        <v>0.3508</v>
      </c>
      <c r="K87" s="106"/>
      <c r="L87" s="109">
        <f t="shared" si="15"/>
        <v>0.199999999999978</v>
      </c>
      <c r="M87" s="106"/>
      <c r="N87" s="109">
        <f t="shared" si="16"/>
        <v>0.800000000000023</v>
      </c>
      <c r="O87" s="106"/>
      <c r="P87" s="109">
        <f t="shared" si="17"/>
        <v>0.800000000000023</v>
      </c>
      <c r="Q87" s="106"/>
      <c r="R87" s="109">
        <f t="shared" si="18"/>
        <v>1.14891252930763</v>
      </c>
      <c r="S87" s="106"/>
      <c r="T87" s="124"/>
      <c r="U87" s="125"/>
      <c r="V87" s="124"/>
      <c r="W87" s="125"/>
      <c r="X87" s="124"/>
      <c r="Y87" s="125"/>
      <c r="Z87" s="109">
        <v>1.5465</v>
      </c>
      <c r="AA87" s="106"/>
      <c r="AB87" s="109">
        <v>10.897600000000001</v>
      </c>
      <c r="AC87" s="106"/>
      <c r="AD87" s="109">
        <f t="shared" si="19"/>
        <v>12.4441</v>
      </c>
      <c r="AE87" s="106"/>
      <c r="AF87" s="49" t="s">
        <v>167</v>
      </c>
      <c r="AG87" s="49">
        <v>1</v>
      </c>
      <c r="AH87" s="49" t="s">
        <v>137</v>
      </c>
    </row>
    <row r="88" spans="1:34">
      <c r="A88" s="49">
        <v>8</v>
      </c>
      <c r="B88" s="49" t="s">
        <v>169</v>
      </c>
      <c r="C88" s="49">
        <v>0.52</v>
      </c>
      <c r="D88" s="49">
        <v>-0.25</v>
      </c>
      <c r="E88" s="49">
        <v>0.42</v>
      </c>
      <c r="F88" s="109">
        <v>0.51980000000000004</v>
      </c>
      <c r="G88" s="106"/>
      <c r="H88" s="109">
        <v>-0.25059999999999999</v>
      </c>
      <c r="I88" s="106"/>
      <c r="J88" s="109">
        <v>0.42130000000000001</v>
      </c>
      <c r="K88" s="106"/>
      <c r="L88" s="109">
        <f t="shared" si="15"/>
        <v>0.199999999999978</v>
      </c>
      <c r="M88" s="106"/>
      <c r="N88" s="109">
        <f t="shared" si="16"/>
        <v>0.599999999999989</v>
      </c>
      <c r="O88" s="106"/>
      <c r="P88" s="109">
        <f t="shared" si="17"/>
        <v>1.30000000000002</v>
      </c>
      <c r="Q88" s="106"/>
      <c r="R88" s="109">
        <f t="shared" si="18"/>
        <v>1.44568322948011</v>
      </c>
      <c r="S88" s="106"/>
      <c r="T88" s="124"/>
      <c r="U88" s="125"/>
      <c r="V88" s="124"/>
      <c r="W88" s="125"/>
      <c r="X88" s="124"/>
      <c r="Y88" s="125"/>
      <c r="Z88" s="109">
        <v>1.536</v>
      </c>
      <c r="AA88" s="106"/>
      <c r="AB88" s="109">
        <v>8.2948000000000004</v>
      </c>
      <c r="AC88" s="106"/>
      <c r="AD88" s="109">
        <f t="shared" si="19"/>
        <v>9.8308</v>
      </c>
      <c r="AE88" s="106"/>
      <c r="AF88" s="49" t="s">
        <v>167</v>
      </c>
      <c r="AG88" s="49">
        <v>1</v>
      </c>
      <c r="AH88" s="49" t="s">
        <v>137</v>
      </c>
    </row>
    <row r="89" spans="1:34">
      <c r="A89" s="49">
        <v>9</v>
      </c>
      <c r="B89" s="49" t="s">
        <v>166</v>
      </c>
      <c r="C89" s="49">
        <v>0.7</v>
      </c>
      <c r="D89" s="49">
        <v>-0.25</v>
      </c>
      <c r="E89" s="49">
        <v>0.35</v>
      </c>
      <c r="F89" s="109">
        <v>0.69910000000000005</v>
      </c>
      <c r="G89" s="106"/>
      <c r="H89" s="109">
        <v>-0.24940000000000001</v>
      </c>
      <c r="I89" s="106"/>
      <c r="J89" s="109">
        <v>0.34899999999999998</v>
      </c>
      <c r="K89" s="106"/>
      <c r="L89" s="109">
        <f t="shared" si="15"/>
        <v>0.899999999999901</v>
      </c>
      <c r="M89" s="106"/>
      <c r="N89" s="109">
        <f t="shared" si="16"/>
        <v>0.599999999999989</v>
      </c>
      <c r="O89" s="106"/>
      <c r="P89" s="109">
        <f t="shared" si="17"/>
        <v>1</v>
      </c>
      <c r="Q89" s="106"/>
      <c r="R89" s="109">
        <f t="shared" si="18"/>
        <v>1.47309198626556</v>
      </c>
      <c r="S89" s="106"/>
      <c r="T89" s="124"/>
      <c r="U89" s="125"/>
      <c r="V89" s="124"/>
      <c r="W89" s="125"/>
      <c r="X89" s="124"/>
      <c r="Y89" s="125"/>
      <c r="Z89" s="109">
        <v>1.4551000000000001</v>
      </c>
      <c r="AA89" s="106"/>
      <c r="AB89" s="109">
        <v>10.9468</v>
      </c>
      <c r="AC89" s="106"/>
      <c r="AD89" s="109">
        <f t="shared" si="19"/>
        <v>12.4019</v>
      </c>
      <c r="AE89" s="106"/>
      <c r="AF89" s="49" t="s">
        <v>167</v>
      </c>
      <c r="AG89" s="49">
        <v>1</v>
      </c>
      <c r="AH89" s="49" t="s">
        <v>137</v>
      </c>
    </row>
    <row r="90" spans="1:34">
      <c r="A90" s="49">
        <v>9</v>
      </c>
      <c r="B90" s="49" t="s">
        <v>169</v>
      </c>
      <c r="C90" s="49">
        <v>0.52</v>
      </c>
      <c r="D90" s="49">
        <v>-0.25</v>
      </c>
      <c r="E90" s="49">
        <v>0.42</v>
      </c>
      <c r="F90" s="109">
        <v>0.52029999999999998</v>
      </c>
      <c r="G90" s="106"/>
      <c r="H90" s="109">
        <v>-0.25019999999999998</v>
      </c>
      <c r="I90" s="106"/>
      <c r="J90" s="109">
        <v>0.41909999999999997</v>
      </c>
      <c r="K90" s="106"/>
      <c r="L90" s="109">
        <f t="shared" si="15"/>
        <v>0.299999999999967</v>
      </c>
      <c r="M90" s="106"/>
      <c r="N90" s="109">
        <f t="shared" si="16"/>
        <v>0.199999999999978</v>
      </c>
      <c r="O90" s="106"/>
      <c r="P90" s="109">
        <f t="shared" si="17"/>
        <v>0.900000000000012</v>
      </c>
      <c r="Q90" s="106"/>
      <c r="R90" s="109">
        <f t="shared" si="18"/>
        <v>0.969535971483262</v>
      </c>
      <c r="S90" s="106"/>
      <c r="T90" s="124"/>
      <c r="U90" s="125"/>
      <c r="V90" s="124"/>
      <c r="W90" s="125"/>
      <c r="X90" s="124"/>
      <c r="Y90" s="125"/>
      <c r="Z90" s="109">
        <v>1.5371999999999999</v>
      </c>
      <c r="AA90" s="106"/>
      <c r="AB90" s="109">
        <v>9.7302999999999997</v>
      </c>
      <c r="AC90" s="106"/>
      <c r="AD90" s="109">
        <f t="shared" si="19"/>
        <v>11.2675</v>
      </c>
      <c r="AE90" s="106"/>
      <c r="AF90" s="49" t="s">
        <v>167</v>
      </c>
      <c r="AG90" s="49">
        <v>1</v>
      </c>
      <c r="AH90" s="49" t="s">
        <v>137</v>
      </c>
    </row>
    <row r="91" spans="1:34">
      <c r="A91" s="49">
        <v>10</v>
      </c>
      <c r="B91" s="49" t="s">
        <v>166</v>
      </c>
      <c r="C91" s="49">
        <v>0.7</v>
      </c>
      <c r="D91" s="49">
        <v>-0.25</v>
      </c>
      <c r="E91" s="49">
        <v>0.35</v>
      </c>
      <c r="F91" s="109">
        <v>0.70030000000000003</v>
      </c>
      <c r="G91" s="106"/>
      <c r="H91" s="109">
        <v>-0.25109999999999999</v>
      </c>
      <c r="I91" s="106"/>
      <c r="J91" s="109">
        <v>0.35020000000000001</v>
      </c>
      <c r="K91" s="106"/>
      <c r="L91" s="109">
        <f t="shared" si="15"/>
        <v>0.300000000000078</v>
      </c>
      <c r="M91" s="106"/>
      <c r="N91" s="109">
        <f t="shared" si="16"/>
        <v>1.09999999999999</v>
      </c>
      <c r="O91" s="106"/>
      <c r="P91" s="109">
        <f t="shared" si="17"/>
        <v>0.200000000000033</v>
      </c>
      <c r="Q91" s="106"/>
      <c r="R91" s="109">
        <f t="shared" si="18"/>
        <v>1.15758369027904</v>
      </c>
      <c r="S91" s="106"/>
      <c r="T91" s="124"/>
      <c r="U91" s="125"/>
      <c r="V91" s="124"/>
      <c r="W91" s="125"/>
      <c r="X91" s="124"/>
      <c r="Y91" s="125"/>
      <c r="Z91" s="109">
        <v>1.5558000000000001</v>
      </c>
      <c r="AA91" s="106"/>
      <c r="AB91" s="109">
        <v>10.9231</v>
      </c>
      <c r="AC91" s="106"/>
      <c r="AD91" s="109">
        <f t="shared" si="19"/>
        <v>12.4789</v>
      </c>
      <c r="AE91" s="106"/>
      <c r="AF91" s="49" t="s">
        <v>167</v>
      </c>
      <c r="AG91" s="49">
        <v>1</v>
      </c>
      <c r="AH91" s="49" t="s">
        <v>137</v>
      </c>
    </row>
    <row r="92" spans="1:34">
      <c r="A92" s="49">
        <v>10</v>
      </c>
      <c r="B92" s="49" t="s">
        <v>169</v>
      </c>
      <c r="C92" s="49">
        <v>0.52</v>
      </c>
      <c r="D92" s="49">
        <v>-0.25</v>
      </c>
      <c r="E92" s="49">
        <v>0.42</v>
      </c>
      <c r="F92" s="109">
        <v>0.51919999999999999</v>
      </c>
      <c r="G92" s="106"/>
      <c r="H92" s="109">
        <v>-0.25030000000000002</v>
      </c>
      <c r="I92" s="106"/>
      <c r="J92" s="109">
        <v>0.4209</v>
      </c>
      <c r="K92" s="106"/>
      <c r="L92" s="109">
        <f t="shared" si="15"/>
        <v>0.800000000000023</v>
      </c>
      <c r="M92" s="106"/>
      <c r="N92" s="109">
        <f t="shared" si="16"/>
        <v>0.300000000000022</v>
      </c>
      <c r="O92" s="106"/>
      <c r="P92" s="109">
        <f t="shared" si="17"/>
        <v>0.900000000000012</v>
      </c>
      <c r="Q92" s="106"/>
      <c r="R92" s="109">
        <f t="shared" si="18"/>
        <v>1.24096736459911</v>
      </c>
      <c r="S92" s="106"/>
      <c r="T92" s="122"/>
      <c r="U92" s="123"/>
      <c r="V92" s="122"/>
      <c r="W92" s="123"/>
      <c r="X92" s="122"/>
      <c r="Y92" s="123"/>
      <c r="Z92" s="109">
        <v>1.5362</v>
      </c>
      <c r="AA92" s="106"/>
      <c r="AB92" s="109">
        <v>9.7403999999999993</v>
      </c>
      <c r="AC92" s="106"/>
      <c r="AD92" s="109">
        <f t="shared" si="19"/>
        <v>11.2766</v>
      </c>
      <c r="AE92" s="106"/>
      <c r="AF92" s="49" t="s">
        <v>167</v>
      </c>
      <c r="AG92" s="49">
        <v>1</v>
      </c>
      <c r="AH92" s="49" t="s">
        <v>137</v>
      </c>
    </row>
    <row r="93" spans="1:34">
      <c r="A93" s="112" t="s">
        <v>174</v>
      </c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6"/>
    </row>
    <row r="94" spans="1:34" ht="8.85" customHeight="1">
      <c r="A94" s="107" t="s">
        <v>126</v>
      </c>
      <c r="B94" s="107" t="s">
        <v>143</v>
      </c>
      <c r="C94" s="107" t="s">
        <v>144</v>
      </c>
      <c r="D94" s="107" t="s">
        <v>145</v>
      </c>
      <c r="E94" s="107" t="s">
        <v>146</v>
      </c>
      <c r="F94" s="107" t="s">
        <v>147</v>
      </c>
      <c r="G94" s="121"/>
      <c r="H94" s="107" t="s">
        <v>148</v>
      </c>
      <c r="I94" s="121"/>
      <c r="J94" s="107" t="s">
        <v>149</v>
      </c>
      <c r="K94" s="121"/>
      <c r="L94" s="114" t="s">
        <v>150</v>
      </c>
      <c r="M94" s="121"/>
      <c r="N94" s="114" t="s">
        <v>151</v>
      </c>
      <c r="O94" s="121"/>
      <c r="P94" s="114" t="s">
        <v>152</v>
      </c>
      <c r="Q94" s="121"/>
      <c r="R94" s="107" t="s">
        <v>153</v>
      </c>
      <c r="S94" s="121"/>
      <c r="T94" s="107" t="s">
        <v>154</v>
      </c>
      <c r="U94" s="121"/>
      <c r="V94" s="107" t="s">
        <v>155</v>
      </c>
      <c r="W94" s="121"/>
      <c r="X94" s="107" t="s">
        <v>156</v>
      </c>
      <c r="Y94" s="121"/>
      <c r="Z94" s="107" t="s">
        <v>157</v>
      </c>
      <c r="AA94" s="121"/>
      <c r="AB94" s="107" t="s">
        <v>158</v>
      </c>
      <c r="AC94" s="121"/>
      <c r="AD94" s="107" t="s">
        <v>159</v>
      </c>
      <c r="AE94" s="121"/>
      <c r="AF94" s="107" t="s">
        <v>160</v>
      </c>
      <c r="AG94" s="107" t="s">
        <v>162</v>
      </c>
      <c r="AH94" s="107" t="s">
        <v>163</v>
      </c>
    </row>
    <row r="95" spans="1:34">
      <c r="A95" s="111"/>
      <c r="B95" s="111"/>
      <c r="C95" s="111"/>
      <c r="D95" s="111"/>
      <c r="E95" s="111"/>
      <c r="F95" s="122"/>
      <c r="G95" s="123"/>
      <c r="H95" s="122"/>
      <c r="I95" s="123"/>
      <c r="J95" s="122"/>
      <c r="K95" s="123"/>
      <c r="L95" s="122"/>
      <c r="M95" s="123"/>
      <c r="N95" s="122"/>
      <c r="O95" s="123"/>
      <c r="P95" s="122"/>
      <c r="Q95" s="123"/>
      <c r="R95" s="122"/>
      <c r="S95" s="123"/>
      <c r="T95" s="122"/>
      <c r="U95" s="123"/>
      <c r="V95" s="122"/>
      <c r="W95" s="123"/>
      <c r="X95" s="122"/>
      <c r="Y95" s="123"/>
      <c r="Z95" s="122"/>
      <c r="AA95" s="123"/>
      <c r="AB95" s="122"/>
      <c r="AC95" s="123"/>
      <c r="AD95" s="122"/>
      <c r="AE95" s="123"/>
      <c r="AF95" s="111"/>
      <c r="AG95" s="111"/>
      <c r="AH95" s="111"/>
    </row>
    <row r="96" spans="1:34">
      <c r="A96" s="49">
        <v>1</v>
      </c>
      <c r="B96" s="49" t="s">
        <v>166</v>
      </c>
      <c r="C96" s="49">
        <v>0.62</v>
      </c>
      <c r="D96" s="49">
        <v>0.18</v>
      </c>
      <c r="E96" s="49">
        <v>0.35</v>
      </c>
      <c r="F96" s="109">
        <v>0.62080000000000002</v>
      </c>
      <c r="G96" s="106"/>
      <c r="H96" s="109">
        <v>0.1792</v>
      </c>
      <c r="I96" s="106"/>
      <c r="J96" s="109">
        <v>0.35060000000000002</v>
      </c>
      <c r="K96" s="106"/>
      <c r="L96" s="109">
        <f t="shared" ref="L96:L115" si="20">ABS(F96-C96)*1000</f>
        <v>0.800000000000023</v>
      </c>
      <c r="M96" s="106"/>
      <c r="N96" s="109">
        <f t="shared" ref="N96:N115" si="21">ABS(H96-D96)*1000</f>
        <v>0.799999999999995</v>
      </c>
      <c r="O96" s="106"/>
      <c r="P96" s="109">
        <f t="shared" ref="P96:P115" si="22">ABS(J96-E96)*1000</f>
        <v>0.600000000000045</v>
      </c>
      <c r="Q96" s="106"/>
      <c r="R96" s="109">
        <f t="shared" ref="R96:R115" si="23">SQRT(SUMSQ(L96:Q96))</f>
        <v>1.2806248474866</v>
      </c>
      <c r="S96" s="106"/>
      <c r="T96" s="109">
        <f>_xlfn.STDEV.S(F96:G115)</f>
        <v>0.051219891284128</v>
      </c>
      <c r="U96" s="121"/>
      <c r="V96" s="109">
        <f>_xlfn.STDEV.S(H96:I115)</f>
        <v>0.051312073063805</v>
      </c>
      <c r="W96" s="121"/>
      <c r="X96" s="109">
        <f>_xlfn.STDEV.S(J96:K115)</f>
        <v>0.0358159810699079</v>
      </c>
      <c r="Y96" s="121"/>
      <c r="Z96" s="109">
        <v>1.4893000000000001</v>
      </c>
      <c r="AA96" s="106"/>
      <c r="AB96" s="109">
        <v>10.4681</v>
      </c>
      <c r="AC96" s="106"/>
      <c r="AD96" s="109">
        <f t="shared" ref="AD96:AD115" si="24">AB96+Z96</f>
        <v>11.9574</v>
      </c>
      <c r="AE96" s="106"/>
      <c r="AF96" s="49" t="s">
        <v>167</v>
      </c>
      <c r="AG96" s="49">
        <v>1</v>
      </c>
      <c r="AH96" s="49" t="s">
        <v>137</v>
      </c>
    </row>
    <row r="97" spans="1:34">
      <c r="A97" s="49">
        <v>1</v>
      </c>
      <c r="B97" s="49" t="s">
        <v>169</v>
      </c>
      <c r="C97" s="49">
        <v>0.72</v>
      </c>
      <c r="D97" s="49">
        <v>0.28000000000000003</v>
      </c>
      <c r="E97" s="49">
        <v>0.42</v>
      </c>
      <c r="F97" s="109">
        <v>0.72019999999999995</v>
      </c>
      <c r="G97" s="106"/>
      <c r="H97" s="109">
        <v>0.27860000000000001</v>
      </c>
      <c r="I97" s="106"/>
      <c r="J97" s="109">
        <v>0.4199</v>
      </c>
      <c r="K97" s="106"/>
      <c r="L97" s="109">
        <f t="shared" si="20"/>
        <v>0.199999999999978</v>
      </c>
      <c r="M97" s="106"/>
      <c r="N97" s="109">
        <f t="shared" si="21"/>
        <v>1.40000000000001</v>
      </c>
      <c r="O97" s="106"/>
      <c r="P97" s="109">
        <f t="shared" si="22"/>
        <v>0.099999999999989</v>
      </c>
      <c r="Q97" s="106"/>
      <c r="R97" s="109">
        <f t="shared" si="23"/>
        <v>1.41774468787579</v>
      </c>
      <c r="S97" s="106"/>
      <c r="T97" s="124"/>
      <c r="U97" s="125"/>
      <c r="V97" s="124"/>
      <c r="W97" s="125"/>
      <c r="X97" s="124"/>
      <c r="Y97" s="125"/>
      <c r="Z97" s="109">
        <v>1.5414000000000001</v>
      </c>
      <c r="AA97" s="106"/>
      <c r="AB97" s="109">
        <v>9.8437999999999999</v>
      </c>
      <c r="AC97" s="106"/>
      <c r="AD97" s="109">
        <f t="shared" si="24"/>
        <v>11.3852</v>
      </c>
      <c r="AE97" s="106"/>
      <c r="AF97" s="49" t="s">
        <v>167</v>
      </c>
      <c r="AG97" s="49">
        <v>1</v>
      </c>
      <c r="AH97" s="49" t="s">
        <v>137</v>
      </c>
    </row>
    <row r="98" spans="1:34">
      <c r="A98" s="49">
        <v>2</v>
      </c>
      <c r="B98" s="49" t="s">
        <v>166</v>
      </c>
      <c r="C98" s="49">
        <v>0.62</v>
      </c>
      <c r="D98" s="49">
        <v>0.18</v>
      </c>
      <c r="E98" s="49">
        <v>0.35</v>
      </c>
      <c r="F98" s="109">
        <v>0.61990000000000001</v>
      </c>
      <c r="G98" s="106"/>
      <c r="H98" s="109">
        <v>0.1787</v>
      </c>
      <c r="I98" s="106"/>
      <c r="J98" s="109">
        <v>0.3498</v>
      </c>
      <c r="K98" s="106"/>
      <c r="L98" s="109">
        <f t="shared" si="20"/>
        <v>0.099999999999989</v>
      </c>
      <c r="M98" s="106"/>
      <c r="N98" s="109">
        <f t="shared" si="21"/>
        <v>1.3</v>
      </c>
      <c r="O98" s="106"/>
      <c r="P98" s="109">
        <f t="shared" si="22"/>
        <v>0.199999999999978</v>
      </c>
      <c r="Q98" s="106"/>
      <c r="R98" s="109">
        <f t="shared" si="23"/>
        <v>1.31909059582728</v>
      </c>
      <c r="S98" s="106"/>
      <c r="T98" s="124"/>
      <c r="U98" s="125"/>
      <c r="V98" s="124"/>
      <c r="W98" s="125"/>
      <c r="X98" s="124"/>
      <c r="Y98" s="125"/>
      <c r="Z98" s="109">
        <v>1.595</v>
      </c>
      <c r="AA98" s="106"/>
      <c r="AB98" s="109">
        <v>11.042899999999999</v>
      </c>
      <c r="AC98" s="106"/>
      <c r="AD98" s="109">
        <f t="shared" si="24"/>
        <v>12.6379</v>
      </c>
      <c r="AE98" s="106"/>
      <c r="AF98" s="49" t="s">
        <v>167</v>
      </c>
      <c r="AG98" s="49">
        <v>1</v>
      </c>
      <c r="AH98" s="49" t="s">
        <v>137</v>
      </c>
    </row>
    <row r="99" spans="1:34">
      <c r="A99" s="49">
        <v>2</v>
      </c>
      <c r="B99" s="49" t="s">
        <v>169</v>
      </c>
      <c r="C99" s="49">
        <v>0.72</v>
      </c>
      <c r="D99" s="49">
        <v>0.28000000000000003</v>
      </c>
      <c r="E99" s="49">
        <v>0.42</v>
      </c>
      <c r="F99" s="109">
        <v>0.72070000000000001</v>
      </c>
      <c r="G99" s="106"/>
      <c r="H99" s="109">
        <v>0.27910000000000001</v>
      </c>
      <c r="I99" s="106"/>
      <c r="J99" s="109">
        <v>0.42080000000000001</v>
      </c>
      <c r="K99" s="106"/>
      <c r="L99" s="109">
        <f t="shared" si="20"/>
        <v>0.700000000000034</v>
      </c>
      <c r="M99" s="106"/>
      <c r="N99" s="109">
        <f t="shared" si="21"/>
        <v>0.900000000000012</v>
      </c>
      <c r="O99" s="106"/>
      <c r="P99" s="109">
        <f t="shared" si="22"/>
        <v>0.800000000000023</v>
      </c>
      <c r="Q99" s="106"/>
      <c r="R99" s="109">
        <f t="shared" si="23"/>
        <v>1.39283882771845</v>
      </c>
      <c r="S99" s="106"/>
      <c r="T99" s="124"/>
      <c r="U99" s="125"/>
      <c r="V99" s="124"/>
      <c r="W99" s="125"/>
      <c r="X99" s="124"/>
      <c r="Y99" s="125"/>
      <c r="Z99" s="109">
        <v>1.2412000000000001</v>
      </c>
      <c r="AA99" s="106"/>
      <c r="AB99" s="109">
        <v>9.8241999999999994</v>
      </c>
      <c r="AC99" s="106"/>
      <c r="AD99" s="109">
        <f t="shared" si="24"/>
        <v>11.0654</v>
      </c>
      <c r="AE99" s="106"/>
      <c r="AF99" s="49" t="s">
        <v>167</v>
      </c>
      <c r="AG99" s="49">
        <v>1</v>
      </c>
      <c r="AH99" s="49" t="s">
        <v>137</v>
      </c>
    </row>
    <row r="100" spans="1:34">
      <c r="A100" s="49">
        <v>3</v>
      </c>
      <c r="B100" s="49" t="s">
        <v>166</v>
      </c>
      <c r="C100" s="49">
        <v>0.62</v>
      </c>
      <c r="D100" s="49">
        <v>0.18</v>
      </c>
      <c r="E100" s="49">
        <v>0.35</v>
      </c>
      <c r="F100" s="109">
        <v>0.62</v>
      </c>
      <c r="G100" s="106"/>
      <c r="H100" s="109">
        <v>0.18</v>
      </c>
      <c r="I100" s="106"/>
      <c r="J100" s="109">
        <v>0.34989999999999999</v>
      </c>
      <c r="K100" s="106"/>
      <c r="L100" s="109">
        <f t="shared" si="20"/>
        <v>0</v>
      </c>
      <c r="M100" s="106"/>
      <c r="N100" s="109">
        <f t="shared" si="21"/>
        <v>0</v>
      </c>
      <c r="O100" s="106"/>
      <c r="P100" s="109">
        <f t="shared" si="22"/>
        <v>0.099999999999989</v>
      </c>
      <c r="Q100" s="106"/>
      <c r="R100" s="109">
        <f t="shared" si="23"/>
        <v>0.099999999999989</v>
      </c>
      <c r="S100" s="106"/>
      <c r="T100" s="124"/>
      <c r="U100" s="125"/>
      <c r="V100" s="124"/>
      <c r="W100" s="125"/>
      <c r="X100" s="124"/>
      <c r="Y100" s="125"/>
      <c r="Z100" s="109">
        <v>1.5378000000000001</v>
      </c>
      <c r="AA100" s="106"/>
      <c r="AB100" s="109">
        <v>10.9551</v>
      </c>
      <c r="AC100" s="106"/>
      <c r="AD100" s="109">
        <f t="shared" si="24"/>
        <v>12.4929</v>
      </c>
      <c r="AE100" s="106"/>
      <c r="AF100" s="49" t="s">
        <v>167</v>
      </c>
      <c r="AG100" s="49">
        <v>1</v>
      </c>
      <c r="AH100" s="49" t="s">
        <v>137</v>
      </c>
    </row>
    <row r="101" spans="1:34">
      <c r="A101" s="49">
        <v>3</v>
      </c>
      <c r="B101" s="49" t="s">
        <v>169</v>
      </c>
      <c r="C101" s="49">
        <v>0.72</v>
      </c>
      <c r="D101" s="49">
        <v>0.28000000000000003</v>
      </c>
      <c r="E101" s="49">
        <v>0.42</v>
      </c>
      <c r="F101" s="109">
        <v>0.7198</v>
      </c>
      <c r="G101" s="106"/>
      <c r="H101" s="109">
        <v>0.27889999999999998</v>
      </c>
      <c r="I101" s="106"/>
      <c r="J101" s="109">
        <v>0.4194</v>
      </c>
      <c r="K101" s="106"/>
      <c r="L101" s="109">
        <f t="shared" si="20"/>
        <v>0.199999999999978</v>
      </c>
      <c r="M101" s="106"/>
      <c r="N101" s="109">
        <f t="shared" si="21"/>
        <v>1.10000000000005</v>
      </c>
      <c r="O101" s="106"/>
      <c r="P101" s="109">
        <f t="shared" si="22"/>
        <v>0.599999999999989</v>
      </c>
      <c r="Q101" s="106"/>
      <c r="R101" s="109">
        <f t="shared" si="23"/>
        <v>1.26885775404498</v>
      </c>
      <c r="S101" s="106"/>
      <c r="T101" s="124"/>
      <c r="U101" s="125"/>
      <c r="V101" s="124"/>
      <c r="W101" s="125"/>
      <c r="X101" s="124"/>
      <c r="Y101" s="125"/>
      <c r="Z101" s="109">
        <v>1.5347</v>
      </c>
      <c r="AA101" s="106"/>
      <c r="AB101" s="109">
        <v>9.7847000000000008</v>
      </c>
      <c r="AC101" s="106"/>
      <c r="AD101" s="109">
        <f t="shared" si="24"/>
        <v>11.3194</v>
      </c>
      <c r="AE101" s="106"/>
      <c r="AF101" s="49" t="s">
        <v>167</v>
      </c>
      <c r="AG101" s="49">
        <v>1</v>
      </c>
      <c r="AH101" s="49" t="s">
        <v>137</v>
      </c>
    </row>
    <row r="102" spans="1:34">
      <c r="A102" s="49">
        <v>4</v>
      </c>
      <c r="B102" s="49" t="s">
        <v>166</v>
      </c>
      <c r="C102" s="49">
        <v>0.62</v>
      </c>
      <c r="D102" s="49">
        <v>0.18</v>
      </c>
      <c r="E102" s="49">
        <v>0.35</v>
      </c>
      <c r="F102" s="109">
        <v>0.621</v>
      </c>
      <c r="G102" s="106"/>
      <c r="H102" s="109">
        <v>0.17899999999999999</v>
      </c>
      <c r="I102" s="106"/>
      <c r="J102" s="109">
        <v>0.3508</v>
      </c>
      <c r="K102" s="106"/>
      <c r="L102" s="109">
        <f t="shared" si="20"/>
        <v>1</v>
      </c>
      <c r="M102" s="106"/>
      <c r="N102" s="109">
        <f t="shared" si="21"/>
        <v>1</v>
      </c>
      <c r="O102" s="106"/>
      <c r="P102" s="109">
        <f t="shared" si="22"/>
        <v>0.800000000000023</v>
      </c>
      <c r="Q102" s="106"/>
      <c r="R102" s="109">
        <f t="shared" si="23"/>
        <v>1.6248076809272</v>
      </c>
      <c r="S102" s="106"/>
      <c r="T102" s="124"/>
      <c r="U102" s="125"/>
      <c r="V102" s="124"/>
      <c r="W102" s="125"/>
      <c r="X102" s="124"/>
      <c r="Y102" s="125"/>
      <c r="Z102" s="109">
        <v>1.5402</v>
      </c>
      <c r="AA102" s="106"/>
      <c r="AB102" s="109">
        <v>10.9793</v>
      </c>
      <c r="AC102" s="106"/>
      <c r="AD102" s="109">
        <f t="shared" si="24"/>
        <v>12.5195</v>
      </c>
      <c r="AE102" s="106"/>
      <c r="AF102" s="49" t="s">
        <v>167</v>
      </c>
      <c r="AG102" s="49">
        <v>1</v>
      </c>
      <c r="AH102" s="49" t="s">
        <v>137</v>
      </c>
    </row>
    <row r="103" spans="1:34">
      <c r="A103" s="49">
        <v>4</v>
      </c>
      <c r="B103" s="49" t="s">
        <v>169</v>
      </c>
      <c r="C103" s="49">
        <v>0.72</v>
      </c>
      <c r="D103" s="49">
        <v>0.28000000000000003</v>
      </c>
      <c r="E103" s="49">
        <v>0.42</v>
      </c>
      <c r="F103" s="109">
        <v>0.72040000000000004</v>
      </c>
      <c r="G103" s="106"/>
      <c r="H103" s="109">
        <v>0.27960000000000002</v>
      </c>
      <c r="I103" s="106"/>
      <c r="J103" s="109">
        <v>0.4199</v>
      </c>
      <c r="K103" s="106"/>
      <c r="L103" s="109">
        <f t="shared" si="20"/>
        <v>0.400000000000067</v>
      </c>
      <c r="M103" s="106"/>
      <c r="N103" s="109">
        <f t="shared" si="21"/>
        <v>0.400000000000011</v>
      </c>
      <c r="O103" s="106"/>
      <c r="P103" s="109">
        <f t="shared" si="22"/>
        <v>0.099999999999989</v>
      </c>
      <c r="Q103" s="106"/>
      <c r="R103" s="109">
        <f t="shared" si="23"/>
        <v>0.574456264653856</v>
      </c>
      <c r="S103" s="106"/>
      <c r="T103" s="124"/>
      <c r="U103" s="125"/>
      <c r="V103" s="124"/>
      <c r="W103" s="125"/>
      <c r="X103" s="124"/>
      <c r="Y103" s="125"/>
      <c r="Z103" s="109">
        <v>1.4407000000000001</v>
      </c>
      <c r="AA103" s="106"/>
      <c r="AB103" s="109">
        <v>9.7748000000000008</v>
      </c>
      <c r="AC103" s="106"/>
      <c r="AD103" s="109">
        <f t="shared" si="24"/>
        <v>11.2155</v>
      </c>
      <c r="AE103" s="106"/>
      <c r="AF103" s="49" t="s">
        <v>167</v>
      </c>
      <c r="AG103" s="49">
        <v>1</v>
      </c>
      <c r="AH103" s="49" t="s">
        <v>137</v>
      </c>
    </row>
    <row r="104" spans="1:34">
      <c r="A104" s="49">
        <v>5</v>
      </c>
      <c r="B104" s="49" t="s">
        <v>166</v>
      </c>
      <c r="C104" s="49">
        <v>0.62</v>
      </c>
      <c r="D104" s="49">
        <v>0.18</v>
      </c>
      <c r="E104" s="49">
        <v>0.35</v>
      </c>
      <c r="F104" s="109">
        <v>0.62090000000000001</v>
      </c>
      <c r="G104" s="106"/>
      <c r="H104" s="109">
        <v>0.17879999999999999</v>
      </c>
      <c r="I104" s="106"/>
      <c r="J104" s="109">
        <v>0.35060000000000002</v>
      </c>
      <c r="K104" s="106"/>
      <c r="L104" s="109">
        <f t="shared" si="20"/>
        <v>0.900000000000012</v>
      </c>
      <c r="M104" s="106"/>
      <c r="N104" s="109">
        <f t="shared" si="21"/>
        <v>1.20000000000001</v>
      </c>
      <c r="O104" s="106"/>
      <c r="P104" s="109">
        <f t="shared" si="22"/>
        <v>0.600000000000045</v>
      </c>
      <c r="Q104" s="106"/>
      <c r="R104" s="109">
        <f t="shared" si="23"/>
        <v>1.61554944214038</v>
      </c>
      <c r="S104" s="106"/>
      <c r="T104" s="124"/>
      <c r="U104" s="125"/>
      <c r="V104" s="124"/>
      <c r="W104" s="125"/>
      <c r="X104" s="124"/>
      <c r="Y104" s="125"/>
      <c r="Z104" s="109">
        <v>1.5792999999999999</v>
      </c>
      <c r="AA104" s="106"/>
      <c r="AB104" s="109">
        <v>10.9945</v>
      </c>
      <c r="AC104" s="106"/>
      <c r="AD104" s="109">
        <f t="shared" si="24"/>
        <v>12.5738</v>
      </c>
      <c r="AE104" s="106"/>
      <c r="AF104" s="49" t="s">
        <v>167</v>
      </c>
      <c r="AG104" s="49">
        <v>1</v>
      </c>
      <c r="AH104" s="49" t="s">
        <v>137</v>
      </c>
    </row>
    <row r="105" spans="1:34">
      <c r="A105" s="49">
        <v>5</v>
      </c>
      <c r="B105" s="49" t="s">
        <v>169</v>
      </c>
      <c r="C105" s="49">
        <v>0.72</v>
      </c>
      <c r="D105" s="49">
        <v>0.28000000000000003</v>
      </c>
      <c r="E105" s="49">
        <v>0.42</v>
      </c>
      <c r="F105" s="109">
        <v>0.72</v>
      </c>
      <c r="G105" s="106"/>
      <c r="H105" s="109">
        <v>0.27979999999999999</v>
      </c>
      <c r="I105" s="106"/>
      <c r="J105" s="109">
        <v>0.4204</v>
      </c>
      <c r="K105" s="106"/>
      <c r="L105" s="109">
        <f t="shared" si="20"/>
        <v>0</v>
      </c>
      <c r="M105" s="106"/>
      <c r="N105" s="109">
        <f t="shared" si="21"/>
        <v>0.200000000000033</v>
      </c>
      <c r="O105" s="106"/>
      <c r="P105" s="109">
        <f t="shared" si="22"/>
        <v>0.400000000000011</v>
      </c>
      <c r="Q105" s="106"/>
      <c r="R105" s="109">
        <f t="shared" si="23"/>
        <v>0.447213595499983</v>
      </c>
      <c r="S105" s="106"/>
      <c r="T105" s="124"/>
      <c r="U105" s="125"/>
      <c r="V105" s="124"/>
      <c r="W105" s="125"/>
      <c r="X105" s="124"/>
      <c r="Y105" s="125"/>
      <c r="Z105" s="109">
        <v>1.2807999999999999</v>
      </c>
      <c r="AA105" s="106"/>
      <c r="AB105" s="109">
        <v>9.7713000000000001</v>
      </c>
      <c r="AC105" s="106"/>
      <c r="AD105" s="109">
        <f t="shared" si="24"/>
        <v>11.0521</v>
      </c>
      <c r="AE105" s="106"/>
      <c r="AF105" s="49" t="s">
        <v>167</v>
      </c>
      <c r="AG105" s="49">
        <v>1</v>
      </c>
      <c r="AH105" s="49" t="s">
        <v>137</v>
      </c>
    </row>
    <row r="106" spans="1:34">
      <c r="A106" s="49">
        <v>6</v>
      </c>
      <c r="B106" s="49" t="s">
        <v>166</v>
      </c>
      <c r="C106" s="49">
        <v>0.62</v>
      </c>
      <c r="D106" s="49">
        <v>0.18</v>
      </c>
      <c r="E106" s="49">
        <v>0.35</v>
      </c>
      <c r="F106" s="109">
        <v>0.61929999999999996</v>
      </c>
      <c r="G106" s="106"/>
      <c r="H106" s="109">
        <v>0.18010000000000001</v>
      </c>
      <c r="I106" s="106"/>
      <c r="J106" s="109">
        <v>0.3493</v>
      </c>
      <c r="K106" s="106"/>
      <c r="L106" s="109">
        <f t="shared" si="20"/>
        <v>0.700000000000034</v>
      </c>
      <c r="M106" s="106"/>
      <c r="N106" s="109">
        <f t="shared" si="21"/>
        <v>0.100000000000017</v>
      </c>
      <c r="O106" s="106"/>
      <c r="P106" s="109">
        <f t="shared" si="22"/>
        <v>0.699999999999978</v>
      </c>
      <c r="Q106" s="106"/>
      <c r="R106" s="109">
        <f t="shared" si="23"/>
        <v>0.99498743710663</v>
      </c>
      <c r="S106" s="106"/>
      <c r="T106" s="124"/>
      <c r="U106" s="125"/>
      <c r="V106" s="124"/>
      <c r="W106" s="125"/>
      <c r="X106" s="124"/>
      <c r="Y106" s="125"/>
      <c r="Z106" s="109">
        <v>1.5588</v>
      </c>
      <c r="AA106" s="106"/>
      <c r="AB106" s="109">
        <v>11.686299999999999</v>
      </c>
      <c r="AC106" s="106"/>
      <c r="AD106" s="109">
        <f t="shared" si="24"/>
        <v>13.2451</v>
      </c>
      <c r="AE106" s="106"/>
      <c r="AF106" s="49" t="s">
        <v>167</v>
      </c>
      <c r="AG106" s="49">
        <v>1</v>
      </c>
      <c r="AH106" s="49" t="s">
        <v>137</v>
      </c>
    </row>
    <row r="107" spans="1:34">
      <c r="A107" s="49">
        <v>6</v>
      </c>
      <c r="B107" s="49" t="s">
        <v>169</v>
      </c>
      <c r="C107" s="49">
        <v>0.72</v>
      </c>
      <c r="D107" s="49">
        <v>0.28000000000000003</v>
      </c>
      <c r="E107" s="49">
        <v>0.42</v>
      </c>
      <c r="F107" s="109">
        <v>0.7198</v>
      </c>
      <c r="G107" s="106"/>
      <c r="H107" s="109">
        <v>0.28010000000000002</v>
      </c>
      <c r="I107" s="106"/>
      <c r="J107" s="109">
        <v>0.41909999999999997</v>
      </c>
      <c r="K107" s="106"/>
      <c r="L107" s="109">
        <f t="shared" si="20"/>
        <v>0.199999999999978</v>
      </c>
      <c r="M107" s="106"/>
      <c r="N107" s="109">
        <f t="shared" si="21"/>
        <v>0.099999999999989</v>
      </c>
      <c r="O107" s="106"/>
      <c r="P107" s="109">
        <f t="shared" si="22"/>
        <v>0.900000000000012</v>
      </c>
      <c r="Q107" s="106"/>
      <c r="R107" s="109">
        <f t="shared" si="23"/>
        <v>0.927361849549576</v>
      </c>
      <c r="S107" s="106"/>
      <c r="T107" s="124"/>
      <c r="U107" s="125"/>
      <c r="V107" s="124"/>
      <c r="W107" s="125"/>
      <c r="X107" s="124"/>
      <c r="Y107" s="125"/>
      <c r="Z107" s="109">
        <v>1.2918000000000001</v>
      </c>
      <c r="AA107" s="106"/>
      <c r="AB107" s="109">
        <v>9.7818000000000005</v>
      </c>
      <c r="AC107" s="106"/>
      <c r="AD107" s="109">
        <f t="shared" si="24"/>
        <v>11.0736</v>
      </c>
      <c r="AE107" s="106"/>
      <c r="AF107" s="49" t="s">
        <v>167</v>
      </c>
      <c r="AG107" s="49">
        <v>1</v>
      </c>
      <c r="AH107" s="49" t="s">
        <v>137</v>
      </c>
    </row>
    <row r="108" spans="1:34">
      <c r="A108" s="49">
        <v>7</v>
      </c>
      <c r="B108" s="49" t="s">
        <v>166</v>
      </c>
      <c r="C108" s="49">
        <v>0.62</v>
      </c>
      <c r="D108" s="49">
        <v>0.18</v>
      </c>
      <c r="E108" s="49">
        <v>0.35</v>
      </c>
      <c r="F108" s="109">
        <v>0.61960000000000004</v>
      </c>
      <c r="G108" s="106"/>
      <c r="H108" s="109">
        <v>0.18</v>
      </c>
      <c r="I108" s="106"/>
      <c r="J108" s="109">
        <v>0.34960000000000002</v>
      </c>
      <c r="K108" s="106"/>
      <c r="L108" s="109">
        <f t="shared" si="20"/>
        <v>0.399999999999956</v>
      </c>
      <c r="M108" s="106"/>
      <c r="N108" s="109">
        <f t="shared" si="21"/>
        <v>0</v>
      </c>
      <c r="O108" s="106"/>
      <c r="P108" s="109">
        <f t="shared" si="22"/>
        <v>0.399999999999956</v>
      </c>
      <c r="Q108" s="106"/>
      <c r="R108" s="109">
        <f t="shared" si="23"/>
        <v>0.565685424949176</v>
      </c>
      <c r="S108" s="106"/>
      <c r="T108" s="124"/>
      <c r="U108" s="125"/>
      <c r="V108" s="124"/>
      <c r="W108" s="125"/>
      <c r="X108" s="124"/>
      <c r="Y108" s="125"/>
      <c r="Z108" s="109">
        <v>1.4765999999999999</v>
      </c>
      <c r="AA108" s="106"/>
      <c r="AB108" s="109">
        <v>11.6564</v>
      </c>
      <c r="AC108" s="106"/>
      <c r="AD108" s="109">
        <f t="shared" si="24"/>
        <v>13.133</v>
      </c>
      <c r="AE108" s="106"/>
      <c r="AF108" s="49" t="s">
        <v>167</v>
      </c>
      <c r="AG108" s="49">
        <v>1</v>
      </c>
      <c r="AH108" s="49" t="s">
        <v>137</v>
      </c>
    </row>
    <row r="109" spans="1:34">
      <c r="A109" s="49">
        <v>7</v>
      </c>
      <c r="B109" s="49" t="s">
        <v>169</v>
      </c>
      <c r="C109" s="49">
        <v>0.72</v>
      </c>
      <c r="D109" s="49">
        <v>0.28000000000000003</v>
      </c>
      <c r="E109" s="49">
        <v>0.42</v>
      </c>
      <c r="F109" s="109">
        <v>0.71899999999999997</v>
      </c>
      <c r="G109" s="106"/>
      <c r="H109" s="109">
        <v>0.28000000000000003</v>
      </c>
      <c r="I109" s="106"/>
      <c r="J109" s="109">
        <v>0.41959999999999997</v>
      </c>
      <c r="K109" s="106"/>
      <c r="L109" s="109">
        <f t="shared" si="20"/>
        <v>1</v>
      </c>
      <c r="M109" s="106"/>
      <c r="N109" s="109">
        <f t="shared" si="21"/>
        <v>0</v>
      </c>
      <c r="O109" s="106"/>
      <c r="P109" s="109">
        <f t="shared" si="22"/>
        <v>0.400000000000011</v>
      </c>
      <c r="Q109" s="106"/>
      <c r="R109" s="109">
        <f t="shared" si="23"/>
        <v>1.07703296142691</v>
      </c>
      <c r="S109" s="106"/>
      <c r="T109" s="124"/>
      <c r="U109" s="125"/>
      <c r="V109" s="124"/>
      <c r="W109" s="125"/>
      <c r="X109" s="124"/>
      <c r="Y109" s="125"/>
      <c r="Z109" s="109">
        <v>1.5452999999999999</v>
      </c>
      <c r="AA109" s="106"/>
      <c r="AB109" s="109">
        <v>8.5402000000000005</v>
      </c>
      <c r="AC109" s="106"/>
      <c r="AD109" s="109">
        <f t="shared" si="24"/>
        <v>10.0855</v>
      </c>
      <c r="AE109" s="106"/>
      <c r="AF109" s="49" t="s">
        <v>167</v>
      </c>
      <c r="AG109" s="49">
        <v>1</v>
      </c>
      <c r="AH109" s="49" t="s">
        <v>137</v>
      </c>
    </row>
    <row r="110" spans="1:34">
      <c r="A110" s="49">
        <v>8</v>
      </c>
      <c r="B110" s="49" t="s">
        <v>166</v>
      </c>
      <c r="C110" s="49">
        <v>0.62</v>
      </c>
      <c r="D110" s="49">
        <v>0.18</v>
      </c>
      <c r="E110" s="49">
        <v>0.35</v>
      </c>
      <c r="F110" s="109">
        <v>0.61990000000000001</v>
      </c>
      <c r="G110" s="106"/>
      <c r="H110" s="109">
        <v>0.1787</v>
      </c>
      <c r="I110" s="106"/>
      <c r="J110" s="109">
        <v>0.3498</v>
      </c>
      <c r="K110" s="106"/>
      <c r="L110" s="109">
        <f t="shared" si="20"/>
        <v>0.099999999999989</v>
      </c>
      <c r="M110" s="106"/>
      <c r="N110" s="109">
        <f t="shared" si="21"/>
        <v>1.3</v>
      </c>
      <c r="O110" s="106"/>
      <c r="P110" s="109">
        <f t="shared" si="22"/>
        <v>0.199999999999978</v>
      </c>
      <c r="Q110" s="106"/>
      <c r="R110" s="109">
        <f t="shared" si="23"/>
        <v>1.31909059582728</v>
      </c>
      <c r="S110" s="106"/>
      <c r="T110" s="124"/>
      <c r="U110" s="125"/>
      <c r="V110" s="124"/>
      <c r="W110" s="125"/>
      <c r="X110" s="124"/>
      <c r="Y110" s="125"/>
      <c r="Z110" s="109">
        <v>1.595</v>
      </c>
      <c r="AA110" s="106"/>
      <c r="AB110" s="109">
        <v>11.042899999999999</v>
      </c>
      <c r="AC110" s="106"/>
      <c r="AD110" s="109">
        <f t="shared" si="24"/>
        <v>12.6379</v>
      </c>
      <c r="AE110" s="106"/>
      <c r="AF110" s="49" t="s">
        <v>167</v>
      </c>
      <c r="AG110" s="49">
        <v>1</v>
      </c>
      <c r="AH110" s="49" t="s">
        <v>137</v>
      </c>
    </row>
    <row r="111" spans="1:34">
      <c r="A111" s="49">
        <v>8</v>
      </c>
      <c r="B111" s="49" t="s">
        <v>169</v>
      </c>
      <c r="C111" s="49">
        <v>0.72</v>
      </c>
      <c r="D111" s="49">
        <v>0.28000000000000003</v>
      </c>
      <c r="E111" s="49">
        <v>0.42</v>
      </c>
      <c r="F111" s="109">
        <v>0.72070000000000001</v>
      </c>
      <c r="G111" s="106"/>
      <c r="H111" s="109">
        <v>0.27910000000000001</v>
      </c>
      <c r="I111" s="106"/>
      <c r="J111" s="109">
        <v>0.42080000000000001</v>
      </c>
      <c r="K111" s="106"/>
      <c r="L111" s="109">
        <f t="shared" si="20"/>
        <v>0.700000000000034</v>
      </c>
      <c r="M111" s="106"/>
      <c r="N111" s="109">
        <f t="shared" si="21"/>
        <v>0.900000000000012</v>
      </c>
      <c r="O111" s="106"/>
      <c r="P111" s="109">
        <f t="shared" si="22"/>
        <v>0.800000000000023</v>
      </c>
      <c r="Q111" s="106"/>
      <c r="R111" s="109">
        <f t="shared" si="23"/>
        <v>1.39283882771845</v>
      </c>
      <c r="S111" s="106"/>
      <c r="T111" s="124"/>
      <c r="U111" s="125"/>
      <c r="V111" s="124"/>
      <c r="W111" s="125"/>
      <c r="X111" s="124"/>
      <c r="Y111" s="125"/>
      <c r="Z111" s="109">
        <v>1.2412000000000001</v>
      </c>
      <c r="AA111" s="106"/>
      <c r="AB111" s="109">
        <v>9.8241999999999994</v>
      </c>
      <c r="AC111" s="106"/>
      <c r="AD111" s="109">
        <f t="shared" si="24"/>
        <v>11.0654</v>
      </c>
      <c r="AE111" s="106"/>
      <c r="AF111" s="49" t="s">
        <v>167</v>
      </c>
      <c r="AG111" s="49">
        <v>1</v>
      </c>
      <c r="AH111" s="49" t="s">
        <v>137</v>
      </c>
    </row>
    <row r="112" spans="1:34">
      <c r="A112" s="49">
        <v>9</v>
      </c>
      <c r="B112" s="49" t="s">
        <v>166</v>
      </c>
      <c r="C112" s="49">
        <v>0.62</v>
      </c>
      <c r="D112" s="49">
        <v>0.18</v>
      </c>
      <c r="E112" s="49">
        <v>0.35</v>
      </c>
      <c r="F112" s="109">
        <v>0.62</v>
      </c>
      <c r="G112" s="106"/>
      <c r="H112" s="109">
        <v>0.18</v>
      </c>
      <c r="I112" s="106"/>
      <c r="J112" s="109">
        <v>0.34989999999999999</v>
      </c>
      <c r="K112" s="106"/>
      <c r="L112" s="109">
        <f t="shared" si="20"/>
        <v>0</v>
      </c>
      <c r="M112" s="106"/>
      <c r="N112" s="109">
        <f t="shared" si="21"/>
        <v>0</v>
      </c>
      <c r="O112" s="106"/>
      <c r="P112" s="109">
        <f t="shared" si="22"/>
        <v>0.099999999999989</v>
      </c>
      <c r="Q112" s="106"/>
      <c r="R112" s="109">
        <f t="shared" si="23"/>
        <v>0.099999999999989</v>
      </c>
      <c r="S112" s="106"/>
      <c r="T112" s="124"/>
      <c r="U112" s="125"/>
      <c r="V112" s="124"/>
      <c r="W112" s="125"/>
      <c r="X112" s="124"/>
      <c r="Y112" s="125"/>
      <c r="Z112" s="109">
        <v>1.5378000000000001</v>
      </c>
      <c r="AA112" s="106"/>
      <c r="AB112" s="109">
        <v>10.9551</v>
      </c>
      <c r="AC112" s="106"/>
      <c r="AD112" s="109">
        <f t="shared" si="24"/>
        <v>12.4929</v>
      </c>
      <c r="AE112" s="106"/>
      <c r="AF112" s="49" t="s">
        <v>167</v>
      </c>
      <c r="AG112" s="49">
        <v>1</v>
      </c>
      <c r="AH112" s="49" t="s">
        <v>137</v>
      </c>
    </row>
    <row r="113" spans="1:34">
      <c r="A113" s="49">
        <v>9</v>
      </c>
      <c r="B113" s="49" t="s">
        <v>169</v>
      </c>
      <c r="C113" s="49">
        <v>0.72</v>
      </c>
      <c r="D113" s="49">
        <v>0.28000000000000003</v>
      </c>
      <c r="E113" s="49">
        <v>0.42</v>
      </c>
      <c r="F113" s="109">
        <v>0.7198</v>
      </c>
      <c r="G113" s="106"/>
      <c r="H113" s="109">
        <v>0.27889999999999998</v>
      </c>
      <c r="I113" s="106"/>
      <c r="J113" s="109">
        <v>0.4194</v>
      </c>
      <c r="K113" s="106"/>
      <c r="L113" s="109">
        <f t="shared" si="20"/>
        <v>0.199999999999978</v>
      </c>
      <c r="M113" s="106"/>
      <c r="N113" s="109">
        <f t="shared" si="21"/>
        <v>1.10000000000005</v>
      </c>
      <c r="O113" s="106"/>
      <c r="P113" s="109">
        <f t="shared" si="22"/>
        <v>0.599999999999989</v>
      </c>
      <c r="Q113" s="106"/>
      <c r="R113" s="109">
        <f t="shared" si="23"/>
        <v>1.26885775404498</v>
      </c>
      <c r="S113" s="106"/>
      <c r="T113" s="124"/>
      <c r="U113" s="125"/>
      <c r="V113" s="124"/>
      <c r="W113" s="125"/>
      <c r="X113" s="124"/>
      <c r="Y113" s="125"/>
      <c r="Z113" s="109">
        <v>1.5347</v>
      </c>
      <c r="AA113" s="106"/>
      <c r="AB113" s="109">
        <v>9.7847000000000008</v>
      </c>
      <c r="AC113" s="106"/>
      <c r="AD113" s="109">
        <f t="shared" si="24"/>
        <v>11.3194</v>
      </c>
      <c r="AE113" s="106"/>
      <c r="AF113" s="49" t="s">
        <v>167</v>
      </c>
      <c r="AG113" s="49">
        <v>1</v>
      </c>
      <c r="AH113" s="49" t="s">
        <v>137</v>
      </c>
    </row>
    <row r="114" spans="1:34">
      <c r="A114" s="49">
        <v>10</v>
      </c>
      <c r="B114" s="49" t="s">
        <v>166</v>
      </c>
      <c r="C114" s="49">
        <v>0.62</v>
      </c>
      <c r="D114" s="49">
        <v>0.18</v>
      </c>
      <c r="E114" s="49">
        <v>0.35</v>
      </c>
      <c r="F114" s="109">
        <v>0.621</v>
      </c>
      <c r="G114" s="106"/>
      <c r="H114" s="109">
        <v>0.17899999999999999</v>
      </c>
      <c r="I114" s="106"/>
      <c r="J114" s="109">
        <v>0.3508</v>
      </c>
      <c r="K114" s="106"/>
      <c r="L114" s="109">
        <f t="shared" si="20"/>
        <v>1</v>
      </c>
      <c r="M114" s="106"/>
      <c r="N114" s="109">
        <f t="shared" si="21"/>
        <v>1</v>
      </c>
      <c r="O114" s="106"/>
      <c r="P114" s="109">
        <f t="shared" si="22"/>
        <v>0.800000000000023</v>
      </c>
      <c r="Q114" s="106"/>
      <c r="R114" s="109">
        <f t="shared" si="23"/>
        <v>1.6248076809272</v>
      </c>
      <c r="S114" s="106"/>
      <c r="T114" s="124"/>
      <c r="U114" s="125"/>
      <c r="V114" s="124"/>
      <c r="W114" s="125"/>
      <c r="X114" s="124"/>
      <c r="Y114" s="125"/>
      <c r="Z114" s="109">
        <v>1.5402</v>
      </c>
      <c r="AA114" s="106"/>
      <c r="AB114" s="109">
        <v>10.9793</v>
      </c>
      <c r="AC114" s="106"/>
      <c r="AD114" s="109">
        <f t="shared" si="24"/>
        <v>12.5195</v>
      </c>
      <c r="AE114" s="106"/>
      <c r="AF114" s="49" t="s">
        <v>167</v>
      </c>
      <c r="AG114" s="49">
        <v>1</v>
      </c>
      <c r="AH114" s="49" t="s">
        <v>137</v>
      </c>
    </row>
    <row r="115" spans="1:34">
      <c r="A115" s="49">
        <v>10</v>
      </c>
      <c r="B115" s="49" t="s">
        <v>169</v>
      </c>
      <c r="C115" s="49">
        <v>0.72</v>
      </c>
      <c r="D115" s="49">
        <v>0.28000000000000003</v>
      </c>
      <c r="E115" s="49">
        <v>0.42</v>
      </c>
      <c r="F115" s="109">
        <v>0.72040000000000004</v>
      </c>
      <c r="G115" s="106"/>
      <c r="H115" s="109">
        <v>0.27960000000000002</v>
      </c>
      <c r="I115" s="106"/>
      <c r="J115" s="109">
        <v>0.4199</v>
      </c>
      <c r="K115" s="106"/>
      <c r="L115" s="109">
        <f t="shared" si="20"/>
        <v>0.400000000000067</v>
      </c>
      <c r="M115" s="106"/>
      <c r="N115" s="109">
        <f t="shared" si="21"/>
        <v>0.400000000000011</v>
      </c>
      <c r="O115" s="106"/>
      <c r="P115" s="109">
        <f t="shared" si="22"/>
        <v>0.099999999999989</v>
      </c>
      <c r="Q115" s="106"/>
      <c r="R115" s="109">
        <f t="shared" si="23"/>
        <v>0.574456264653856</v>
      </c>
      <c r="S115" s="106"/>
      <c r="T115" s="122"/>
      <c r="U115" s="123"/>
      <c r="V115" s="122"/>
      <c r="W115" s="123"/>
      <c r="X115" s="122"/>
      <c r="Y115" s="123"/>
      <c r="Z115" s="109">
        <v>1.4407000000000001</v>
      </c>
      <c r="AA115" s="106"/>
      <c r="AB115" s="109">
        <v>9.7748000000000008</v>
      </c>
      <c r="AC115" s="106"/>
      <c r="AD115" s="109">
        <f t="shared" si="24"/>
        <v>11.2155</v>
      </c>
      <c r="AE115" s="106"/>
      <c r="AF115" s="49" t="s">
        <v>167</v>
      </c>
      <c r="AG115" s="49">
        <v>1</v>
      </c>
      <c r="AH115" s="49" t="s">
        <v>137</v>
      </c>
    </row>
    <row r="116" spans="1:34">
      <c r="A116" s="112" t="s">
        <v>175</v>
      </c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6"/>
    </row>
    <row r="117" spans="1:34" ht="8.85" customHeight="1">
      <c r="A117" s="107" t="s">
        <v>126</v>
      </c>
      <c r="B117" s="107" t="s">
        <v>143</v>
      </c>
      <c r="C117" s="107" t="s">
        <v>144</v>
      </c>
      <c r="D117" s="107" t="s">
        <v>145</v>
      </c>
      <c r="E117" s="107" t="s">
        <v>146</v>
      </c>
      <c r="F117" s="107" t="s">
        <v>147</v>
      </c>
      <c r="G117" s="121"/>
      <c r="H117" s="107" t="s">
        <v>148</v>
      </c>
      <c r="I117" s="121"/>
      <c r="J117" s="107" t="s">
        <v>149</v>
      </c>
      <c r="K117" s="121"/>
      <c r="L117" s="114" t="s">
        <v>150</v>
      </c>
      <c r="M117" s="121"/>
      <c r="N117" s="114" t="s">
        <v>151</v>
      </c>
      <c r="O117" s="121"/>
      <c r="P117" s="114" t="s">
        <v>152</v>
      </c>
      <c r="Q117" s="121"/>
      <c r="R117" s="107" t="s">
        <v>153</v>
      </c>
      <c r="S117" s="121"/>
      <c r="T117" s="107" t="s">
        <v>154</v>
      </c>
      <c r="U117" s="121"/>
      <c r="V117" s="107" t="s">
        <v>155</v>
      </c>
      <c r="W117" s="121"/>
      <c r="X117" s="107" t="s">
        <v>156</v>
      </c>
      <c r="Y117" s="121"/>
      <c r="Z117" s="107" t="s">
        <v>157</v>
      </c>
      <c r="AA117" s="121"/>
      <c r="AB117" s="107" t="s">
        <v>158</v>
      </c>
      <c r="AC117" s="121"/>
      <c r="AD117" s="107" t="s">
        <v>159</v>
      </c>
      <c r="AE117" s="121"/>
      <c r="AF117" s="107" t="s">
        <v>160</v>
      </c>
      <c r="AG117" s="107" t="s">
        <v>162</v>
      </c>
      <c r="AH117" s="107" t="s">
        <v>163</v>
      </c>
    </row>
    <row r="118" spans="1:34">
      <c r="A118" s="111"/>
      <c r="B118" s="111"/>
      <c r="C118" s="111"/>
      <c r="D118" s="111"/>
      <c r="E118" s="111"/>
      <c r="F118" s="122"/>
      <c r="G118" s="123"/>
      <c r="H118" s="122"/>
      <c r="I118" s="123"/>
      <c r="J118" s="122"/>
      <c r="K118" s="123"/>
      <c r="L118" s="122"/>
      <c r="M118" s="123"/>
      <c r="N118" s="122"/>
      <c r="O118" s="123"/>
      <c r="P118" s="122"/>
      <c r="Q118" s="123"/>
      <c r="R118" s="122"/>
      <c r="S118" s="123"/>
      <c r="T118" s="122"/>
      <c r="U118" s="123"/>
      <c r="V118" s="122"/>
      <c r="W118" s="123"/>
      <c r="X118" s="122"/>
      <c r="Y118" s="123"/>
      <c r="Z118" s="122"/>
      <c r="AA118" s="123"/>
      <c r="AB118" s="122"/>
      <c r="AC118" s="123"/>
      <c r="AD118" s="122"/>
      <c r="AE118" s="123"/>
      <c r="AF118" s="111"/>
      <c r="AG118" s="111"/>
      <c r="AH118" s="111"/>
    </row>
    <row r="119" spans="1:34">
      <c r="A119" s="49">
        <v>1</v>
      </c>
      <c r="B119" s="49" t="s">
        <v>166</v>
      </c>
      <c r="C119" s="49">
        <v>0.5</v>
      </c>
      <c r="D119" s="49">
        <v>-0.3</v>
      </c>
      <c r="E119" s="49">
        <v>0.35</v>
      </c>
      <c r="F119" s="109">
        <v>0.4995</v>
      </c>
      <c r="G119" s="106"/>
      <c r="H119" s="109">
        <v>-0.30020000000000002</v>
      </c>
      <c r="I119" s="106"/>
      <c r="J119" s="109">
        <v>0.34910000000000002</v>
      </c>
      <c r="K119" s="106"/>
      <c r="L119" s="109">
        <f t="shared" ref="L119:L138" si="25">ABS(F119-C119)*1000</f>
        <v>0.5</v>
      </c>
      <c r="M119" s="106"/>
      <c r="N119" s="109">
        <f t="shared" ref="N119:N138" si="26">ABS(H119-D119)*1000</f>
        <v>0.200000000000033</v>
      </c>
      <c r="O119" s="106"/>
      <c r="P119" s="109">
        <f t="shared" ref="P119:P138" si="27">ABS(J119-E119)*1000</f>
        <v>0.899999999999956</v>
      </c>
      <c r="Q119" s="106"/>
      <c r="R119" s="109">
        <f t="shared" ref="R119:R138" si="28">SQRT(SUMSQ(L119,N119,P119))</f>
        <v>1.04880884817012</v>
      </c>
      <c r="S119" s="106"/>
      <c r="T119" s="109">
        <f>_xlfn.STDEV.S(F119:G138)</f>
        <v>0.12843930618246</v>
      </c>
      <c r="U119" s="121"/>
      <c r="V119" s="109">
        <f>_xlfn.STDEV.S(H119:I138)</f>
        <v>0.204842244499466</v>
      </c>
      <c r="W119" s="121"/>
      <c r="X119" s="109">
        <f>_xlfn.STDEV.S(J119:K138)</f>
        <v>0.0358684478703997</v>
      </c>
      <c r="Y119" s="121"/>
      <c r="Z119" s="109">
        <v>1.55</v>
      </c>
      <c r="AA119" s="106"/>
      <c r="AB119" s="109">
        <v>11.2044</v>
      </c>
      <c r="AC119" s="106"/>
      <c r="AD119" s="109">
        <f t="shared" ref="AD119:AD138" si="29">AB119+Z119</f>
        <v>12.7544</v>
      </c>
      <c r="AE119" s="106"/>
      <c r="AF119" s="49" t="s">
        <v>167</v>
      </c>
      <c r="AG119" s="49">
        <v>1</v>
      </c>
      <c r="AH119" s="49" t="s">
        <v>137</v>
      </c>
    </row>
    <row r="120" spans="1:34">
      <c r="A120" s="49">
        <v>1</v>
      </c>
      <c r="B120" s="49" t="s">
        <v>169</v>
      </c>
      <c r="C120" s="49">
        <v>0.75</v>
      </c>
      <c r="D120" s="49">
        <v>0.1</v>
      </c>
      <c r="E120" s="49">
        <v>0.42</v>
      </c>
      <c r="F120" s="109">
        <v>0.75002000000000002</v>
      </c>
      <c r="G120" s="106"/>
      <c r="H120" s="109">
        <v>9.9900000000000003E-2</v>
      </c>
      <c r="I120" s="106"/>
      <c r="J120" s="109">
        <v>0.4199</v>
      </c>
      <c r="K120" s="106"/>
      <c r="L120" s="109">
        <f t="shared" si="25"/>
        <v>0.02000000000002</v>
      </c>
      <c r="M120" s="106"/>
      <c r="N120" s="109">
        <f t="shared" si="26"/>
        <v>0.100000000000003</v>
      </c>
      <c r="O120" s="106"/>
      <c r="P120" s="109">
        <f t="shared" si="27"/>
        <v>0.099999999999989</v>
      </c>
      <c r="Q120" s="106"/>
      <c r="R120" s="109">
        <f t="shared" si="28"/>
        <v>0.142828568570854</v>
      </c>
      <c r="S120" s="106"/>
      <c r="T120" s="124"/>
      <c r="U120" s="125"/>
      <c r="V120" s="124"/>
      <c r="W120" s="125"/>
      <c r="X120" s="124"/>
      <c r="Y120" s="125"/>
      <c r="Z120" s="109">
        <v>1.5407</v>
      </c>
      <c r="AA120" s="106"/>
      <c r="AB120" s="109">
        <v>9.3376999999999999</v>
      </c>
      <c r="AC120" s="106"/>
      <c r="AD120" s="109">
        <f t="shared" si="29"/>
        <v>10.8784</v>
      </c>
      <c r="AE120" s="106"/>
      <c r="AF120" s="49" t="s">
        <v>167</v>
      </c>
      <c r="AG120" s="49">
        <v>1</v>
      </c>
      <c r="AH120" s="49" t="s">
        <v>137</v>
      </c>
    </row>
    <row r="121" spans="1:34">
      <c r="A121" s="49">
        <v>2</v>
      </c>
      <c r="B121" s="49" t="s">
        <v>166</v>
      </c>
      <c r="C121" s="49">
        <v>0.5</v>
      </c>
      <c r="D121" s="49">
        <v>-0.3</v>
      </c>
      <c r="E121" s="49">
        <v>0.35</v>
      </c>
      <c r="F121" s="109">
        <v>0.49990000000000001</v>
      </c>
      <c r="G121" s="106"/>
      <c r="H121" s="109">
        <v>-0.29909999999999998</v>
      </c>
      <c r="I121" s="106"/>
      <c r="J121" s="109">
        <v>0.34989999999999999</v>
      </c>
      <c r="K121" s="106"/>
      <c r="L121" s="109">
        <f t="shared" si="25"/>
        <v>0.099999999999989</v>
      </c>
      <c r="M121" s="106"/>
      <c r="N121" s="109">
        <f t="shared" si="26"/>
        <v>0.900000000000012</v>
      </c>
      <c r="O121" s="106"/>
      <c r="P121" s="109">
        <f t="shared" si="27"/>
        <v>0.099999999999989</v>
      </c>
      <c r="Q121" s="106"/>
      <c r="R121" s="109">
        <f t="shared" si="28"/>
        <v>0.911043357914439</v>
      </c>
      <c r="S121" s="106"/>
      <c r="T121" s="124"/>
      <c r="U121" s="125"/>
      <c r="V121" s="124"/>
      <c r="W121" s="125"/>
      <c r="X121" s="124"/>
      <c r="Y121" s="125"/>
      <c r="Z121" s="109">
        <v>1.5734999999999999</v>
      </c>
      <c r="AA121" s="106"/>
      <c r="AB121" s="109">
        <v>11.2043</v>
      </c>
      <c r="AC121" s="106"/>
      <c r="AD121" s="109">
        <f t="shared" si="29"/>
        <v>12.7778</v>
      </c>
      <c r="AE121" s="106"/>
      <c r="AF121" s="49" t="s">
        <v>167</v>
      </c>
      <c r="AG121" s="49">
        <v>1</v>
      </c>
      <c r="AH121" s="49" t="s">
        <v>137</v>
      </c>
    </row>
    <row r="122" spans="1:34">
      <c r="A122" s="49">
        <v>2</v>
      </c>
      <c r="B122" s="49" t="s">
        <v>169</v>
      </c>
      <c r="C122" s="49">
        <v>0.75</v>
      </c>
      <c r="D122" s="49">
        <v>0.1</v>
      </c>
      <c r="E122" s="49">
        <v>0.42</v>
      </c>
      <c r="F122" s="109">
        <v>0.74970000000000003</v>
      </c>
      <c r="G122" s="106"/>
      <c r="H122" s="109">
        <v>9.9699999999999997E-2</v>
      </c>
      <c r="I122" s="106"/>
      <c r="J122" s="109">
        <v>0.41930000000000001</v>
      </c>
      <c r="K122" s="106"/>
      <c r="L122" s="109">
        <f t="shared" si="25"/>
        <v>0.299999999999967</v>
      </c>
      <c r="M122" s="106"/>
      <c r="N122" s="109">
        <f t="shared" si="26"/>
        <v>0.300000000000009</v>
      </c>
      <c r="O122" s="106"/>
      <c r="P122" s="109">
        <f t="shared" si="27"/>
        <v>0.699999999999978</v>
      </c>
      <c r="Q122" s="106"/>
      <c r="R122" s="109">
        <f t="shared" si="28"/>
        <v>0.818535277187218</v>
      </c>
      <c r="S122" s="106"/>
      <c r="T122" s="124"/>
      <c r="U122" s="125"/>
      <c r="V122" s="124"/>
      <c r="W122" s="125"/>
      <c r="X122" s="124"/>
      <c r="Y122" s="125"/>
      <c r="Z122" s="109">
        <v>1.5477000000000001</v>
      </c>
      <c r="AA122" s="106"/>
      <c r="AB122" s="109">
        <v>8.7385999999999999</v>
      </c>
      <c r="AC122" s="106"/>
      <c r="AD122" s="109">
        <f t="shared" si="29"/>
        <v>10.2863</v>
      </c>
      <c r="AE122" s="106"/>
      <c r="AF122" s="49" t="s">
        <v>167</v>
      </c>
      <c r="AG122" s="49">
        <v>1</v>
      </c>
      <c r="AH122" s="49" t="s">
        <v>137</v>
      </c>
    </row>
    <row r="123" spans="1:34">
      <c r="A123" s="49">
        <v>3</v>
      </c>
      <c r="B123" s="49" t="s">
        <v>166</v>
      </c>
      <c r="C123" s="49">
        <v>0.5</v>
      </c>
      <c r="D123" s="49">
        <v>-0.3</v>
      </c>
      <c r="E123" s="49">
        <v>0.35</v>
      </c>
      <c r="F123" s="109">
        <v>0.50039999999999996</v>
      </c>
      <c r="G123" s="106"/>
      <c r="H123" s="109">
        <v>-0.2999</v>
      </c>
      <c r="I123" s="106"/>
      <c r="J123" s="109">
        <v>0.35010000000000002</v>
      </c>
      <c r="K123" s="106"/>
      <c r="L123" s="109">
        <f t="shared" si="25"/>
        <v>0.399999999999956</v>
      </c>
      <c r="M123" s="106"/>
      <c r="N123" s="109">
        <f t="shared" si="26"/>
        <v>0.099999999999989</v>
      </c>
      <c r="O123" s="106"/>
      <c r="P123" s="109">
        <f t="shared" si="27"/>
        <v>0.100000000000045</v>
      </c>
      <c r="Q123" s="106"/>
      <c r="R123" s="109">
        <f t="shared" si="28"/>
        <v>0.424264068711895</v>
      </c>
      <c r="S123" s="106"/>
      <c r="T123" s="124"/>
      <c r="U123" s="125"/>
      <c r="V123" s="124"/>
      <c r="W123" s="125"/>
      <c r="X123" s="124"/>
      <c r="Y123" s="125"/>
      <c r="Z123" s="109">
        <v>1.5549999999999999</v>
      </c>
      <c r="AA123" s="106"/>
      <c r="AB123" s="109">
        <v>9.9132999999999996</v>
      </c>
      <c r="AC123" s="106"/>
      <c r="AD123" s="109">
        <f t="shared" si="29"/>
        <v>11.4683</v>
      </c>
      <c r="AE123" s="106"/>
      <c r="AF123" s="49" t="s">
        <v>167</v>
      </c>
      <c r="AG123" s="49">
        <v>1</v>
      </c>
      <c r="AH123" s="49" t="s">
        <v>137</v>
      </c>
    </row>
    <row r="124" spans="1:34">
      <c r="A124" s="49">
        <v>3</v>
      </c>
      <c r="B124" s="49" t="s">
        <v>169</v>
      </c>
      <c r="C124" s="49">
        <v>0.75</v>
      </c>
      <c r="D124" s="49">
        <v>0.1</v>
      </c>
      <c r="E124" s="49">
        <v>0.42</v>
      </c>
      <c r="F124" s="109">
        <v>0.74980000000000002</v>
      </c>
      <c r="G124" s="106"/>
      <c r="H124" s="109">
        <v>9.9699999999999997E-2</v>
      </c>
      <c r="I124" s="106"/>
      <c r="J124" s="109">
        <v>0.42009999999999997</v>
      </c>
      <c r="K124" s="106"/>
      <c r="L124" s="109">
        <f t="shared" si="25"/>
        <v>0.199999999999978</v>
      </c>
      <c r="M124" s="106"/>
      <c r="N124" s="109">
        <f t="shared" si="26"/>
        <v>0.300000000000009</v>
      </c>
      <c r="O124" s="106"/>
      <c r="P124" s="109">
        <f t="shared" si="27"/>
        <v>0.099999999999989</v>
      </c>
      <c r="Q124" s="106"/>
      <c r="R124" s="109">
        <f t="shared" si="28"/>
        <v>0.374165738677386</v>
      </c>
      <c r="S124" s="106"/>
      <c r="T124" s="124"/>
      <c r="U124" s="125"/>
      <c r="V124" s="124"/>
      <c r="W124" s="125"/>
      <c r="X124" s="124"/>
      <c r="Y124" s="125"/>
      <c r="Z124" s="109">
        <v>1.5737000000000001</v>
      </c>
      <c r="AA124" s="106"/>
      <c r="AB124" s="109">
        <v>10.099399999999999</v>
      </c>
      <c r="AC124" s="106"/>
      <c r="AD124" s="109">
        <f t="shared" si="29"/>
        <v>11.6731</v>
      </c>
      <c r="AE124" s="106"/>
      <c r="AF124" s="49" t="s">
        <v>167</v>
      </c>
      <c r="AG124" s="49">
        <v>1</v>
      </c>
      <c r="AH124" s="49" t="s">
        <v>137</v>
      </c>
    </row>
    <row r="125" spans="1:34">
      <c r="A125" s="49">
        <v>4</v>
      </c>
      <c r="B125" s="49" t="s">
        <v>166</v>
      </c>
      <c r="C125" s="49">
        <v>0.5</v>
      </c>
      <c r="D125" s="49">
        <v>-0.3</v>
      </c>
      <c r="E125" s="49">
        <v>0.35</v>
      </c>
      <c r="F125" s="109">
        <v>0.49909999999999999</v>
      </c>
      <c r="G125" s="106"/>
      <c r="H125" s="109">
        <v>-0.2994</v>
      </c>
      <c r="I125" s="106"/>
      <c r="J125" s="109">
        <v>0.35010000000000002</v>
      </c>
      <c r="K125" s="106"/>
      <c r="L125" s="109">
        <f t="shared" si="25"/>
        <v>0.900000000000012</v>
      </c>
      <c r="M125" s="106"/>
      <c r="N125" s="109">
        <f t="shared" si="26"/>
        <v>0.599999999999989</v>
      </c>
      <c r="O125" s="106"/>
      <c r="P125" s="109">
        <f t="shared" si="27"/>
        <v>0.100000000000045</v>
      </c>
      <c r="Q125" s="106"/>
      <c r="R125" s="109">
        <f t="shared" si="28"/>
        <v>1.08627804912003</v>
      </c>
      <c r="S125" s="106"/>
      <c r="T125" s="124"/>
      <c r="U125" s="125"/>
      <c r="V125" s="124"/>
      <c r="W125" s="125"/>
      <c r="X125" s="124"/>
      <c r="Y125" s="125"/>
      <c r="Z125" s="109">
        <v>1.5628</v>
      </c>
      <c r="AA125" s="106"/>
      <c r="AB125" s="109">
        <v>11.202</v>
      </c>
      <c r="AC125" s="106"/>
      <c r="AD125" s="109">
        <f t="shared" si="29"/>
        <v>12.7648</v>
      </c>
      <c r="AE125" s="106"/>
      <c r="AF125" s="49" t="s">
        <v>167</v>
      </c>
      <c r="AG125" s="49">
        <v>1</v>
      </c>
      <c r="AH125" s="49" t="s">
        <v>137</v>
      </c>
    </row>
    <row r="126" spans="1:34">
      <c r="A126" s="49">
        <v>4</v>
      </c>
      <c r="B126" s="49" t="s">
        <v>169</v>
      </c>
      <c r="C126" s="49">
        <v>0.75</v>
      </c>
      <c r="D126" s="49">
        <v>0.1</v>
      </c>
      <c r="E126" s="49">
        <v>0.42</v>
      </c>
      <c r="F126" s="109">
        <v>0.74939999999999996</v>
      </c>
      <c r="G126" s="106"/>
      <c r="H126" s="109">
        <v>0.10059999999999999</v>
      </c>
      <c r="I126" s="106"/>
      <c r="J126" s="109">
        <v>0.41949999999999998</v>
      </c>
      <c r="K126" s="106"/>
      <c r="L126" s="109">
        <f t="shared" si="25"/>
        <v>0.600000000000045</v>
      </c>
      <c r="M126" s="106"/>
      <c r="N126" s="109">
        <f t="shared" si="26"/>
        <v>0.599999999999989</v>
      </c>
      <c r="O126" s="106"/>
      <c r="P126" s="109">
        <f t="shared" si="27"/>
        <v>0.5</v>
      </c>
      <c r="Q126" s="106"/>
      <c r="R126" s="109">
        <f t="shared" si="28"/>
        <v>0.984885780179632</v>
      </c>
      <c r="S126" s="106"/>
      <c r="T126" s="124"/>
      <c r="U126" s="125"/>
      <c r="V126" s="124"/>
      <c r="W126" s="125"/>
      <c r="X126" s="124"/>
      <c r="Y126" s="125"/>
      <c r="Z126" s="109">
        <v>1.5324</v>
      </c>
      <c r="AA126" s="106"/>
      <c r="AB126" s="109">
        <v>10.083399999999999</v>
      </c>
      <c r="AC126" s="106"/>
      <c r="AD126" s="109">
        <f t="shared" si="29"/>
        <v>11.6158</v>
      </c>
      <c r="AE126" s="106"/>
      <c r="AF126" s="49" t="s">
        <v>167</v>
      </c>
      <c r="AG126" s="49">
        <v>1</v>
      </c>
      <c r="AH126" s="49" t="s">
        <v>137</v>
      </c>
    </row>
    <row r="127" spans="1:34">
      <c r="A127" s="49">
        <v>5</v>
      </c>
      <c r="B127" s="49" t="s">
        <v>166</v>
      </c>
      <c r="C127" s="49">
        <v>0.5</v>
      </c>
      <c r="D127" s="49">
        <v>-0.3</v>
      </c>
      <c r="E127" s="49">
        <v>0.35</v>
      </c>
      <c r="F127" s="109">
        <v>0.50070000000000003</v>
      </c>
      <c r="G127" s="106"/>
      <c r="H127" s="109">
        <v>-0.30030000000000001</v>
      </c>
      <c r="I127" s="106"/>
      <c r="J127" s="109">
        <v>0.35020000000000001</v>
      </c>
      <c r="K127" s="106"/>
      <c r="L127" s="109">
        <f t="shared" si="25"/>
        <v>0.700000000000034</v>
      </c>
      <c r="M127" s="106"/>
      <c r="N127" s="109">
        <f t="shared" si="26"/>
        <v>0.300000000000022</v>
      </c>
      <c r="O127" s="106"/>
      <c r="P127" s="109">
        <f t="shared" si="27"/>
        <v>0.200000000000033</v>
      </c>
      <c r="Q127" s="106"/>
      <c r="R127" s="109">
        <f t="shared" si="28"/>
        <v>0.787400787401228</v>
      </c>
      <c r="S127" s="106"/>
      <c r="T127" s="124"/>
      <c r="U127" s="125"/>
      <c r="V127" s="124"/>
      <c r="W127" s="125"/>
      <c r="X127" s="124"/>
      <c r="Y127" s="125"/>
      <c r="Z127" s="109">
        <v>1.5448</v>
      </c>
      <c r="AA127" s="106"/>
      <c r="AB127" s="109">
        <v>10.850300000000001</v>
      </c>
      <c r="AC127" s="106"/>
      <c r="AD127" s="109">
        <f t="shared" si="29"/>
        <v>12.3951</v>
      </c>
      <c r="AE127" s="106"/>
      <c r="AF127" s="49" t="s">
        <v>167</v>
      </c>
      <c r="AG127" s="49">
        <v>1</v>
      </c>
      <c r="AH127" s="49" t="s">
        <v>137</v>
      </c>
    </row>
    <row r="128" spans="1:34">
      <c r="A128" s="49">
        <v>5</v>
      </c>
      <c r="B128" s="49" t="s">
        <v>169</v>
      </c>
      <c r="C128" s="49">
        <v>0.75</v>
      </c>
      <c r="D128" s="49">
        <v>0.1</v>
      </c>
      <c r="E128" s="49">
        <v>0.42</v>
      </c>
      <c r="F128" s="109">
        <v>0.75080000000000002</v>
      </c>
      <c r="G128" s="106"/>
      <c r="H128" s="109">
        <v>9.9000000000000005E-2</v>
      </c>
      <c r="I128" s="106"/>
      <c r="J128" s="109">
        <v>0.42049999999999998</v>
      </c>
      <c r="K128" s="106"/>
      <c r="L128" s="109">
        <f t="shared" si="25"/>
        <v>0.800000000000023</v>
      </c>
      <c r="M128" s="106"/>
      <c r="N128" s="109">
        <f t="shared" si="26"/>
        <v>1</v>
      </c>
      <c r="O128" s="106"/>
      <c r="P128" s="109">
        <f t="shared" si="27"/>
        <v>0.5</v>
      </c>
      <c r="Q128" s="106"/>
      <c r="R128" s="109">
        <f t="shared" si="28"/>
        <v>1.37477270848677</v>
      </c>
      <c r="S128" s="106"/>
      <c r="T128" s="124"/>
      <c r="U128" s="125"/>
      <c r="V128" s="124"/>
      <c r="W128" s="125"/>
      <c r="X128" s="124"/>
      <c r="Y128" s="125"/>
      <c r="Z128" s="109">
        <v>1.5459000000000001</v>
      </c>
      <c r="AA128" s="106"/>
      <c r="AB128" s="109">
        <v>10.956200000000001</v>
      </c>
      <c r="AC128" s="106"/>
      <c r="AD128" s="109">
        <f t="shared" si="29"/>
        <v>12.5021</v>
      </c>
      <c r="AE128" s="106"/>
      <c r="AF128" s="49" t="s">
        <v>167</v>
      </c>
      <c r="AG128" s="49">
        <v>1</v>
      </c>
      <c r="AH128" s="49" t="s">
        <v>137</v>
      </c>
    </row>
    <row r="129" spans="1:34">
      <c r="A129" s="49">
        <v>6</v>
      </c>
      <c r="B129" s="49" t="s">
        <v>166</v>
      </c>
      <c r="C129" s="49">
        <v>0.5</v>
      </c>
      <c r="D129" s="49">
        <v>-0.3</v>
      </c>
      <c r="E129" s="49">
        <v>0.35</v>
      </c>
      <c r="F129" s="109">
        <v>0.49869999999999998</v>
      </c>
      <c r="G129" s="106"/>
      <c r="H129" s="109">
        <v>-0.29949999999999999</v>
      </c>
      <c r="I129" s="106"/>
      <c r="J129" s="109">
        <v>0.3493</v>
      </c>
      <c r="K129" s="106"/>
      <c r="L129" s="109">
        <f t="shared" si="25"/>
        <v>1.30000000000002</v>
      </c>
      <c r="M129" s="106"/>
      <c r="N129" s="109">
        <f t="shared" si="26"/>
        <v>0.5</v>
      </c>
      <c r="O129" s="106"/>
      <c r="P129" s="109">
        <f t="shared" si="27"/>
        <v>0.699999999999978</v>
      </c>
      <c r="Q129" s="106"/>
      <c r="R129" s="109">
        <f t="shared" si="28"/>
        <v>1.558845726812</v>
      </c>
      <c r="S129" s="106"/>
      <c r="T129" s="124"/>
      <c r="U129" s="125"/>
      <c r="V129" s="124"/>
      <c r="W129" s="125"/>
      <c r="X129" s="124"/>
      <c r="Y129" s="125"/>
      <c r="Z129" s="109">
        <v>1.5166999999999999</v>
      </c>
      <c r="AA129" s="106"/>
      <c r="AB129" s="109">
        <v>8.32</v>
      </c>
      <c r="AC129" s="106"/>
      <c r="AD129" s="109">
        <f t="shared" si="29"/>
        <v>9.8367</v>
      </c>
      <c r="AE129" s="106"/>
      <c r="AF129" s="49" t="s">
        <v>167</v>
      </c>
      <c r="AG129" s="49">
        <v>1</v>
      </c>
      <c r="AH129" s="49" t="s">
        <v>137</v>
      </c>
    </row>
    <row r="130" spans="1:34">
      <c r="A130" s="49">
        <v>6</v>
      </c>
      <c r="B130" s="49" t="s">
        <v>169</v>
      </c>
      <c r="C130" s="49">
        <v>0.75</v>
      </c>
      <c r="D130" s="49">
        <v>0.1</v>
      </c>
      <c r="E130" s="49">
        <v>0.42</v>
      </c>
      <c r="F130" s="109">
        <v>0.75060000000000004</v>
      </c>
      <c r="G130" s="106"/>
      <c r="H130" s="109">
        <v>9.8599999999999993E-2</v>
      </c>
      <c r="I130" s="106"/>
      <c r="J130" s="109">
        <v>0.4214</v>
      </c>
      <c r="K130" s="106"/>
      <c r="L130" s="109">
        <f t="shared" si="25"/>
        <v>0.600000000000045</v>
      </c>
      <c r="M130" s="106"/>
      <c r="N130" s="109">
        <f t="shared" si="26"/>
        <v>1.40000000000001</v>
      </c>
      <c r="O130" s="106"/>
      <c r="P130" s="109">
        <f t="shared" si="27"/>
        <v>1.40000000000001</v>
      </c>
      <c r="Q130" s="106"/>
      <c r="R130" s="109">
        <f t="shared" si="28"/>
        <v>2.06881608655775</v>
      </c>
      <c r="S130" s="106"/>
      <c r="T130" s="124"/>
      <c r="U130" s="125"/>
      <c r="V130" s="124"/>
      <c r="W130" s="125"/>
      <c r="X130" s="124"/>
      <c r="Y130" s="125"/>
      <c r="Z130" s="109">
        <v>1.5407</v>
      </c>
      <c r="AA130" s="106"/>
      <c r="AB130" s="109">
        <v>9.8984000000000005</v>
      </c>
      <c r="AC130" s="106"/>
      <c r="AD130" s="109">
        <f t="shared" si="29"/>
        <v>11.4391</v>
      </c>
      <c r="AE130" s="106"/>
      <c r="AF130" s="49" t="s">
        <v>167</v>
      </c>
      <c r="AG130" s="49">
        <v>1</v>
      </c>
      <c r="AH130" s="49" t="s">
        <v>137</v>
      </c>
    </row>
    <row r="131" spans="1:34">
      <c r="A131" s="49">
        <v>7</v>
      </c>
      <c r="B131" s="49" t="s">
        <v>166</v>
      </c>
      <c r="C131" s="49">
        <v>0.5</v>
      </c>
      <c r="D131" s="49">
        <v>-0.3</v>
      </c>
      <c r="E131" s="49">
        <v>0.35</v>
      </c>
      <c r="F131" s="109">
        <v>0.49919999999999998</v>
      </c>
      <c r="G131" s="106"/>
      <c r="H131" s="109">
        <v>-0.29980000000000001</v>
      </c>
      <c r="I131" s="106"/>
      <c r="J131" s="109">
        <v>0.35039999999999999</v>
      </c>
      <c r="K131" s="106"/>
      <c r="L131" s="109">
        <f t="shared" si="25"/>
        <v>0.800000000000023</v>
      </c>
      <c r="M131" s="106"/>
      <c r="N131" s="109">
        <f t="shared" si="26"/>
        <v>0.199999999999978</v>
      </c>
      <c r="O131" s="106"/>
      <c r="P131" s="109">
        <f t="shared" si="27"/>
        <v>0.400000000000011</v>
      </c>
      <c r="Q131" s="106"/>
      <c r="R131" s="109">
        <f t="shared" si="28"/>
        <v>0.916515138991188</v>
      </c>
      <c r="S131" s="106"/>
      <c r="T131" s="124"/>
      <c r="U131" s="125"/>
      <c r="V131" s="124"/>
      <c r="W131" s="125"/>
      <c r="X131" s="124"/>
      <c r="Y131" s="125"/>
      <c r="Z131" s="109">
        <v>1.5966</v>
      </c>
      <c r="AA131" s="106"/>
      <c r="AB131" s="109">
        <v>7.5518000000000001</v>
      </c>
      <c r="AC131" s="106"/>
      <c r="AD131" s="109">
        <f t="shared" si="29"/>
        <v>9.1484</v>
      </c>
      <c r="AE131" s="106"/>
      <c r="AF131" s="49" t="s">
        <v>167</v>
      </c>
      <c r="AG131" s="49">
        <v>1</v>
      </c>
      <c r="AH131" s="49" t="s">
        <v>137</v>
      </c>
    </row>
    <row r="132" spans="1:34">
      <c r="A132" s="49">
        <v>7</v>
      </c>
      <c r="B132" s="49" t="s">
        <v>169</v>
      </c>
      <c r="C132" s="49">
        <v>0.75</v>
      </c>
      <c r="D132" s="49">
        <v>0.1</v>
      </c>
      <c r="E132" s="49">
        <v>0.42</v>
      </c>
      <c r="F132" s="109">
        <v>0.75060000000000004</v>
      </c>
      <c r="G132" s="106"/>
      <c r="H132" s="109">
        <v>9.9900000000000003E-2</v>
      </c>
      <c r="I132" s="106"/>
      <c r="J132" s="109">
        <v>0.41980000000000001</v>
      </c>
      <c r="K132" s="106"/>
      <c r="L132" s="109">
        <f t="shared" si="25"/>
        <v>0.600000000000045</v>
      </c>
      <c r="M132" s="106"/>
      <c r="N132" s="109">
        <f t="shared" si="26"/>
        <v>0.100000000000003</v>
      </c>
      <c r="O132" s="106"/>
      <c r="P132" s="109">
        <f t="shared" si="27"/>
        <v>0.199999999999978</v>
      </c>
      <c r="Q132" s="106"/>
      <c r="R132" s="109">
        <f t="shared" si="28"/>
        <v>0.640312423743321</v>
      </c>
      <c r="S132" s="106"/>
      <c r="T132" s="124"/>
      <c r="U132" s="125"/>
      <c r="V132" s="124"/>
      <c r="W132" s="125"/>
      <c r="X132" s="124"/>
      <c r="Y132" s="125"/>
      <c r="Z132" s="109">
        <v>1.5476000000000001</v>
      </c>
      <c r="AA132" s="106"/>
      <c r="AB132" s="109">
        <v>10.729200000000001</v>
      </c>
      <c r="AC132" s="106"/>
      <c r="AD132" s="109">
        <f t="shared" si="29"/>
        <v>12.2768</v>
      </c>
      <c r="AE132" s="106"/>
      <c r="AF132" s="49" t="s">
        <v>167</v>
      </c>
      <c r="AG132" s="49">
        <v>1</v>
      </c>
      <c r="AH132" s="49" t="s">
        <v>137</v>
      </c>
    </row>
    <row r="133" spans="1:34">
      <c r="A133" s="49">
        <v>8</v>
      </c>
      <c r="B133" s="49" t="s">
        <v>166</v>
      </c>
      <c r="C133" s="49">
        <v>0.5</v>
      </c>
      <c r="D133" s="49">
        <v>-0.3</v>
      </c>
      <c r="E133" s="49">
        <v>0.35</v>
      </c>
      <c r="F133" s="109">
        <v>0.50049999999999994</v>
      </c>
      <c r="G133" s="106"/>
      <c r="H133" s="109">
        <v>-0.3</v>
      </c>
      <c r="I133" s="106"/>
      <c r="J133" s="109">
        <v>0.35060000000000002</v>
      </c>
      <c r="K133" s="106"/>
      <c r="L133" s="109">
        <f t="shared" si="25"/>
        <v>0.499999999999945</v>
      </c>
      <c r="M133" s="106"/>
      <c r="N133" s="109">
        <f t="shared" si="26"/>
        <v>0</v>
      </c>
      <c r="O133" s="106"/>
      <c r="P133" s="109">
        <f t="shared" si="27"/>
        <v>0.600000000000045</v>
      </c>
      <c r="Q133" s="106"/>
      <c r="R133" s="109">
        <f t="shared" si="28"/>
        <v>0.781024967590665</v>
      </c>
      <c r="S133" s="106"/>
      <c r="T133" s="124"/>
      <c r="U133" s="125"/>
      <c r="V133" s="124"/>
      <c r="W133" s="125"/>
      <c r="X133" s="124"/>
      <c r="Y133" s="125"/>
      <c r="Z133" s="109">
        <v>1.5370999999999999</v>
      </c>
      <c r="AA133" s="106"/>
      <c r="AB133" s="109">
        <v>8.1992999999999991</v>
      </c>
      <c r="AC133" s="106"/>
      <c r="AD133" s="109">
        <f t="shared" si="29"/>
        <v>9.7364</v>
      </c>
      <c r="AE133" s="106"/>
      <c r="AF133" s="49" t="s">
        <v>167</v>
      </c>
      <c r="AG133" s="49">
        <v>1</v>
      </c>
      <c r="AH133" s="49" t="s">
        <v>137</v>
      </c>
    </row>
    <row r="134" spans="1:34">
      <c r="A134" s="49">
        <v>8</v>
      </c>
      <c r="B134" s="49" t="s">
        <v>169</v>
      </c>
      <c r="C134" s="49">
        <v>0.75</v>
      </c>
      <c r="D134" s="49">
        <v>0.1</v>
      </c>
      <c r="E134" s="49">
        <v>0.42</v>
      </c>
      <c r="F134" s="109">
        <v>0.75</v>
      </c>
      <c r="G134" s="106"/>
      <c r="H134" s="109">
        <v>9.9599999999999994E-2</v>
      </c>
      <c r="I134" s="106"/>
      <c r="J134" s="109">
        <v>0.41880000000000001</v>
      </c>
      <c r="K134" s="106"/>
      <c r="L134" s="109">
        <f t="shared" si="25"/>
        <v>0</v>
      </c>
      <c r="M134" s="106"/>
      <c r="N134" s="109">
        <f t="shared" si="26"/>
        <v>0.400000000000011</v>
      </c>
      <c r="O134" s="106"/>
      <c r="P134" s="109">
        <f t="shared" si="27"/>
        <v>1.19999999999998</v>
      </c>
      <c r="Q134" s="106"/>
      <c r="R134" s="109">
        <f t="shared" si="28"/>
        <v>1.26491106406734</v>
      </c>
      <c r="S134" s="106"/>
      <c r="T134" s="124"/>
      <c r="U134" s="125"/>
      <c r="V134" s="124"/>
      <c r="W134" s="125"/>
      <c r="X134" s="124"/>
      <c r="Y134" s="125"/>
      <c r="Z134" s="109">
        <v>1.5361</v>
      </c>
      <c r="AA134" s="106"/>
      <c r="AB134" s="109">
        <v>9.7940000000000005</v>
      </c>
      <c r="AC134" s="106"/>
      <c r="AD134" s="109">
        <f t="shared" si="29"/>
        <v>11.3301</v>
      </c>
      <c r="AE134" s="106"/>
      <c r="AF134" s="49" t="s">
        <v>167</v>
      </c>
      <c r="AG134" s="49">
        <v>1</v>
      </c>
      <c r="AH134" s="49" t="s">
        <v>137</v>
      </c>
    </row>
    <row r="135" spans="1:34">
      <c r="A135" s="49">
        <v>9</v>
      </c>
      <c r="B135" s="49" t="s">
        <v>166</v>
      </c>
      <c r="C135" s="49">
        <v>0.5</v>
      </c>
      <c r="D135" s="49">
        <v>-0.3</v>
      </c>
      <c r="E135" s="49">
        <v>0.35</v>
      </c>
      <c r="F135" s="109">
        <v>0.49969999999999998</v>
      </c>
      <c r="G135" s="106"/>
      <c r="H135" s="109">
        <v>-0.29920000000000002</v>
      </c>
      <c r="I135" s="106"/>
      <c r="J135" s="109">
        <v>0.3503</v>
      </c>
      <c r="K135" s="106"/>
      <c r="L135" s="109">
        <f t="shared" si="25"/>
        <v>0.300000000000022</v>
      </c>
      <c r="M135" s="106"/>
      <c r="N135" s="109">
        <f t="shared" si="26"/>
        <v>0.799999999999967</v>
      </c>
      <c r="O135" s="106"/>
      <c r="P135" s="109">
        <f t="shared" si="27"/>
        <v>0.300000000000022</v>
      </c>
      <c r="Q135" s="106"/>
      <c r="R135" s="109">
        <f t="shared" si="28"/>
        <v>0.905538513813728</v>
      </c>
      <c r="S135" s="106"/>
      <c r="T135" s="124"/>
      <c r="U135" s="125"/>
      <c r="V135" s="124"/>
      <c r="W135" s="125"/>
      <c r="X135" s="124"/>
      <c r="Y135" s="125"/>
      <c r="Z135" s="109">
        <v>1.5218</v>
      </c>
      <c r="AA135" s="106"/>
      <c r="AB135" s="109">
        <v>11.8847</v>
      </c>
      <c r="AC135" s="106"/>
      <c r="AD135" s="109">
        <f t="shared" si="29"/>
        <v>13.4065</v>
      </c>
      <c r="AE135" s="106"/>
      <c r="AF135" s="49" t="s">
        <v>167</v>
      </c>
      <c r="AG135" s="49">
        <v>1</v>
      </c>
      <c r="AH135" s="49" t="s">
        <v>137</v>
      </c>
    </row>
    <row r="136" spans="1:34">
      <c r="A136" s="49">
        <v>9</v>
      </c>
      <c r="B136" s="49" t="s">
        <v>169</v>
      </c>
      <c r="C136" s="49">
        <v>0.75</v>
      </c>
      <c r="D136" s="49">
        <v>0.1</v>
      </c>
      <c r="E136" s="49">
        <v>0.42</v>
      </c>
      <c r="F136" s="109">
        <v>0.75049999999999994</v>
      </c>
      <c r="G136" s="106"/>
      <c r="H136" s="109">
        <v>9.9299999999999999E-2</v>
      </c>
      <c r="I136" s="106"/>
      <c r="J136" s="109">
        <v>0.42070000000000002</v>
      </c>
      <c r="K136" s="106"/>
      <c r="L136" s="109">
        <f t="shared" si="25"/>
        <v>0.499999999999945</v>
      </c>
      <c r="M136" s="106"/>
      <c r="N136" s="109">
        <f t="shared" si="26"/>
        <v>0.700000000000006</v>
      </c>
      <c r="O136" s="106"/>
      <c r="P136" s="109">
        <f t="shared" si="27"/>
        <v>0.700000000000034</v>
      </c>
      <c r="Q136" s="106"/>
      <c r="R136" s="109">
        <f t="shared" si="28"/>
        <v>1.10905365064094</v>
      </c>
      <c r="S136" s="106"/>
      <c r="T136" s="124"/>
      <c r="U136" s="125"/>
      <c r="V136" s="124"/>
      <c r="W136" s="125"/>
      <c r="X136" s="124"/>
      <c r="Y136" s="125"/>
      <c r="Z136" s="109">
        <v>1.522</v>
      </c>
      <c r="AA136" s="106"/>
      <c r="AB136" s="109">
        <v>10.7265</v>
      </c>
      <c r="AC136" s="106"/>
      <c r="AD136" s="109">
        <f t="shared" si="29"/>
        <v>12.2485</v>
      </c>
      <c r="AE136" s="106"/>
      <c r="AF136" s="49" t="s">
        <v>167</v>
      </c>
      <c r="AG136" s="49">
        <v>1</v>
      </c>
      <c r="AH136" s="49" t="s">
        <v>137</v>
      </c>
    </row>
    <row r="137" spans="1:34">
      <c r="A137" s="49">
        <v>10</v>
      </c>
      <c r="B137" s="49" t="s">
        <v>166</v>
      </c>
      <c r="C137" s="49">
        <v>0.5</v>
      </c>
      <c r="D137" s="49">
        <v>-0.3</v>
      </c>
      <c r="E137" s="49">
        <v>0.35</v>
      </c>
      <c r="F137" s="109">
        <v>0.49990000000000001</v>
      </c>
      <c r="G137" s="106"/>
      <c r="H137" s="109">
        <v>-0.2999</v>
      </c>
      <c r="I137" s="106"/>
      <c r="J137" s="109">
        <v>0.3503</v>
      </c>
      <c r="K137" s="106"/>
      <c r="L137" s="109">
        <f t="shared" si="25"/>
        <v>0.099999999999989</v>
      </c>
      <c r="M137" s="106"/>
      <c r="N137" s="109">
        <f t="shared" si="26"/>
        <v>0.099999999999989</v>
      </c>
      <c r="O137" s="106"/>
      <c r="P137" s="109">
        <f t="shared" si="27"/>
        <v>0.300000000000022</v>
      </c>
      <c r="Q137" s="106"/>
      <c r="R137" s="109">
        <f t="shared" si="28"/>
        <v>0.331662479035554</v>
      </c>
      <c r="S137" s="106"/>
      <c r="T137" s="124"/>
      <c r="U137" s="125"/>
      <c r="V137" s="124"/>
      <c r="W137" s="125"/>
      <c r="X137" s="124"/>
      <c r="Y137" s="125"/>
      <c r="Z137" s="109">
        <v>1.5750999999999999</v>
      </c>
      <c r="AA137" s="106"/>
      <c r="AB137" s="109">
        <v>9.6150000000000002</v>
      </c>
      <c r="AC137" s="106"/>
      <c r="AD137" s="109">
        <f t="shared" si="29"/>
        <v>11.1901</v>
      </c>
      <c r="AE137" s="106"/>
      <c r="AF137" s="49" t="s">
        <v>167</v>
      </c>
      <c r="AG137" s="49">
        <v>1</v>
      </c>
      <c r="AH137" s="49" t="s">
        <v>137</v>
      </c>
    </row>
    <row r="138" spans="1:34">
      <c r="A138" s="49">
        <v>10</v>
      </c>
      <c r="B138" s="49" t="s">
        <v>169</v>
      </c>
      <c r="C138" s="49">
        <v>0.75</v>
      </c>
      <c r="D138" s="49">
        <v>0.1</v>
      </c>
      <c r="E138" s="49">
        <v>0.42</v>
      </c>
      <c r="F138" s="109">
        <v>0.74990000000000001</v>
      </c>
      <c r="G138" s="106"/>
      <c r="H138" s="109">
        <v>9.9500000000000005E-2</v>
      </c>
      <c r="I138" s="106"/>
      <c r="J138" s="109">
        <v>0.4194</v>
      </c>
      <c r="K138" s="106"/>
      <c r="L138" s="109">
        <f t="shared" si="25"/>
        <v>0.099999999999989</v>
      </c>
      <c r="M138" s="106"/>
      <c r="N138" s="109">
        <f t="shared" si="26"/>
        <v>0.5</v>
      </c>
      <c r="O138" s="106"/>
      <c r="P138" s="109">
        <f t="shared" si="27"/>
        <v>0.599999999999989</v>
      </c>
      <c r="Q138" s="106"/>
      <c r="R138" s="109">
        <f t="shared" si="28"/>
        <v>0.787400787401172</v>
      </c>
      <c r="S138" s="106"/>
      <c r="T138" s="122"/>
      <c r="U138" s="123"/>
      <c r="V138" s="122"/>
      <c r="W138" s="123"/>
      <c r="X138" s="122"/>
      <c r="Y138" s="123"/>
      <c r="Z138" s="109">
        <v>1.5105</v>
      </c>
      <c r="AA138" s="106"/>
      <c r="AB138" s="109">
        <v>7.2370000000000001</v>
      </c>
      <c r="AC138" s="106"/>
      <c r="AD138" s="109">
        <f t="shared" si="29"/>
        <v>8.7475</v>
      </c>
      <c r="AE138" s="106"/>
      <c r="AF138" s="49" t="s">
        <v>167</v>
      </c>
      <c r="AG138" s="49">
        <v>1</v>
      </c>
      <c r="AH138" s="49" t="s">
        <v>137</v>
      </c>
    </row>
    <row r="139" spans="1:34">
      <c r="A139" s="112" t="s">
        <v>176</v>
      </c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6"/>
    </row>
    <row r="140" spans="1:34" ht="8.85" customHeight="1">
      <c r="A140" s="107" t="s">
        <v>126</v>
      </c>
      <c r="B140" s="107" t="s">
        <v>143</v>
      </c>
      <c r="C140" s="107" t="s">
        <v>144</v>
      </c>
      <c r="D140" s="107" t="s">
        <v>145</v>
      </c>
      <c r="E140" s="107" t="s">
        <v>146</v>
      </c>
      <c r="F140" s="107" t="s">
        <v>147</v>
      </c>
      <c r="G140" s="121"/>
      <c r="H140" s="107" t="s">
        <v>148</v>
      </c>
      <c r="I140" s="121"/>
      <c r="J140" s="107" t="s">
        <v>149</v>
      </c>
      <c r="K140" s="121"/>
      <c r="L140" s="114" t="s">
        <v>150</v>
      </c>
      <c r="M140" s="121"/>
      <c r="N140" s="114" t="s">
        <v>151</v>
      </c>
      <c r="O140" s="121"/>
      <c r="P140" s="114" t="s">
        <v>152</v>
      </c>
      <c r="Q140" s="121"/>
      <c r="R140" s="107" t="s">
        <v>153</v>
      </c>
      <c r="S140" s="121"/>
      <c r="T140" s="107" t="s">
        <v>154</v>
      </c>
      <c r="U140" s="121"/>
      <c r="V140" s="107" t="s">
        <v>155</v>
      </c>
      <c r="W140" s="121"/>
      <c r="X140" s="107" t="s">
        <v>156</v>
      </c>
      <c r="Y140" s="121"/>
      <c r="Z140" s="107" t="s">
        <v>157</v>
      </c>
      <c r="AA140" s="121"/>
      <c r="AB140" s="107" t="s">
        <v>158</v>
      </c>
      <c r="AC140" s="121"/>
      <c r="AD140" s="107" t="s">
        <v>159</v>
      </c>
      <c r="AE140" s="121"/>
      <c r="AF140" s="107" t="s">
        <v>160</v>
      </c>
      <c r="AG140" s="107" t="s">
        <v>162</v>
      </c>
      <c r="AH140" s="107" t="s">
        <v>163</v>
      </c>
    </row>
    <row r="141" spans="1:34">
      <c r="A141" s="111"/>
      <c r="B141" s="111"/>
      <c r="C141" s="111"/>
      <c r="D141" s="111"/>
      <c r="E141" s="111"/>
      <c r="F141" s="122"/>
      <c r="G141" s="123"/>
      <c r="H141" s="122"/>
      <c r="I141" s="123"/>
      <c r="J141" s="122"/>
      <c r="K141" s="123"/>
      <c r="L141" s="122"/>
      <c r="M141" s="123"/>
      <c r="N141" s="122"/>
      <c r="O141" s="123"/>
      <c r="P141" s="122"/>
      <c r="Q141" s="123"/>
      <c r="R141" s="122"/>
      <c r="S141" s="123"/>
      <c r="T141" s="122"/>
      <c r="U141" s="123"/>
      <c r="V141" s="122"/>
      <c r="W141" s="123"/>
      <c r="X141" s="122"/>
      <c r="Y141" s="123"/>
      <c r="Z141" s="122"/>
      <c r="AA141" s="123"/>
      <c r="AB141" s="122"/>
      <c r="AC141" s="123"/>
      <c r="AD141" s="122"/>
      <c r="AE141" s="123"/>
      <c r="AF141" s="111"/>
      <c r="AG141" s="111"/>
      <c r="AH141" s="111"/>
    </row>
    <row r="142" spans="1:34">
      <c r="A142" s="49">
        <v>1</v>
      </c>
      <c r="B142" s="49" t="s">
        <v>166</v>
      </c>
      <c r="C142" s="49">
        <v>0.75</v>
      </c>
      <c r="D142" s="49">
        <v>-0.1</v>
      </c>
      <c r="E142" s="49">
        <v>0.35</v>
      </c>
      <c r="F142" s="109">
        <v>0.74990000000000001</v>
      </c>
      <c r="G142" s="106"/>
      <c r="H142" s="109">
        <v>-0.10009999999999999</v>
      </c>
      <c r="I142" s="106"/>
      <c r="J142" s="109">
        <v>0.34899999999999998</v>
      </c>
      <c r="K142" s="106"/>
      <c r="L142" s="109">
        <f t="shared" ref="L142:L161" si="30">ABS(F142-C142)*1000</f>
        <v>0.099999999999989</v>
      </c>
      <c r="M142" s="106"/>
      <c r="N142" s="109">
        <f t="shared" ref="N142:N161" si="31">ABS(H142-D142)*1000</f>
        <v>0.099999999999989</v>
      </c>
      <c r="O142" s="106"/>
      <c r="P142" s="109">
        <f t="shared" ref="P142:P161" si="32">ABS(J142-E142)*1000</f>
        <v>1</v>
      </c>
      <c r="Q142" s="106"/>
      <c r="R142" s="109">
        <f t="shared" ref="R142:R161" si="33">SQRT(SUMSQ(L142:Q142))</f>
        <v>1.00995049383621</v>
      </c>
      <c r="S142" s="106"/>
      <c r="T142" s="109">
        <f>_xlfn.STDEV.S(F142:G161)</f>
        <v>0.128186414420972</v>
      </c>
      <c r="U142" s="121"/>
      <c r="V142" s="109">
        <f>_xlfn.STDEV.S(H142:I161)</f>
        <v>0.205145099098688</v>
      </c>
      <c r="W142" s="121"/>
      <c r="X142" s="109">
        <f>_xlfn.STDEV.S(J142:K161)</f>
        <v>0.0357953628281653</v>
      </c>
      <c r="Y142" s="121"/>
      <c r="Z142" s="109">
        <v>1.5523</v>
      </c>
      <c r="AA142" s="106"/>
      <c r="AB142" s="109">
        <v>11.438599999999999</v>
      </c>
      <c r="AC142" s="106"/>
      <c r="AD142" s="109">
        <f t="shared" ref="AD142:AD161" si="34">AB142+Z142</f>
        <v>12.9909</v>
      </c>
      <c r="AE142" s="106"/>
      <c r="AF142" s="49" t="s">
        <v>167</v>
      </c>
      <c r="AG142" s="49">
        <v>1</v>
      </c>
      <c r="AH142" s="49" t="s">
        <v>137</v>
      </c>
    </row>
    <row r="143" spans="1:34">
      <c r="A143" s="49">
        <v>1</v>
      </c>
      <c r="B143" s="49" t="s">
        <v>169</v>
      </c>
      <c r="C143" s="49">
        <v>0.5</v>
      </c>
      <c r="D143" s="49">
        <v>0.3</v>
      </c>
      <c r="E143" s="49">
        <v>0.42</v>
      </c>
      <c r="F143" s="109">
        <v>0.50029999999999997</v>
      </c>
      <c r="G143" s="106"/>
      <c r="H143" s="109">
        <v>0.2999</v>
      </c>
      <c r="I143" s="106"/>
      <c r="J143" s="109">
        <v>0.42030000000000001</v>
      </c>
      <c r="K143" s="106"/>
      <c r="L143" s="109">
        <f t="shared" si="30"/>
        <v>0.299999999999967</v>
      </c>
      <c r="M143" s="106"/>
      <c r="N143" s="109">
        <f t="shared" si="31"/>
        <v>0.099999999999989</v>
      </c>
      <c r="O143" s="106"/>
      <c r="P143" s="109">
        <f t="shared" si="32"/>
        <v>0.300000000000022</v>
      </c>
      <c r="Q143" s="106"/>
      <c r="R143" s="109">
        <f t="shared" si="33"/>
        <v>0.435889894354058</v>
      </c>
      <c r="S143" s="106"/>
      <c r="T143" s="124"/>
      <c r="U143" s="125"/>
      <c r="V143" s="124"/>
      <c r="W143" s="125"/>
      <c r="X143" s="124"/>
      <c r="Y143" s="125"/>
      <c r="Z143" s="109">
        <v>1.5706</v>
      </c>
      <c r="AA143" s="106"/>
      <c r="AB143" s="109">
        <v>10.519600000000001</v>
      </c>
      <c r="AC143" s="106"/>
      <c r="AD143" s="109">
        <f t="shared" si="34"/>
        <v>12.0902</v>
      </c>
      <c r="AE143" s="106"/>
      <c r="AF143" s="49" t="s">
        <v>167</v>
      </c>
      <c r="AG143" s="49">
        <v>1</v>
      </c>
      <c r="AH143" s="49" t="s">
        <v>137</v>
      </c>
    </row>
    <row r="144" spans="1:34">
      <c r="A144" s="49">
        <v>2</v>
      </c>
      <c r="B144" s="49" t="s">
        <v>166</v>
      </c>
      <c r="C144" s="49">
        <v>0.75</v>
      </c>
      <c r="D144" s="49">
        <v>-0.1</v>
      </c>
      <c r="E144" s="49">
        <v>0.35</v>
      </c>
      <c r="F144" s="109">
        <v>0.75009999999999999</v>
      </c>
      <c r="G144" s="106"/>
      <c r="H144" s="109">
        <v>-9.9900000000000003E-2</v>
      </c>
      <c r="I144" s="106"/>
      <c r="J144" s="109">
        <v>0.34960000000000002</v>
      </c>
      <c r="K144" s="106"/>
      <c r="L144" s="109">
        <f t="shared" si="30"/>
        <v>0.099999999999989</v>
      </c>
      <c r="M144" s="106"/>
      <c r="N144" s="109">
        <f t="shared" si="31"/>
        <v>0.100000000000003</v>
      </c>
      <c r="O144" s="106"/>
      <c r="P144" s="109">
        <f t="shared" si="32"/>
        <v>0.399999999999956</v>
      </c>
      <c r="Q144" s="106"/>
      <c r="R144" s="109">
        <f t="shared" si="33"/>
        <v>0.424264068711885</v>
      </c>
      <c r="S144" s="106"/>
      <c r="T144" s="124"/>
      <c r="U144" s="125"/>
      <c r="V144" s="124"/>
      <c r="W144" s="125"/>
      <c r="X144" s="124"/>
      <c r="Y144" s="125"/>
      <c r="Z144" s="109">
        <v>1.5541</v>
      </c>
      <c r="AA144" s="106"/>
      <c r="AB144" s="109">
        <v>10.1699</v>
      </c>
      <c r="AC144" s="106"/>
      <c r="AD144" s="109">
        <f t="shared" si="34"/>
        <v>11.724</v>
      </c>
      <c r="AE144" s="106"/>
      <c r="AF144" s="49" t="s">
        <v>167</v>
      </c>
      <c r="AG144" s="49">
        <v>1</v>
      </c>
      <c r="AH144" s="49" t="s">
        <v>137</v>
      </c>
    </row>
    <row r="145" spans="1:34">
      <c r="A145" s="49">
        <v>2</v>
      </c>
      <c r="B145" s="49" t="s">
        <v>169</v>
      </c>
      <c r="C145" s="49">
        <v>0.5</v>
      </c>
      <c r="D145" s="49">
        <v>0.3</v>
      </c>
      <c r="E145" s="49">
        <v>0.42</v>
      </c>
      <c r="F145" s="109">
        <v>0.50029999999999997</v>
      </c>
      <c r="G145" s="106"/>
      <c r="H145" s="109">
        <v>0.29980000000000001</v>
      </c>
      <c r="I145" s="106"/>
      <c r="J145" s="109">
        <v>0.41889999999999999</v>
      </c>
      <c r="K145" s="106"/>
      <c r="L145" s="109">
        <f t="shared" si="30"/>
        <v>0.299999999999967</v>
      </c>
      <c r="M145" s="106"/>
      <c r="N145" s="109">
        <f t="shared" si="31"/>
        <v>0.199999999999978</v>
      </c>
      <c r="O145" s="106"/>
      <c r="P145" s="109">
        <f t="shared" si="32"/>
        <v>1.09999999999999</v>
      </c>
      <c r="Q145" s="106"/>
      <c r="R145" s="109">
        <f t="shared" si="33"/>
        <v>1.157583690279</v>
      </c>
      <c r="S145" s="106"/>
      <c r="T145" s="124"/>
      <c r="U145" s="125"/>
      <c r="V145" s="124"/>
      <c r="W145" s="125"/>
      <c r="X145" s="124"/>
      <c r="Y145" s="125"/>
      <c r="Z145" s="109">
        <v>1.5881000000000001</v>
      </c>
      <c r="AA145" s="106"/>
      <c r="AB145" s="109">
        <v>13.1244</v>
      </c>
      <c r="AC145" s="106"/>
      <c r="AD145" s="109">
        <f t="shared" si="34"/>
        <v>14.7125</v>
      </c>
      <c r="AE145" s="106"/>
      <c r="AF145" s="49" t="s">
        <v>167</v>
      </c>
      <c r="AG145" s="49">
        <v>1</v>
      </c>
      <c r="AH145" s="49" t="s">
        <v>137</v>
      </c>
    </row>
    <row r="146" spans="1:34">
      <c r="A146" s="49">
        <v>3</v>
      </c>
      <c r="B146" s="49" t="s">
        <v>166</v>
      </c>
      <c r="C146" s="49">
        <v>0.75</v>
      </c>
      <c r="D146" s="49">
        <v>-0.1</v>
      </c>
      <c r="E146" s="49">
        <v>0.35</v>
      </c>
      <c r="F146" s="109">
        <v>0.75019999999999998</v>
      </c>
      <c r="G146" s="106"/>
      <c r="H146" s="109">
        <v>-0.1004</v>
      </c>
      <c r="I146" s="106"/>
      <c r="J146" s="109">
        <v>0.35060000000000002</v>
      </c>
      <c r="K146" s="106"/>
      <c r="L146" s="109">
        <f t="shared" si="30"/>
        <v>0.199999999999978</v>
      </c>
      <c r="M146" s="106"/>
      <c r="N146" s="109">
        <f t="shared" si="31"/>
        <v>0.399999999999998</v>
      </c>
      <c r="O146" s="106"/>
      <c r="P146" s="109">
        <f t="shared" si="32"/>
        <v>0.600000000000045</v>
      </c>
      <c r="Q146" s="106"/>
      <c r="R146" s="109">
        <f t="shared" si="33"/>
        <v>0.748331477354817</v>
      </c>
      <c r="S146" s="106"/>
      <c r="T146" s="124"/>
      <c r="U146" s="125"/>
      <c r="V146" s="124"/>
      <c r="W146" s="125"/>
      <c r="X146" s="124"/>
      <c r="Y146" s="125"/>
      <c r="Z146" s="109">
        <v>1.5699000000000001</v>
      </c>
      <c r="AA146" s="106"/>
      <c r="AB146" s="109">
        <v>9.5755999999999997</v>
      </c>
      <c r="AC146" s="106"/>
      <c r="AD146" s="109">
        <f t="shared" si="34"/>
        <v>11.1455</v>
      </c>
      <c r="AE146" s="106"/>
      <c r="AF146" s="49" t="s">
        <v>167</v>
      </c>
      <c r="AG146" s="49">
        <v>1</v>
      </c>
      <c r="AH146" s="49" t="s">
        <v>137</v>
      </c>
    </row>
    <row r="147" spans="1:34">
      <c r="A147" s="49">
        <v>3</v>
      </c>
      <c r="B147" s="49" t="s">
        <v>169</v>
      </c>
      <c r="C147" s="49">
        <v>0.5</v>
      </c>
      <c r="D147" s="49">
        <v>0.3</v>
      </c>
      <c r="E147" s="49">
        <v>0.42</v>
      </c>
      <c r="F147" s="109">
        <v>0.50019999999999998</v>
      </c>
      <c r="G147" s="106"/>
      <c r="H147" s="109">
        <v>0.29980000000000001</v>
      </c>
      <c r="I147" s="106"/>
      <c r="J147" s="109">
        <v>0.4204</v>
      </c>
      <c r="K147" s="106"/>
      <c r="L147" s="109">
        <f t="shared" si="30"/>
        <v>0.199999999999978</v>
      </c>
      <c r="M147" s="106"/>
      <c r="N147" s="109">
        <f t="shared" si="31"/>
        <v>0.199999999999978</v>
      </c>
      <c r="O147" s="106"/>
      <c r="P147" s="109">
        <f t="shared" si="32"/>
        <v>0.400000000000011</v>
      </c>
      <c r="Q147" s="106"/>
      <c r="R147" s="109">
        <f t="shared" si="33"/>
        <v>0.489897948556627</v>
      </c>
      <c r="S147" s="106"/>
      <c r="T147" s="124"/>
      <c r="U147" s="125"/>
      <c r="V147" s="124"/>
      <c r="W147" s="125"/>
      <c r="X147" s="124"/>
      <c r="Y147" s="125"/>
      <c r="Z147" s="109">
        <v>1.5382</v>
      </c>
      <c r="AA147" s="106"/>
      <c r="AB147" s="109">
        <v>10.090199999999999</v>
      </c>
      <c r="AC147" s="106"/>
      <c r="AD147" s="109">
        <f t="shared" si="34"/>
        <v>11.6284</v>
      </c>
      <c r="AE147" s="106"/>
      <c r="AF147" s="49" t="s">
        <v>167</v>
      </c>
      <c r="AG147" s="49">
        <v>1</v>
      </c>
      <c r="AH147" s="49" t="s">
        <v>137</v>
      </c>
    </row>
    <row r="148" spans="1:34">
      <c r="A148" s="49">
        <v>4</v>
      </c>
      <c r="B148" s="49" t="s">
        <v>166</v>
      </c>
      <c r="C148" s="49">
        <v>0.75</v>
      </c>
      <c r="D148" s="49">
        <v>-0.1</v>
      </c>
      <c r="E148" s="49">
        <v>0.35</v>
      </c>
      <c r="F148" s="109">
        <v>0.75029999999999997</v>
      </c>
      <c r="G148" s="106"/>
      <c r="H148" s="109">
        <v>-9.9400000000000002E-2</v>
      </c>
      <c r="I148" s="106"/>
      <c r="J148" s="109">
        <v>0.35</v>
      </c>
      <c r="K148" s="106"/>
      <c r="L148" s="109">
        <f t="shared" si="30"/>
        <v>0.299999999999967</v>
      </c>
      <c r="M148" s="106"/>
      <c r="N148" s="109">
        <f t="shared" si="31"/>
        <v>0.600000000000003</v>
      </c>
      <c r="O148" s="106"/>
      <c r="P148" s="109">
        <f t="shared" si="32"/>
        <v>0</v>
      </c>
      <c r="Q148" s="106"/>
      <c r="R148" s="109">
        <f t="shared" si="33"/>
        <v>0.670820393249925</v>
      </c>
      <c r="S148" s="106"/>
      <c r="T148" s="124"/>
      <c r="U148" s="125"/>
      <c r="V148" s="124"/>
      <c r="W148" s="125"/>
      <c r="X148" s="124"/>
      <c r="Y148" s="125"/>
      <c r="Z148" s="109">
        <v>1.5672999999999999</v>
      </c>
      <c r="AA148" s="106"/>
      <c r="AB148" s="109">
        <v>11.5459</v>
      </c>
      <c r="AC148" s="106"/>
      <c r="AD148" s="109">
        <f t="shared" si="34"/>
        <v>13.1132</v>
      </c>
      <c r="AE148" s="106"/>
      <c r="AF148" s="49" t="s">
        <v>167</v>
      </c>
      <c r="AG148" s="49">
        <v>1</v>
      </c>
      <c r="AH148" s="49" t="s">
        <v>137</v>
      </c>
    </row>
    <row r="149" spans="1:34">
      <c r="A149" s="49">
        <v>4</v>
      </c>
      <c r="B149" s="49" t="s">
        <v>169</v>
      </c>
      <c r="C149" s="49">
        <v>0.5</v>
      </c>
      <c r="D149" s="49">
        <v>0.3</v>
      </c>
      <c r="E149" s="49">
        <v>0.42</v>
      </c>
      <c r="F149" s="109">
        <v>0.50060000000000004</v>
      </c>
      <c r="G149" s="106"/>
      <c r="H149" s="109">
        <v>0.29880000000000001</v>
      </c>
      <c r="I149" s="106"/>
      <c r="J149" s="109">
        <v>0.42099999999999999</v>
      </c>
      <c r="K149" s="106"/>
      <c r="L149" s="109">
        <f t="shared" si="30"/>
        <v>0.600000000000045</v>
      </c>
      <c r="M149" s="106"/>
      <c r="N149" s="109">
        <f t="shared" si="31"/>
        <v>1.19999999999998</v>
      </c>
      <c r="O149" s="106"/>
      <c r="P149" s="109">
        <f t="shared" si="32"/>
        <v>1</v>
      </c>
      <c r="Q149" s="106"/>
      <c r="R149" s="109">
        <f t="shared" si="33"/>
        <v>1.67332005306815</v>
      </c>
      <c r="S149" s="106"/>
      <c r="T149" s="124"/>
      <c r="U149" s="125"/>
      <c r="V149" s="124"/>
      <c r="W149" s="125"/>
      <c r="X149" s="124"/>
      <c r="Y149" s="125"/>
      <c r="Z149" s="109">
        <v>1.5838000000000001</v>
      </c>
      <c r="AA149" s="106"/>
      <c r="AB149" s="109">
        <v>10.5091</v>
      </c>
      <c r="AC149" s="106"/>
      <c r="AD149" s="109">
        <f t="shared" si="34"/>
        <v>12.0929</v>
      </c>
      <c r="AE149" s="106"/>
      <c r="AF149" s="49" t="s">
        <v>167</v>
      </c>
      <c r="AG149" s="49">
        <v>1</v>
      </c>
      <c r="AH149" s="49" t="s">
        <v>137</v>
      </c>
    </row>
    <row r="150" spans="1:34">
      <c r="A150" s="49">
        <v>5</v>
      </c>
      <c r="B150" s="49" t="s">
        <v>166</v>
      </c>
      <c r="C150" s="49">
        <v>0.75</v>
      </c>
      <c r="D150" s="49">
        <v>-0.1</v>
      </c>
      <c r="E150" s="49">
        <v>0.35</v>
      </c>
      <c r="F150" s="109">
        <v>0.75029999999999997</v>
      </c>
      <c r="G150" s="106"/>
      <c r="H150" s="109">
        <v>-0.1002</v>
      </c>
      <c r="I150" s="106"/>
      <c r="J150" s="109">
        <v>0.35099999999999998</v>
      </c>
      <c r="K150" s="106"/>
      <c r="L150" s="109">
        <f t="shared" si="30"/>
        <v>0.299999999999967</v>
      </c>
      <c r="M150" s="106"/>
      <c r="N150" s="109">
        <f t="shared" si="31"/>
        <v>0.199999999999992</v>
      </c>
      <c r="O150" s="106"/>
      <c r="P150" s="109">
        <f t="shared" si="32"/>
        <v>1</v>
      </c>
      <c r="Q150" s="106"/>
      <c r="R150" s="109">
        <f t="shared" si="33"/>
        <v>1.06301458127346</v>
      </c>
      <c r="S150" s="106"/>
      <c r="T150" s="124"/>
      <c r="U150" s="125"/>
      <c r="V150" s="124"/>
      <c r="W150" s="125"/>
      <c r="X150" s="124"/>
      <c r="Y150" s="125"/>
      <c r="Z150" s="109">
        <v>1.5429999999999999</v>
      </c>
      <c r="AA150" s="106"/>
      <c r="AB150" s="109">
        <v>7.7461000000000002</v>
      </c>
      <c r="AC150" s="106"/>
      <c r="AD150" s="109">
        <f t="shared" si="34"/>
        <v>9.2891</v>
      </c>
      <c r="AE150" s="106"/>
      <c r="AF150" s="49" t="s">
        <v>167</v>
      </c>
      <c r="AG150" s="49">
        <v>1</v>
      </c>
      <c r="AH150" s="49" t="s">
        <v>137</v>
      </c>
    </row>
    <row r="151" spans="1:34">
      <c r="A151" s="49">
        <v>5</v>
      </c>
      <c r="B151" s="49" t="s">
        <v>169</v>
      </c>
      <c r="C151" s="49">
        <v>0.5</v>
      </c>
      <c r="D151" s="49">
        <v>0.3</v>
      </c>
      <c r="E151" s="49">
        <v>0.42</v>
      </c>
      <c r="F151" s="109">
        <v>0.49930000000000002</v>
      </c>
      <c r="G151" s="106"/>
      <c r="H151" s="109">
        <v>0.30059999999999998</v>
      </c>
      <c r="I151" s="106"/>
      <c r="J151" s="109">
        <v>0.4214</v>
      </c>
      <c r="K151" s="106"/>
      <c r="L151" s="109">
        <f t="shared" si="30"/>
        <v>0.699999999999978</v>
      </c>
      <c r="M151" s="106"/>
      <c r="N151" s="109">
        <f t="shared" si="31"/>
        <v>0.599999999999989</v>
      </c>
      <c r="O151" s="106"/>
      <c r="P151" s="109">
        <f t="shared" si="32"/>
        <v>1.40000000000001</v>
      </c>
      <c r="Q151" s="106"/>
      <c r="R151" s="109">
        <f t="shared" si="33"/>
        <v>1.67630546142402</v>
      </c>
      <c r="S151" s="106"/>
      <c r="T151" s="124"/>
      <c r="U151" s="125"/>
      <c r="V151" s="124"/>
      <c r="W151" s="125"/>
      <c r="X151" s="124"/>
      <c r="Y151" s="125"/>
      <c r="Z151" s="109">
        <v>1.5638000000000001</v>
      </c>
      <c r="AA151" s="106"/>
      <c r="AB151" s="109">
        <v>8.6470000000000002</v>
      </c>
      <c r="AC151" s="106"/>
      <c r="AD151" s="109">
        <f t="shared" si="34"/>
        <v>10.2108</v>
      </c>
      <c r="AE151" s="106"/>
      <c r="AF151" s="49" t="s">
        <v>167</v>
      </c>
      <c r="AG151" s="49">
        <v>1</v>
      </c>
      <c r="AH151" s="49" t="s">
        <v>137</v>
      </c>
    </row>
    <row r="152" spans="1:34">
      <c r="A152" s="49">
        <v>6</v>
      </c>
      <c r="B152" s="49" t="s">
        <v>166</v>
      </c>
      <c r="C152" s="49">
        <v>0.75</v>
      </c>
      <c r="D152" s="49">
        <v>-0.1</v>
      </c>
      <c r="E152" s="49">
        <v>0.35</v>
      </c>
      <c r="F152" s="109">
        <v>0.74990000000000001</v>
      </c>
      <c r="G152" s="106"/>
      <c r="H152" s="109">
        <v>-9.9500000000000005E-2</v>
      </c>
      <c r="I152" s="106"/>
      <c r="J152" s="109">
        <v>0.35110000000000002</v>
      </c>
      <c r="K152" s="106"/>
      <c r="L152" s="109">
        <f t="shared" si="30"/>
        <v>0.099999999999989</v>
      </c>
      <c r="M152" s="106"/>
      <c r="N152" s="109">
        <f t="shared" si="31"/>
        <v>0.5</v>
      </c>
      <c r="O152" s="106"/>
      <c r="P152" s="109">
        <f t="shared" si="32"/>
        <v>1.10000000000005</v>
      </c>
      <c r="Q152" s="106"/>
      <c r="R152" s="109">
        <f t="shared" si="33"/>
        <v>1.21243556529825</v>
      </c>
      <c r="S152" s="106"/>
      <c r="T152" s="124"/>
      <c r="U152" s="125"/>
      <c r="V152" s="124"/>
      <c r="W152" s="125"/>
      <c r="X152" s="124"/>
      <c r="Y152" s="125"/>
      <c r="Z152" s="109">
        <v>1.5448999999999999</v>
      </c>
      <c r="AA152" s="106"/>
      <c r="AB152" s="109">
        <v>10.1144</v>
      </c>
      <c r="AC152" s="106"/>
      <c r="AD152" s="109">
        <f t="shared" si="34"/>
        <v>11.6593</v>
      </c>
      <c r="AE152" s="106"/>
      <c r="AF152" s="49" t="s">
        <v>167</v>
      </c>
      <c r="AG152" s="49">
        <v>1</v>
      </c>
      <c r="AH152" s="49" t="s">
        <v>137</v>
      </c>
    </row>
    <row r="153" spans="1:34">
      <c r="A153" s="49">
        <v>6</v>
      </c>
      <c r="B153" s="49" t="s">
        <v>169</v>
      </c>
      <c r="C153" s="49">
        <v>0.5</v>
      </c>
      <c r="D153" s="49">
        <v>0.3</v>
      </c>
      <c r="E153" s="49">
        <v>0.42</v>
      </c>
      <c r="F153" s="109">
        <v>0.49959999999999999</v>
      </c>
      <c r="G153" s="106"/>
      <c r="H153" s="109">
        <v>0.2994</v>
      </c>
      <c r="I153" s="106"/>
      <c r="J153" s="109">
        <v>0.41980000000000001</v>
      </c>
      <c r="K153" s="106"/>
      <c r="L153" s="109">
        <f t="shared" si="30"/>
        <v>0.400000000000011</v>
      </c>
      <c r="M153" s="106"/>
      <c r="N153" s="109">
        <f t="shared" si="31"/>
        <v>0.599999999999989</v>
      </c>
      <c r="O153" s="106"/>
      <c r="P153" s="109">
        <f t="shared" si="32"/>
        <v>0.199999999999978</v>
      </c>
      <c r="Q153" s="106"/>
      <c r="R153" s="109">
        <f t="shared" si="33"/>
        <v>0.74833147735478</v>
      </c>
      <c r="S153" s="106"/>
      <c r="T153" s="124"/>
      <c r="U153" s="125"/>
      <c r="V153" s="124"/>
      <c r="W153" s="125"/>
      <c r="X153" s="124"/>
      <c r="Y153" s="125"/>
      <c r="Z153" s="109">
        <v>1.5047999999999999</v>
      </c>
      <c r="AA153" s="106"/>
      <c r="AB153" s="109">
        <v>11.7662</v>
      </c>
      <c r="AC153" s="106"/>
      <c r="AD153" s="109">
        <f t="shared" si="34"/>
        <v>13.271</v>
      </c>
      <c r="AE153" s="106"/>
      <c r="AF153" s="49" t="s">
        <v>167</v>
      </c>
      <c r="AG153" s="49">
        <v>1</v>
      </c>
      <c r="AH153" s="49" t="s">
        <v>137</v>
      </c>
    </row>
    <row r="154" spans="1:34">
      <c r="A154" s="49">
        <v>7</v>
      </c>
      <c r="B154" s="49" t="s">
        <v>166</v>
      </c>
      <c r="C154" s="49">
        <v>0.75</v>
      </c>
      <c r="D154" s="49">
        <v>-0.1</v>
      </c>
      <c r="E154" s="49">
        <v>0.35</v>
      </c>
      <c r="F154" s="109">
        <v>0.74970000000000003</v>
      </c>
      <c r="G154" s="106"/>
      <c r="H154" s="109">
        <v>-9.9599999999999994E-2</v>
      </c>
      <c r="I154" s="106"/>
      <c r="J154" s="109">
        <v>0.35070000000000001</v>
      </c>
      <c r="K154" s="106"/>
      <c r="L154" s="109">
        <f t="shared" si="30"/>
        <v>0.299999999999967</v>
      </c>
      <c r="M154" s="106"/>
      <c r="N154" s="109">
        <f t="shared" si="31"/>
        <v>0.400000000000011</v>
      </c>
      <c r="O154" s="106"/>
      <c r="P154" s="109">
        <f t="shared" si="32"/>
        <v>0.700000000000034</v>
      </c>
      <c r="Q154" s="106"/>
      <c r="R154" s="109">
        <f t="shared" si="33"/>
        <v>0.860232526704284</v>
      </c>
      <c r="S154" s="106"/>
      <c r="T154" s="124"/>
      <c r="U154" s="125"/>
      <c r="V154" s="124"/>
      <c r="W154" s="125"/>
      <c r="X154" s="124"/>
      <c r="Y154" s="125"/>
      <c r="Z154" s="109">
        <v>1.6362000000000001</v>
      </c>
      <c r="AA154" s="106"/>
      <c r="AB154" s="109">
        <v>9.1420999999999992</v>
      </c>
      <c r="AC154" s="106"/>
      <c r="AD154" s="109">
        <f t="shared" si="34"/>
        <v>10.7783</v>
      </c>
      <c r="AE154" s="106"/>
      <c r="AF154" s="49" t="s">
        <v>167</v>
      </c>
      <c r="AG154" s="49">
        <v>1</v>
      </c>
      <c r="AH154" s="49" t="s">
        <v>137</v>
      </c>
    </row>
    <row r="155" spans="1:34">
      <c r="A155" s="49">
        <v>7</v>
      </c>
      <c r="B155" s="49" t="s">
        <v>169</v>
      </c>
      <c r="C155" s="49">
        <v>0.5</v>
      </c>
      <c r="D155" s="49">
        <v>0.3</v>
      </c>
      <c r="E155" s="49">
        <v>0.42</v>
      </c>
      <c r="F155" s="109">
        <v>0.4995</v>
      </c>
      <c r="G155" s="106"/>
      <c r="H155" s="109">
        <v>0.29959999999999998</v>
      </c>
      <c r="I155" s="106"/>
      <c r="J155" s="109">
        <v>0.41889999999999999</v>
      </c>
      <c r="K155" s="106"/>
      <c r="L155" s="109">
        <f t="shared" si="30"/>
        <v>0.5</v>
      </c>
      <c r="M155" s="106"/>
      <c r="N155" s="109">
        <f t="shared" si="31"/>
        <v>0.400000000000011</v>
      </c>
      <c r="O155" s="106"/>
      <c r="P155" s="109">
        <f t="shared" si="32"/>
        <v>1.09999999999999</v>
      </c>
      <c r="Q155" s="106"/>
      <c r="R155" s="109">
        <f t="shared" si="33"/>
        <v>1.27279220613578</v>
      </c>
      <c r="S155" s="106"/>
      <c r="T155" s="124"/>
      <c r="U155" s="125"/>
      <c r="V155" s="124"/>
      <c r="W155" s="125"/>
      <c r="X155" s="124"/>
      <c r="Y155" s="125"/>
      <c r="Z155" s="109">
        <v>1.5558000000000001</v>
      </c>
      <c r="AA155" s="106"/>
      <c r="AB155" s="109">
        <v>8.7723999999999993</v>
      </c>
      <c r="AC155" s="106"/>
      <c r="AD155" s="109">
        <f t="shared" si="34"/>
        <v>10.3282</v>
      </c>
      <c r="AE155" s="106"/>
      <c r="AF155" s="49" t="s">
        <v>167</v>
      </c>
      <c r="AG155" s="49">
        <v>1</v>
      </c>
      <c r="AH155" s="49" t="s">
        <v>137</v>
      </c>
    </row>
    <row r="156" spans="1:34">
      <c r="A156" s="49">
        <v>8</v>
      </c>
      <c r="B156" s="49" t="s">
        <v>166</v>
      </c>
      <c r="C156" s="49">
        <v>0.75</v>
      </c>
      <c r="D156" s="49">
        <v>-0.1</v>
      </c>
      <c r="E156" s="49">
        <v>0.35</v>
      </c>
      <c r="F156" s="109">
        <v>0.75060000000000004</v>
      </c>
      <c r="G156" s="106"/>
      <c r="H156" s="109">
        <v>-0.1011</v>
      </c>
      <c r="I156" s="106"/>
      <c r="J156" s="109">
        <v>0.35139999999999999</v>
      </c>
      <c r="K156" s="106"/>
      <c r="L156" s="109">
        <f t="shared" si="30"/>
        <v>0.600000000000045</v>
      </c>
      <c r="M156" s="106"/>
      <c r="N156" s="109">
        <f t="shared" si="31"/>
        <v>1.09999999999999</v>
      </c>
      <c r="O156" s="106"/>
      <c r="P156" s="109">
        <f t="shared" si="32"/>
        <v>1.40000000000001</v>
      </c>
      <c r="Q156" s="106"/>
      <c r="R156" s="109">
        <f t="shared" si="33"/>
        <v>1.87882942280561</v>
      </c>
      <c r="S156" s="106"/>
      <c r="T156" s="124"/>
      <c r="U156" s="125"/>
      <c r="V156" s="124"/>
      <c r="W156" s="125"/>
      <c r="X156" s="124"/>
      <c r="Y156" s="125"/>
      <c r="Z156" s="109">
        <v>1.5462</v>
      </c>
      <c r="AA156" s="106"/>
      <c r="AB156" s="109">
        <v>7.2595000000000001</v>
      </c>
      <c r="AC156" s="106"/>
      <c r="AD156" s="109">
        <f t="shared" si="34"/>
        <v>8.8057</v>
      </c>
      <c r="AE156" s="106"/>
      <c r="AF156" s="49" t="s">
        <v>167</v>
      </c>
      <c r="AG156" s="49">
        <v>1</v>
      </c>
      <c r="AH156" s="49" t="s">
        <v>137</v>
      </c>
    </row>
    <row r="157" spans="1:34">
      <c r="A157" s="49">
        <v>8</v>
      </c>
      <c r="B157" s="49" t="s">
        <v>169</v>
      </c>
      <c r="C157" s="49">
        <v>0.5</v>
      </c>
      <c r="D157" s="49">
        <v>0.3</v>
      </c>
      <c r="E157" s="49">
        <v>0.42</v>
      </c>
      <c r="F157" s="109">
        <v>0.50049999999999994</v>
      </c>
      <c r="G157" s="106"/>
      <c r="H157" s="109">
        <v>0.29920000000000002</v>
      </c>
      <c r="I157" s="106"/>
      <c r="J157" s="109">
        <v>0.41930000000000001</v>
      </c>
      <c r="K157" s="106"/>
      <c r="L157" s="109">
        <f t="shared" si="30"/>
        <v>0.499999999999945</v>
      </c>
      <c r="M157" s="106"/>
      <c r="N157" s="109">
        <f t="shared" si="31"/>
        <v>0.799999999999967</v>
      </c>
      <c r="O157" s="106"/>
      <c r="P157" s="109">
        <f t="shared" si="32"/>
        <v>0.699999999999978</v>
      </c>
      <c r="Q157" s="106"/>
      <c r="R157" s="109">
        <f t="shared" si="33"/>
        <v>1.17473401244701</v>
      </c>
      <c r="S157" s="106"/>
      <c r="T157" s="124"/>
      <c r="U157" s="125"/>
      <c r="V157" s="124"/>
      <c r="W157" s="125"/>
      <c r="X157" s="124"/>
      <c r="Y157" s="125"/>
      <c r="Z157" s="109">
        <v>1.5155000000000001</v>
      </c>
      <c r="AA157" s="106"/>
      <c r="AB157" s="109">
        <v>8.5561000000000007</v>
      </c>
      <c r="AC157" s="106"/>
      <c r="AD157" s="109">
        <f t="shared" si="34"/>
        <v>10.0716</v>
      </c>
      <c r="AE157" s="106"/>
      <c r="AF157" s="49" t="s">
        <v>167</v>
      </c>
      <c r="AG157" s="49">
        <v>1</v>
      </c>
      <c r="AH157" s="49" t="s">
        <v>137</v>
      </c>
    </row>
    <row r="158" spans="1:34">
      <c r="A158" s="49">
        <v>9</v>
      </c>
      <c r="B158" s="49" t="s">
        <v>166</v>
      </c>
      <c r="C158" s="49">
        <v>0.75</v>
      </c>
      <c r="D158" s="49">
        <v>-0.1</v>
      </c>
      <c r="E158" s="49">
        <v>0.35</v>
      </c>
      <c r="F158" s="109">
        <v>0.74970000000000003</v>
      </c>
      <c r="G158" s="106"/>
      <c r="H158" s="109">
        <v>-0.1002</v>
      </c>
      <c r="I158" s="106"/>
      <c r="J158" s="109">
        <v>0.34920000000000001</v>
      </c>
      <c r="K158" s="106"/>
      <c r="L158" s="109">
        <f t="shared" si="30"/>
        <v>0.299999999999967</v>
      </c>
      <c r="M158" s="106"/>
      <c r="N158" s="109">
        <f t="shared" si="31"/>
        <v>0.199999999999992</v>
      </c>
      <c r="O158" s="106"/>
      <c r="P158" s="109">
        <f t="shared" si="32"/>
        <v>0.799999999999967</v>
      </c>
      <c r="Q158" s="106"/>
      <c r="R158" s="109">
        <f t="shared" si="33"/>
        <v>0.877496438739169</v>
      </c>
      <c r="S158" s="106"/>
      <c r="T158" s="124"/>
      <c r="U158" s="125"/>
      <c r="V158" s="124"/>
      <c r="W158" s="125"/>
      <c r="X158" s="124"/>
      <c r="Y158" s="125"/>
      <c r="Z158" s="109">
        <v>1.6201000000000001</v>
      </c>
      <c r="AA158" s="106"/>
      <c r="AB158" s="109">
        <v>9.1182999999999996</v>
      </c>
      <c r="AC158" s="106"/>
      <c r="AD158" s="109">
        <f t="shared" si="34"/>
        <v>10.7384</v>
      </c>
      <c r="AE158" s="106"/>
      <c r="AF158" s="49" t="s">
        <v>167</v>
      </c>
      <c r="AG158" s="49">
        <v>1</v>
      </c>
      <c r="AH158" s="49" t="s">
        <v>137</v>
      </c>
    </row>
    <row r="159" spans="1:34">
      <c r="A159" s="49">
        <v>9</v>
      </c>
      <c r="B159" s="49" t="s">
        <v>169</v>
      </c>
      <c r="C159" s="49">
        <v>0.5</v>
      </c>
      <c r="D159" s="49">
        <v>0.3</v>
      </c>
      <c r="E159" s="49">
        <v>0.42</v>
      </c>
      <c r="F159" s="109">
        <v>0.50090000000000001</v>
      </c>
      <c r="G159" s="106"/>
      <c r="H159" s="109">
        <v>0.30059999999999998</v>
      </c>
      <c r="I159" s="106"/>
      <c r="J159" s="109">
        <v>0.42059999999999997</v>
      </c>
      <c r="K159" s="106"/>
      <c r="L159" s="109">
        <f t="shared" si="30"/>
        <v>0.900000000000012</v>
      </c>
      <c r="M159" s="106"/>
      <c r="N159" s="109">
        <f t="shared" si="31"/>
        <v>0.599999999999989</v>
      </c>
      <c r="O159" s="106"/>
      <c r="P159" s="109">
        <f t="shared" si="32"/>
        <v>0.599999999999989</v>
      </c>
      <c r="Q159" s="106"/>
      <c r="R159" s="109">
        <f t="shared" si="33"/>
        <v>1.2369316876853</v>
      </c>
      <c r="S159" s="106"/>
      <c r="T159" s="124"/>
      <c r="U159" s="125"/>
      <c r="V159" s="124"/>
      <c r="W159" s="125"/>
      <c r="X159" s="124"/>
      <c r="Y159" s="125"/>
      <c r="Z159" s="109">
        <v>1.5043</v>
      </c>
      <c r="AA159" s="106"/>
      <c r="AB159" s="109">
        <v>11.5991</v>
      </c>
      <c r="AC159" s="106"/>
      <c r="AD159" s="109">
        <f t="shared" si="34"/>
        <v>13.1034</v>
      </c>
      <c r="AE159" s="106"/>
      <c r="AF159" s="49" t="s">
        <v>167</v>
      </c>
      <c r="AG159" s="49">
        <v>1</v>
      </c>
      <c r="AH159" s="49" t="s">
        <v>137</v>
      </c>
    </row>
    <row r="160" spans="1:34">
      <c r="A160" s="49">
        <v>10</v>
      </c>
      <c r="B160" s="49" t="s">
        <v>166</v>
      </c>
      <c r="C160" s="49">
        <v>0.75</v>
      </c>
      <c r="D160" s="49">
        <v>-0.1</v>
      </c>
      <c r="E160" s="49">
        <v>0.35</v>
      </c>
      <c r="F160" s="109">
        <v>0.74970000000000003</v>
      </c>
      <c r="G160" s="106"/>
      <c r="H160" s="109">
        <v>-0.1004</v>
      </c>
      <c r="I160" s="106"/>
      <c r="J160" s="109">
        <v>0.35039999999999999</v>
      </c>
      <c r="K160" s="106"/>
      <c r="L160" s="109">
        <f t="shared" si="30"/>
        <v>0.299999999999967</v>
      </c>
      <c r="M160" s="106"/>
      <c r="N160" s="109">
        <f t="shared" si="31"/>
        <v>0.399999999999998</v>
      </c>
      <c r="O160" s="106"/>
      <c r="P160" s="109">
        <f t="shared" si="32"/>
        <v>0.400000000000011</v>
      </c>
      <c r="Q160" s="106"/>
      <c r="R160" s="109">
        <f t="shared" si="33"/>
        <v>0.640312423743275</v>
      </c>
      <c r="S160" s="106"/>
      <c r="T160" s="124"/>
      <c r="U160" s="125"/>
      <c r="V160" s="124"/>
      <c r="W160" s="125"/>
      <c r="X160" s="124"/>
      <c r="Y160" s="125"/>
      <c r="Z160" s="109">
        <v>1.5409999999999999</v>
      </c>
      <c r="AA160" s="106"/>
      <c r="AB160" s="109">
        <v>7.0781000000000001</v>
      </c>
      <c r="AC160" s="106"/>
      <c r="AD160" s="109">
        <f t="shared" si="34"/>
        <v>8.6191</v>
      </c>
      <c r="AE160" s="106"/>
      <c r="AF160" s="49" t="s">
        <v>167</v>
      </c>
      <c r="AG160" s="49">
        <v>1</v>
      </c>
      <c r="AH160" s="49" t="s">
        <v>137</v>
      </c>
    </row>
    <row r="161" spans="1:34">
      <c r="A161" s="49">
        <v>10</v>
      </c>
      <c r="B161" s="49" t="s">
        <v>169</v>
      </c>
      <c r="C161" s="49">
        <v>0.5</v>
      </c>
      <c r="D161" s="49">
        <v>0.3</v>
      </c>
      <c r="E161" s="49">
        <v>0.42</v>
      </c>
      <c r="F161" s="109">
        <v>0.50039999999999996</v>
      </c>
      <c r="G161" s="106"/>
      <c r="H161" s="109">
        <v>0.30049999999999999</v>
      </c>
      <c r="I161" s="106"/>
      <c r="J161" s="109">
        <v>0.42</v>
      </c>
      <c r="K161" s="106"/>
      <c r="L161" s="109">
        <f t="shared" si="30"/>
        <v>0.399999999999956</v>
      </c>
      <c r="M161" s="106"/>
      <c r="N161" s="109">
        <f t="shared" si="31"/>
        <v>0.5</v>
      </c>
      <c r="O161" s="106"/>
      <c r="P161" s="109">
        <f t="shared" si="32"/>
        <v>0</v>
      </c>
      <c r="Q161" s="106"/>
      <c r="R161" s="109">
        <f t="shared" si="33"/>
        <v>0.640312423743258</v>
      </c>
      <c r="S161" s="106"/>
      <c r="T161" s="122"/>
      <c r="U161" s="123"/>
      <c r="V161" s="122"/>
      <c r="W161" s="123"/>
      <c r="X161" s="122"/>
      <c r="Y161" s="123"/>
      <c r="Z161" s="109">
        <v>1.5208999999999999</v>
      </c>
      <c r="AA161" s="106"/>
      <c r="AB161" s="109">
        <v>9.7861999999999991</v>
      </c>
      <c r="AC161" s="106"/>
      <c r="AD161" s="109">
        <f t="shared" si="34"/>
        <v>11.3071</v>
      </c>
      <c r="AE161" s="106"/>
      <c r="AF161" s="49" t="s">
        <v>167</v>
      </c>
      <c r="AG161" s="49">
        <v>1</v>
      </c>
      <c r="AH161" s="49" t="s">
        <v>137</v>
      </c>
    </row>
    <row r="162" spans="1:34">
      <c r="A162" s="112" t="s">
        <v>177</v>
      </c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6"/>
    </row>
    <row r="163" spans="1:34" ht="8.85" customHeight="1">
      <c r="A163" s="107" t="s">
        <v>126</v>
      </c>
      <c r="B163" s="107" t="s">
        <v>143</v>
      </c>
      <c r="C163" s="107" t="s">
        <v>144</v>
      </c>
      <c r="D163" s="107" t="s">
        <v>145</v>
      </c>
      <c r="E163" s="107" t="s">
        <v>146</v>
      </c>
      <c r="F163" s="107" t="s">
        <v>147</v>
      </c>
      <c r="G163" s="121"/>
      <c r="H163" s="107" t="s">
        <v>148</v>
      </c>
      <c r="I163" s="121"/>
      <c r="J163" s="107" t="s">
        <v>149</v>
      </c>
      <c r="K163" s="121"/>
      <c r="L163" s="114" t="s">
        <v>150</v>
      </c>
      <c r="M163" s="121"/>
      <c r="N163" s="114" t="s">
        <v>151</v>
      </c>
      <c r="O163" s="121"/>
      <c r="P163" s="114" t="s">
        <v>152</v>
      </c>
      <c r="Q163" s="121"/>
      <c r="R163" s="107" t="s">
        <v>153</v>
      </c>
      <c r="S163" s="121"/>
      <c r="T163" s="107" t="s">
        <v>154</v>
      </c>
      <c r="U163" s="121"/>
      <c r="V163" s="107" t="s">
        <v>155</v>
      </c>
      <c r="W163" s="121"/>
      <c r="X163" s="107" t="s">
        <v>156</v>
      </c>
      <c r="Y163" s="121"/>
      <c r="Z163" s="107" t="s">
        <v>157</v>
      </c>
      <c r="AA163" s="121"/>
      <c r="AB163" s="107" t="s">
        <v>158</v>
      </c>
      <c r="AC163" s="121"/>
      <c r="AD163" s="107" t="s">
        <v>159</v>
      </c>
      <c r="AE163" s="121"/>
      <c r="AF163" s="107" t="s">
        <v>160</v>
      </c>
      <c r="AG163" s="107" t="s">
        <v>162</v>
      </c>
      <c r="AH163" s="107" t="s">
        <v>163</v>
      </c>
    </row>
    <row r="164" spans="1:34">
      <c r="A164" s="111"/>
      <c r="B164" s="111"/>
      <c r="C164" s="111"/>
      <c r="D164" s="111"/>
      <c r="E164" s="111"/>
      <c r="F164" s="122"/>
      <c r="G164" s="123"/>
      <c r="H164" s="122"/>
      <c r="I164" s="123"/>
      <c r="J164" s="122"/>
      <c r="K164" s="123"/>
      <c r="L164" s="122"/>
      <c r="M164" s="123"/>
      <c r="N164" s="122"/>
      <c r="O164" s="123"/>
      <c r="P164" s="122"/>
      <c r="Q164" s="123"/>
      <c r="R164" s="122"/>
      <c r="S164" s="123"/>
      <c r="T164" s="122"/>
      <c r="U164" s="123"/>
      <c r="V164" s="122"/>
      <c r="W164" s="123"/>
      <c r="X164" s="122"/>
      <c r="Y164" s="123"/>
      <c r="Z164" s="122"/>
      <c r="AA164" s="123"/>
      <c r="AB164" s="122"/>
      <c r="AC164" s="123"/>
      <c r="AD164" s="122"/>
      <c r="AE164" s="123"/>
      <c r="AF164" s="111"/>
      <c r="AG164" s="111"/>
      <c r="AH164" s="111"/>
    </row>
    <row r="165" spans="1:34">
      <c r="A165" s="49">
        <v>1</v>
      </c>
      <c r="B165" s="49" t="s">
        <v>166</v>
      </c>
      <c r="C165" s="49">
        <v>0.55000000000000004</v>
      </c>
      <c r="D165" s="49">
        <v>0.3</v>
      </c>
      <c r="E165" s="49">
        <v>0.35</v>
      </c>
      <c r="F165" s="109">
        <v>0.54949999999999999</v>
      </c>
      <c r="G165" s="106"/>
      <c r="H165" s="109">
        <v>0.29920000000000002</v>
      </c>
      <c r="I165" s="106"/>
      <c r="J165" s="109">
        <v>0.3508</v>
      </c>
      <c r="K165" s="106"/>
      <c r="L165" s="109">
        <f t="shared" ref="L165:L184" si="35">ABS(F165-C165)*1000</f>
        <v>0.500000000000056</v>
      </c>
      <c r="M165" s="106"/>
      <c r="N165" s="109">
        <f t="shared" ref="N165:N184" si="36">ABS(H165-D165)*1000</f>
        <v>0.799999999999967</v>
      </c>
      <c r="O165" s="106"/>
      <c r="P165" s="109">
        <f t="shared" ref="P165:P184" si="37">ABS(J165-E165)*1000</f>
        <v>0.800000000000023</v>
      </c>
      <c r="Q165" s="106"/>
      <c r="R165" s="109">
        <f t="shared" ref="R165:R184" si="38">SQRT(SUMSQ(L165,N165,P165))</f>
        <v>1.23693168768531</v>
      </c>
      <c r="S165" s="106"/>
      <c r="T165" s="109">
        <f>_xlfn.STDEV.S(F165:G184)</f>
        <v>0.102696827578737</v>
      </c>
      <c r="U165" s="121"/>
      <c r="V165" s="109">
        <f>_xlfn.STDEV.S(H165:I184)</f>
        <v>0.282206147308926</v>
      </c>
      <c r="W165" s="121"/>
      <c r="X165" s="109">
        <f>_xlfn.STDEV.S(J165:K184)</f>
        <v>0.036020086136254</v>
      </c>
      <c r="Y165" s="121"/>
      <c r="Z165" s="109">
        <v>1.5439000000000001</v>
      </c>
      <c r="AA165" s="106"/>
      <c r="AB165" s="109">
        <v>11.041499999999999</v>
      </c>
      <c r="AC165" s="106"/>
      <c r="AD165" s="109">
        <f t="shared" ref="AD165:AD184" si="39">AB165+Z165</f>
        <v>12.5854</v>
      </c>
      <c r="AE165" s="106"/>
      <c r="AF165" s="49" t="s">
        <v>167</v>
      </c>
      <c r="AG165" s="49">
        <v>1</v>
      </c>
      <c r="AH165" s="49" t="s">
        <v>137</v>
      </c>
    </row>
    <row r="166" spans="1:34">
      <c r="A166" s="49">
        <v>1</v>
      </c>
      <c r="B166" s="49" t="s">
        <v>169</v>
      </c>
      <c r="C166" s="49">
        <v>0.75</v>
      </c>
      <c r="D166" s="49">
        <v>-0.25</v>
      </c>
      <c r="E166" s="49">
        <v>0.42</v>
      </c>
      <c r="F166" s="109">
        <v>0.75060000000000004</v>
      </c>
      <c r="G166" s="106"/>
      <c r="H166" s="109">
        <v>-0.25019999999999998</v>
      </c>
      <c r="I166" s="106"/>
      <c r="J166" s="109">
        <v>0.42059999999999997</v>
      </c>
      <c r="K166" s="106"/>
      <c r="L166" s="109">
        <f t="shared" si="35"/>
        <v>0.600000000000045</v>
      </c>
      <c r="M166" s="106"/>
      <c r="N166" s="109">
        <f t="shared" si="36"/>
        <v>0.199999999999978</v>
      </c>
      <c r="O166" s="106"/>
      <c r="P166" s="109">
        <f t="shared" si="37"/>
        <v>0.599999999999989</v>
      </c>
      <c r="Q166" s="106"/>
      <c r="R166" s="109">
        <f t="shared" si="38"/>
        <v>0.871779788708153</v>
      </c>
      <c r="S166" s="106"/>
      <c r="T166" s="124"/>
      <c r="U166" s="125"/>
      <c r="V166" s="124"/>
      <c r="W166" s="125"/>
      <c r="X166" s="124"/>
      <c r="Y166" s="125"/>
      <c r="Z166" s="109">
        <v>1.5298</v>
      </c>
      <c r="AA166" s="106"/>
      <c r="AB166" s="109">
        <v>10.2363</v>
      </c>
      <c r="AC166" s="106"/>
      <c r="AD166" s="109">
        <f t="shared" si="39"/>
        <v>11.7661</v>
      </c>
      <c r="AE166" s="106"/>
      <c r="AF166" s="49" t="s">
        <v>167</v>
      </c>
      <c r="AG166" s="49">
        <v>1</v>
      </c>
      <c r="AH166" s="49" t="s">
        <v>137</v>
      </c>
    </row>
    <row r="167" spans="1:34">
      <c r="A167" s="49">
        <v>2</v>
      </c>
      <c r="B167" s="49" t="s">
        <v>166</v>
      </c>
      <c r="C167" s="49">
        <v>0.55000000000000004</v>
      </c>
      <c r="D167" s="49">
        <v>0.3</v>
      </c>
      <c r="E167" s="49">
        <v>0.35</v>
      </c>
      <c r="F167" s="109">
        <v>0.55079999999999996</v>
      </c>
      <c r="G167" s="106"/>
      <c r="H167" s="109">
        <v>0.29980000000000001</v>
      </c>
      <c r="I167" s="106"/>
      <c r="J167" s="109">
        <v>0.35010000000000002</v>
      </c>
      <c r="K167" s="106"/>
      <c r="L167" s="109">
        <f t="shared" si="35"/>
        <v>0.799999999999912</v>
      </c>
      <c r="M167" s="106"/>
      <c r="N167" s="109">
        <f t="shared" si="36"/>
        <v>0.199999999999978</v>
      </c>
      <c r="O167" s="106"/>
      <c r="P167" s="109">
        <f t="shared" si="37"/>
        <v>0.100000000000045</v>
      </c>
      <c r="Q167" s="106"/>
      <c r="R167" s="109">
        <f t="shared" si="38"/>
        <v>0.830662386291723</v>
      </c>
      <c r="S167" s="106"/>
      <c r="T167" s="124"/>
      <c r="U167" s="125"/>
      <c r="V167" s="124"/>
      <c r="W167" s="125"/>
      <c r="X167" s="124"/>
      <c r="Y167" s="125"/>
      <c r="Z167" s="109">
        <v>1.5633999999999999</v>
      </c>
      <c r="AA167" s="106"/>
      <c r="AB167" s="109">
        <v>11.039899999999999</v>
      </c>
      <c r="AC167" s="106"/>
      <c r="AD167" s="109">
        <f t="shared" si="39"/>
        <v>12.6033</v>
      </c>
      <c r="AE167" s="106"/>
      <c r="AF167" s="49" t="s">
        <v>167</v>
      </c>
      <c r="AG167" s="49">
        <v>1</v>
      </c>
      <c r="AH167" s="49" t="s">
        <v>137</v>
      </c>
    </row>
    <row r="168" spans="1:34">
      <c r="A168" s="49">
        <v>2</v>
      </c>
      <c r="B168" s="49" t="s">
        <v>169</v>
      </c>
      <c r="C168" s="49">
        <v>0.75</v>
      </c>
      <c r="D168" s="49">
        <v>-0.25</v>
      </c>
      <c r="E168" s="49">
        <v>0.42</v>
      </c>
      <c r="F168" s="109">
        <v>0.75019999999999998</v>
      </c>
      <c r="G168" s="106"/>
      <c r="H168" s="109">
        <v>-0.25040000000000001</v>
      </c>
      <c r="I168" s="106"/>
      <c r="J168" s="109">
        <v>0.42109999999999997</v>
      </c>
      <c r="K168" s="106"/>
      <c r="L168" s="109">
        <f t="shared" si="35"/>
        <v>0.199999999999978</v>
      </c>
      <c r="M168" s="106"/>
      <c r="N168" s="109">
        <f t="shared" si="36"/>
        <v>0.400000000000011</v>
      </c>
      <c r="O168" s="106"/>
      <c r="P168" s="109">
        <f t="shared" si="37"/>
        <v>1.09999999999999</v>
      </c>
      <c r="Q168" s="106"/>
      <c r="R168" s="109">
        <f t="shared" si="38"/>
        <v>1.18743420870378</v>
      </c>
      <c r="S168" s="106"/>
      <c r="T168" s="124"/>
      <c r="U168" s="125"/>
      <c r="V168" s="124"/>
      <c r="W168" s="125"/>
      <c r="X168" s="124"/>
      <c r="Y168" s="125"/>
      <c r="Z168" s="109">
        <v>1.5379</v>
      </c>
      <c r="AA168" s="106"/>
      <c r="AB168" s="109">
        <v>8.9293999999999993</v>
      </c>
      <c r="AC168" s="106"/>
      <c r="AD168" s="109">
        <f t="shared" si="39"/>
        <v>10.4673</v>
      </c>
      <c r="AE168" s="106"/>
      <c r="AF168" s="49" t="s">
        <v>167</v>
      </c>
      <c r="AG168" s="49">
        <v>1</v>
      </c>
      <c r="AH168" s="49" t="s">
        <v>137</v>
      </c>
    </row>
    <row r="169" spans="1:34">
      <c r="A169" s="49">
        <v>3</v>
      </c>
      <c r="B169" s="49" t="s">
        <v>166</v>
      </c>
      <c r="C169" s="49">
        <v>0.55000000000000004</v>
      </c>
      <c r="D169" s="49">
        <v>0.3</v>
      </c>
      <c r="E169" s="49">
        <v>0.35</v>
      </c>
      <c r="F169" s="109">
        <v>0.55000000000000004</v>
      </c>
      <c r="G169" s="106"/>
      <c r="H169" s="109">
        <v>0.29930000000000001</v>
      </c>
      <c r="I169" s="106"/>
      <c r="J169" s="109">
        <v>0.3498</v>
      </c>
      <c r="K169" s="106"/>
      <c r="L169" s="109">
        <f t="shared" si="35"/>
        <v>0</v>
      </c>
      <c r="M169" s="106"/>
      <c r="N169" s="109">
        <f t="shared" si="36"/>
        <v>0.699999999999978</v>
      </c>
      <c r="O169" s="106"/>
      <c r="P169" s="109">
        <f t="shared" si="37"/>
        <v>0.199999999999978</v>
      </c>
      <c r="Q169" s="106"/>
      <c r="R169" s="109">
        <f t="shared" si="38"/>
        <v>0.728010988928025</v>
      </c>
      <c r="S169" s="106"/>
      <c r="T169" s="124"/>
      <c r="U169" s="125"/>
      <c r="V169" s="124"/>
      <c r="W169" s="125"/>
      <c r="X169" s="124"/>
      <c r="Y169" s="125"/>
      <c r="Z169" s="109">
        <v>1.5766</v>
      </c>
      <c r="AA169" s="106"/>
      <c r="AB169" s="109">
        <v>10.2723</v>
      </c>
      <c r="AC169" s="106"/>
      <c r="AD169" s="109">
        <f t="shared" si="39"/>
        <v>11.8489</v>
      </c>
      <c r="AE169" s="106"/>
      <c r="AF169" s="49" t="s">
        <v>167</v>
      </c>
      <c r="AG169" s="49">
        <v>1</v>
      </c>
      <c r="AH169" s="49" t="s">
        <v>137</v>
      </c>
    </row>
    <row r="170" spans="1:34">
      <c r="A170" s="49">
        <v>3</v>
      </c>
      <c r="B170" s="49" t="s">
        <v>169</v>
      </c>
      <c r="C170" s="49">
        <v>0.75</v>
      </c>
      <c r="D170" s="49">
        <v>-0.25</v>
      </c>
      <c r="E170" s="49">
        <v>0.42</v>
      </c>
      <c r="F170" s="109">
        <v>0.75049999999999994</v>
      </c>
      <c r="G170" s="106"/>
      <c r="H170" s="109">
        <v>-0.25019999999999998</v>
      </c>
      <c r="I170" s="106"/>
      <c r="J170" s="109">
        <v>0.42030000000000001</v>
      </c>
      <c r="K170" s="106"/>
      <c r="L170" s="109">
        <f t="shared" si="35"/>
        <v>0.499999999999945</v>
      </c>
      <c r="M170" s="106"/>
      <c r="N170" s="109">
        <f t="shared" si="36"/>
        <v>0.199999999999978</v>
      </c>
      <c r="O170" s="106"/>
      <c r="P170" s="109">
        <f t="shared" si="37"/>
        <v>0.300000000000022</v>
      </c>
      <c r="Q170" s="106"/>
      <c r="R170" s="109">
        <f t="shared" si="38"/>
        <v>0.616441400296857</v>
      </c>
      <c r="S170" s="106"/>
      <c r="T170" s="124"/>
      <c r="U170" s="125"/>
      <c r="V170" s="124"/>
      <c r="W170" s="125"/>
      <c r="X170" s="124"/>
      <c r="Y170" s="125"/>
      <c r="Z170" s="109">
        <v>1.5482</v>
      </c>
      <c r="AA170" s="106"/>
      <c r="AB170" s="109">
        <v>10.2323</v>
      </c>
      <c r="AC170" s="106"/>
      <c r="AD170" s="109">
        <f t="shared" si="39"/>
        <v>11.7805</v>
      </c>
      <c r="AE170" s="106"/>
      <c r="AF170" s="49" t="s">
        <v>167</v>
      </c>
      <c r="AG170" s="49">
        <v>1</v>
      </c>
      <c r="AH170" s="49" t="s">
        <v>137</v>
      </c>
    </row>
    <row r="171" spans="1:34">
      <c r="A171" s="49">
        <v>4</v>
      </c>
      <c r="B171" s="49" t="s">
        <v>166</v>
      </c>
      <c r="C171" s="49">
        <v>0.55000000000000004</v>
      </c>
      <c r="D171" s="49">
        <v>0.3</v>
      </c>
      <c r="E171" s="49">
        <v>0.35</v>
      </c>
      <c r="F171" s="109">
        <v>0.54969999999999997</v>
      </c>
      <c r="G171" s="106"/>
      <c r="H171" s="109">
        <v>0.3</v>
      </c>
      <c r="I171" s="106"/>
      <c r="J171" s="109">
        <v>0.34949999999999998</v>
      </c>
      <c r="K171" s="106"/>
      <c r="L171" s="109">
        <f t="shared" si="35"/>
        <v>0.300000000000078</v>
      </c>
      <c r="M171" s="106"/>
      <c r="N171" s="109">
        <f t="shared" si="36"/>
        <v>0</v>
      </c>
      <c r="O171" s="106"/>
      <c r="P171" s="109">
        <f t="shared" si="37"/>
        <v>0.5</v>
      </c>
      <c r="Q171" s="106"/>
      <c r="R171" s="109">
        <f t="shared" si="38"/>
        <v>0.583095189484571</v>
      </c>
      <c r="S171" s="106"/>
      <c r="T171" s="124"/>
      <c r="U171" s="125"/>
      <c r="V171" s="124"/>
      <c r="W171" s="125"/>
      <c r="X171" s="124"/>
      <c r="Y171" s="125"/>
      <c r="Z171" s="109">
        <v>1.6693</v>
      </c>
      <c r="AA171" s="106"/>
      <c r="AB171" s="109">
        <v>11.4976</v>
      </c>
      <c r="AC171" s="106"/>
      <c r="AD171" s="109">
        <f t="shared" si="39"/>
        <v>13.1669</v>
      </c>
      <c r="AE171" s="106"/>
      <c r="AF171" s="49" t="s">
        <v>167</v>
      </c>
      <c r="AG171" s="49">
        <v>1</v>
      </c>
      <c r="AH171" s="49" t="s">
        <v>137</v>
      </c>
    </row>
    <row r="172" spans="1:34">
      <c r="A172" s="49">
        <v>4</v>
      </c>
      <c r="B172" s="49" t="s">
        <v>169</v>
      </c>
      <c r="C172" s="49">
        <v>0.75</v>
      </c>
      <c r="D172" s="49">
        <v>-0.25</v>
      </c>
      <c r="E172" s="49">
        <v>0.42</v>
      </c>
      <c r="F172" s="109">
        <v>0.74939999999999996</v>
      </c>
      <c r="G172" s="106"/>
      <c r="H172" s="109">
        <v>-0.2505</v>
      </c>
      <c r="I172" s="106"/>
      <c r="J172" s="109">
        <v>0.42020000000000002</v>
      </c>
      <c r="K172" s="106"/>
      <c r="L172" s="109">
        <f t="shared" si="35"/>
        <v>0.600000000000045</v>
      </c>
      <c r="M172" s="106"/>
      <c r="N172" s="109">
        <f t="shared" si="36"/>
        <v>0.5</v>
      </c>
      <c r="O172" s="106"/>
      <c r="P172" s="109">
        <f t="shared" si="37"/>
        <v>0.200000000000033</v>
      </c>
      <c r="Q172" s="106"/>
      <c r="R172" s="109">
        <f t="shared" si="38"/>
        <v>0.806225774829897</v>
      </c>
      <c r="S172" s="106"/>
      <c r="T172" s="124"/>
      <c r="U172" s="125"/>
      <c r="V172" s="124"/>
      <c r="W172" s="125"/>
      <c r="X172" s="124"/>
      <c r="Y172" s="125"/>
      <c r="Z172" s="109">
        <v>1.6253</v>
      </c>
      <c r="AA172" s="106"/>
      <c r="AB172" s="109">
        <v>11.5787</v>
      </c>
      <c r="AC172" s="106"/>
      <c r="AD172" s="109">
        <f t="shared" si="39"/>
        <v>13.204</v>
      </c>
      <c r="AE172" s="106"/>
      <c r="AF172" s="49" t="s">
        <v>167</v>
      </c>
      <c r="AG172" s="49">
        <v>1</v>
      </c>
      <c r="AH172" s="49" t="s">
        <v>137</v>
      </c>
    </row>
    <row r="173" spans="1:34">
      <c r="A173" s="49">
        <v>5</v>
      </c>
      <c r="B173" s="49" t="s">
        <v>166</v>
      </c>
      <c r="C173" s="49">
        <v>0.55000000000000004</v>
      </c>
      <c r="D173" s="49">
        <v>0.3</v>
      </c>
      <c r="E173" s="49">
        <v>0.35</v>
      </c>
      <c r="F173" s="109">
        <v>0.5494</v>
      </c>
      <c r="G173" s="106"/>
      <c r="H173" s="109">
        <v>0.29949999999999999</v>
      </c>
      <c r="I173" s="106"/>
      <c r="J173" s="109">
        <v>0.35010000000000002</v>
      </c>
      <c r="K173" s="106"/>
      <c r="L173" s="109">
        <f t="shared" si="35"/>
        <v>0.600000000000045</v>
      </c>
      <c r="M173" s="106"/>
      <c r="N173" s="109">
        <f t="shared" si="36"/>
        <v>0.5</v>
      </c>
      <c r="O173" s="106"/>
      <c r="P173" s="109">
        <f t="shared" si="37"/>
        <v>0.100000000000045</v>
      </c>
      <c r="Q173" s="106"/>
      <c r="R173" s="109">
        <f t="shared" si="38"/>
        <v>0.787400787401221</v>
      </c>
      <c r="S173" s="106"/>
      <c r="T173" s="124"/>
      <c r="U173" s="125"/>
      <c r="V173" s="124"/>
      <c r="W173" s="125"/>
      <c r="X173" s="124"/>
      <c r="Y173" s="125"/>
      <c r="Z173" s="109">
        <v>1.5589</v>
      </c>
      <c r="AA173" s="106"/>
      <c r="AB173" s="109">
        <v>11.589</v>
      </c>
      <c r="AC173" s="106"/>
      <c r="AD173" s="109">
        <f t="shared" si="39"/>
        <v>13.1479</v>
      </c>
      <c r="AE173" s="106"/>
      <c r="AF173" s="49" t="s">
        <v>167</v>
      </c>
      <c r="AG173" s="49">
        <v>1</v>
      </c>
      <c r="AH173" s="49" t="s">
        <v>137</v>
      </c>
    </row>
    <row r="174" spans="1:34">
      <c r="A174" s="49">
        <v>5</v>
      </c>
      <c r="B174" s="49" t="s">
        <v>169</v>
      </c>
      <c r="C174" s="49">
        <v>0.75</v>
      </c>
      <c r="D174" s="49">
        <v>-0.25</v>
      </c>
      <c r="E174" s="49">
        <v>0.42</v>
      </c>
      <c r="F174" s="109">
        <v>0.74960000000000004</v>
      </c>
      <c r="G174" s="106"/>
      <c r="H174" s="109">
        <v>-0.24929999999999999</v>
      </c>
      <c r="I174" s="106"/>
      <c r="J174" s="109">
        <v>0.41930000000000001</v>
      </c>
      <c r="K174" s="106"/>
      <c r="L174" s="109">
        <f t="shared" si="35"/>
        <v>0.399999999999956</v>
      </c>
      <c r="M174" s="106"/>
      <c r="N174" s="109">
        <f t="shared" si="36"/>
        <v>0.700000000000006</v>
      </c>
      <c r="O174" s="106"/>
      <c r="P174" s="109">
        <f t="shared" si="37"/>
        <v>0.699999999999978</v>
      </c>
      <c r="Q174" s="106"/>
      <c r="R174" s="109">
        <f t="shared" si="38"/>
        <v>1.0677078252031</v>
      </c>
      <c r="S174" s="106"/>
      <c r="T174" s="124"/>
      <c r="U174" s="125"/>
      <c r="V174" s="124"/>
      <c r="W174" s="125"/>
      <c r="X174" s="124"/>
      <c r="Y174" s="125"/>
      <c r="Z174" s="109">
        <v>1.5955999999999999</v>
      </c>
      <c r="AA174" s="106"/>
      <c r="AB174" s="109">
        <v>11.7378</v>
      </c>
      <c r="AC174" s="106"/>
      <c r="AD174" s="109">
        <f t="shared" si="39"/>
        <v>13.3334</v>
      </c>
      <c r="AE174" s="106"/>
      <c r="AF174" s="49" t="s">
        <v>167</v>
      </c>
      <c r="AG174" s="49">
        <v>1</v>
      </c>
      <c r="AH174" s="49" t="s">
        <v>137</v>
      </c>
    </row>
    <row r="175" spans="1:34">
      <c r="A175" s="49">
        <v>6</v>
      </c>
      <c r="B175" s="49" t="s">
        <v>166</v>
      </c>
      <c r="C175" s="49">
        <v>0.55000000000000004</v>
      </c>
      <c r="D175" s="49">
        <v>0.3</v>
      </c>
      <c r="E175" s="49">
        <v>0.35</v>
      </c>
      <c r="F175" s="109">
        <v>0.55020000000000002</v>
      </c>
      <c r="G175" s="106"/>
      <c r="H175" s="109">
        <v>0.3014</v>
      </c>
      <c r="I175" s="106"/>
      <c r="J175" s="109">
        <v>0.35020000000000001</v>
      </c>
      <c r="K175" s="106"/>
      <c r="L175" s="109">
        <f t="shared" si="35"/>
        <v>0.199999999999978</v>
      </c>
      <c r="M175" s="106"/>
      <c r="N175" s="109">
        <f t="shared" si="36"/>
        <v>1.40000000000001</v>
      </c>
      <c r="O175" s="106"/>
      <c r="P175" s="109">
        <f t="shared" si="37"/>
        <v>0.200000000000033</v>
      </c>
      <c r="Q175" s="106"/>
      <c r="R175" s="109">
        <f t="shared" si="38"/>
        <v>1.42828568570858</v>
      </c>
      <c r="S175" s="106"/>
      <c r="T175" s="124"/>
      <c r="U175" s="125"/>
      <c r="V175" s="124"/>
      <c r="W175" s="125"/>
      <c r="X175" s="124"/>
      <c r="Y175" s="125"/>
      <c r="Z175" s="109">
        <v>1.5590999999999999</v>
      </c>
      <c r="AA175" s="106"/>
      <c r="AB175" s="109">
        <v>11.9437</v>
      </c>
      <c r="AC175" s="106"/>
      <c r="AD175" s="109">
        <f t="shared" si="39"/>
        <v>13.5028</v>
      </c>
      <c r="AE175" s="106"/>
      <c r="AF175" s="49" t="s">
        <v>167</v>
      </c>
      <c r="AG175" s="49">
        <v>1</v>
      </c>
      <c r="AH175" s="49" t="s">
        <v>137</v>
      </c>
    </row>
    <row r="176" spans="1:34">
      <c r="A176" s="49">
        <v>6</v>
      </c>
      <c r="B176" s="49" t="s">
        <v>169</v>
      </c>
      <c r="C176" s="49">
        <v>0.75</v>
      </c>
      <c r="D176" s="49">
        <v>-0.25</v>
      </c>
      <c r="E176" s="49">
        <v>0.42</v>
      </c>
      <c r="F176" s="109">
        <v>0.74909999999999999</v>
      </c>
      <c r="G176" s="106"/>
      <c r="H176" s="109">
        <v>-0.25090000000000001</v>
      </c>
      <c r="I176" s="106"/>
      <c r="J176" s="109">
        <v>0.41970000000000002</v>
      </c>
      <c r="K176" s="106"/>
      <c r="L176" s="109">
        <f t="shared" si="35"/>
        <v>0.900000000000012</v>
      </c>
      <c r="M176" s="106"/>
      <c r="N176" s="109">
        <f t="shared" si="36"/>
        <v>0.900000000000012</v>
      </c>
      <c r="O176" s="106"/>
      <c r="P176" s="109">
        <f t="shared" si="37"/>
        <v>0.299999999999967</v>
      </c>
      <c r="Q176" s="106"/>
      <c r="R176" s="109">
        <f t="shared" si="38"/>
        <v>1.30766968306221</v>
      </c>
      <c r="S176" s="106"/>
      <c r="T176" s="124"/>
      <c r="U176" s="125"/>
      <c r="V176" s="124"/>
      <c r="W176" s="125"/>
      <c r="X176" s="124"/>
      <c r="Y176" s="125"/>
      <c r="Z176" s="109">
        <v>1.5876999999999999</v>
      </c>
      <c r="AA176" s="106"/>
      <c r="AB176" s="109">
        <v>9.8835999999999995</v>
      </c>
      <c r="AC176" s="106"/>
      <c r="AD176" s="109">
        <f t="shared" si="39"/>
        <v>11.4713</v>
      </c>
      <c r="AE176" s="106"/>
      <c r="AF176" s="49" t="s">
        <v>167</v>
      </c>
      <c r="AG176" s="49">
        <v>1</v>
      </c>
      <c r="AH176" s="49" t="s">
        <v>137</v>
      </c>
    </row>
    <row r="177" spans="1:34">
      <c r="A177" s="49">
        <v>7</v>
      </c>
      <c r="B177" s="49" t="s">
        <v>166</v>
      </c>
      <c r="C177" s="49">
        <v>0.55000000000000004</v>
      </c>
      <c r="D177" s="49">
        <v>0.3</v>
      </c>
      <c r="E177" s="49">
        <v>0.35</v>
      </c>
      <c r="F177" s="109">
        <v>0.54869999999999997</v>
      </c>
      <c r="G177" s="106"/>
      <c r="H177" s="109">
        <v>0.29949999999999999</v>
      </c>
      <c r="I177" s="106"/>
      <c r="J177" s="109">
        <v>0.35</v>
      </c>
      <c r="K177" s="106"/>
      <c r="L177" s="109">
        <f t="shared" si="35"/>
        <v>1.30000000000008</v>
      </c>
      <c r="M177" s="106"/>
      <c r="N177" s="109">
        <f t="shared" si="36"/>
        <v>0.5</v>
      </c>
      <c r="O177" s="106"/>
      <c r="P177" s="109">
        <f t="shared" si="37"/>
        <v>0</v>
      </c>
      <c r="Q177" s="106"/>
      <c r="R177" s="109">
        <f t="shared" si="38"/>
        <v>1.39283882771849</v>
      </c>
      <c r="S177" s="106"/>
      <c r="T177" s="124"/>
      <c r="U177" s="125"/>
      <c r="V177" s="124"/>
      <c r="W177" s="125"/>
      <c r="X177" s="124"/>
      <c r="Y177" s="125"/>
      <c r="Z177" s="109">
        <v>1.5794999999999999</v>
      </c>
      <c r="AA177" s="106"/>
      <c r="AB177" s="109">
        <v>8.39</v>
      </c>
      <c r="AC177" s="106"/>
      <c r="AD177" s="109">
        <f t="shared" si="39"/>
        <v>9.9695</v>
      </c>
      <c r="AE177" s="106"/>
      <c r="AF177" s="49" t="s">
        <v>167</v>
      </c>
      <c r="AG177" s="49">
        <v>1</v>
      </c>
      <c r="AH177" s="49" t="s">
        <v>137</v>
      </c>
    </row>
    <row r="178" spans="1:34">
      <c r="A178" s="49">
        <v>7</v>
      </c>
      <c r="B178" s="49" t="s">
        <v>169</v>
      </c>
      <c r="C178" s="49">
        <v>0.75</v>
      </c>
      <c r="D178" s="49">
        <v>-0.25</v>
      </c>
      <c r="E178" s="49">
        <v>0.42</v>
      </c>
      <c r="F178" s="109">
        <v>0.74919999999999998</v>
      </c>
      <c r="G178" s="106"/>
      <c r="H178" s="109">
        <v>-0.25009999999999999</v>
      </c>
      <c r="I178" s="106"/>
      <c r="J178" s="109">
        <v>0.42080000000000001</v>
      </c>
      <c r="K178" s="106"/>
      <c r="L178" s="109">
        <f t="shared" si="35"/>
        <v>0.800000000000023</v>
      </c>
      <c r="M178" s="106"/>
      <c r="N178" s="109">
        <f t="shared" si="36"/>
        <v>0.099999999999989</v>
      </c>
      <c r="O178" s="106"/>
      <c r="P178" s="109">
        <f t="shared" si="37"/>
        <v>0.800000000000023</v>
      </c>
      <c r="Q178" s="106"/>
      <c r="R178" s="109">
        <f t="shared" si="38"/>
        <v>1.13578166916009</v>
      </c>
      <c r="S178" s="106"/>
      <c r="T178" s="124"/>
      <c r="U178" s="125"/>
      <c r="V178" s="124"/>
      <c r="W178" s="125"/>
      <c r="X178" s="124"/>
      <c r="Y178" s="125"/>
      <c r="Z178" s="109">
        <v>1.5732999999999999</v>
      </c>
      <c r="AA178" s="106"/>
      <c r="AB178" s="109">
        <v>9.0450999999999997</v>
      </c>
      <c r="AC178" s="106"/>
      <c r="AD178" s="109">
        <f t="shared" si="39"/>
        <v>10.6184</v>
      </c>
      <c r="AE178" s="106"/>
      <c r="AF178" s="49" t="s">
        <v>167</v>
      </c>
      <c r="AG178" s="49">
        <v>1</v>
      </c>
      <c r="AH178" s="49" t="s">
        <v>137</v>
      </c>
    </row>
    <row r="179" spans="1:34">
      <c r="A179" s="49">
        <v>8</v>
      </c>
      <c r="B179" s="49" t="s">
        <v>166</v>
      </c>
      <c r="C179" s="49">
        <v>0.55000000000000004</v>
      </c>
      <c r="D179" s="49">
        <v>0.3</v>
      </c>
      <c r="E179" s="49">
        <v>0.35</v>
      </c>
      <c r="F179" s="109">
        <v>0.54969999999999997</v>
      </c>
      <c r="G179" s="106"/>
      <c r="H179" s="109">
        <v>0.30059999999999998</v>
      </c>
      <c r="I179" s="106"/>
      <c r="J179" s="109">
        <v>0.34970000000000001</v>
      </c>
      <c r="K179" s="106"/>
      <c r="L179" s="109">
        <f t="shared" si="35"/>
        <v>0.300000000000078</v>
      </c>
      <c r="M179" s="106"/>
      <c r="N179" s="109">
        <f t="shared" si="36"/>
        <v>0.599999999999989</v>
      </c>
      <c r="O179" s="106"/>
      <c r="P179" s="109">
        <f t="shared" si="37"/>
        <v>0.299999999999967</v>
      </c>
      <c r="Q179" s="106"/>
      <c r="R179" s="109">
        <f t="shared" si="38"/>
        <v>0.734846922834963</v>
      </c>
      <c r="S179" s="106"/>
      <c r="T179" s="124"/>
      <c r="U179" s="125"/>
      <c r="V179" s="124"/>
      <c r="W179" s="125"/>
      <c r="X179" s="124"/>
      <c r="Y179" s="125"/>
      <c r="Z179" s="109">
        <v>1.5726</v>
      </c>
      <c r="AA179" s="106"/>
      <c r="AB179" s="109">
        <v>10.0686</v>
      </c>
      <c r="AC179" s="106"/>
      <c r="AD179" s="109">
        <f t="shared" si="39"/>
        <v>11.6412</v>
      </c>
      <c r="AE179" s="106"/>
      <c r="AF179" s="49" t="s">
        <v>167</v>
      </c>
      <c r="AG179" s="49">
        <v>1</v>
      </c>
      <c r="AH179" s="49" t="s">
        <v>137</v>
      </c>
    </row>
    <row r="180" spans="1:34">
      <c r="A180" s="49">
        <v>8</v>
      </c>
      <c r="B180" s="49" t="s">
        <v>169</v>
      </c>
      <c r="C180" s="49">
        <v>0.75</v>
      </c>
      <c r="D180" s="49">
        <v>-0.25</v>
      </c>
      <c r="E180" s="49">
        <v>0.42</v>
      </c>
      <c r="F180" s="109">
        <v>0.75</v>
      </c>
      <c r="G180" s="106"/>
      <c r="H180" s="109">
        <v>-0.2505</v>
      </c>
      <c r="I180" s="106"/>
      <c r="J180" s="109">
        <v>0.4199</v>
      </c>
      <c r="K180" s="106"/>
      <c r="L180" s="109">
        <f t="shared" si="35"/>
        <v>0</v>
      </c>
      <c r="M180" s="106"/>
      <c r="N180" s="109">
        <f t="shared" si="36"/>
        <v>0.5</v>
      </c>
      <c r="O180" s="106"/>
      <c r="P180" s="109">
        <f t="shared" si="37"/>
        <v>0.099999999999989</v>
      </c>
      <c r="Q180" s="106"/>
      <c r="R180" s="109">
        <f t="shared" si="38"/>
        <v>0.509901951359277</v>
      </c>
      <c r="S180" s="106"/>
      <c r="T180" s="124"/>
      <c r="U180" s="125"/>
      <c r="V180" s="124"/>
      <c r="W180" s="125"/>
      <c r="X180" s="124"/>
      <c r="Y180" s="125"/>
      <c r="Z180" s="109">
        <v>1.5571999999999999</v>
      </c>
      <c r="AA180" s="106"/>
      <c r="AB180" s="109">
        <v>11.5905</v>
      </c>
      <c r="AC180" s="106"/>
      <c r="AD180" s="109">
        <f t="shared" si="39"/>
        <v>13.1477</v>
      </c>
      <c r="AE180" s="106"/>
      <c r="AF180" s="49" t="s">
        <v>167</v>
      </c>
      <c r="AG180" s="49">
        <v>1</v>
      </c>
      <c r="AH180" s="49" t="s">
        <v>137</v>
      </c>
    </row>
    <row r="181" spans="1:34">
      <c r="A181" s="49">
        <v>9</v>
      </c>
      <c r="B181" s="49" t="s">
        <v>166</v>
      </c>
      <c r="C181" s="49">
        <v>0.55000000000000004</v>
      </c>
      <c r="D181" s="49">
        <v>0.3</v>
      </c>
      <c r="E181" s="49">
        <v>0.35</v>
      </c>
      <c r="F181" s="109">
        <v>0.55010000000000003</v>
      </c>
      <c r="G181" s="106"/>
      <c r="H181" s="109">
        <v>0.29930000000000001</v>
      </c>
      <c r="I181" s="106"/>
      <c r="J181" s="109">
        <v>0.35</v>
      </c>
      <c r="K181" s="106"/>
      <c r="L181" s="109">
        <f t="shared" si="35"/>
        <v>0.099999999999989</v>
      </c>
      <c r="M181" s="106"/>
      <c r="N181" s="109">
        <f t="shared" si="36"/>
        <v>0.699999999999978</v>
      </c>
      <c r="O181" s="106"/>
      <c r="P181" s="109">
        <f t="shared" si="37"/>
        <v>0</v>
      </c>
      <c r="Q181" s="106"/>
      <c r="R181" s="109">
        <f t="shared" si="38"/>
        <v>0.707106781186525</v>
      </c>
      <c r="S181" s="106"/>
      <c r="T181" s="124"/>
      <c r="U181" s="125"/>
      <c r="V181" s="124"/>
      <c r="W181" s="125"/>
      <c r="X181" s="124"/>
      <c r="Y181" s="125"/>
      <c r="Z181" s="109">
        <v>1.5876999999999999</v>
      </c>
      <c r="AA181" s="106"/>
      <c r="AB181" s="109">
        <v>7.4729999999999999</v>
      </c>
      <c r="AC181" s="106"/>
      <c r="AD181" s="109">
        <f t="shared" si="39"/>
        <v>9.0607</v>
      </c>
      <c r="AE181" s="106"/>
      <c r="AF181" s="49" t="s">
        <v>167</v>
      </c>
      <c r="AG181" s="49">
        <v>1</v>
      </c>
      <c r="AH181" s="49" t="s">
        <v>137</v>
      </c>
    </row>
    <row r="182" spans="1:34">
      <c r="A182" s="49">
        <v>9</v>
      </c>
      <c r="B182" s="49" t="s">
        <v>169</v>
      </c>
      <c r="C182" s="49">
        <v>0.75</v>
      </c>
      <c r="D182" s="49">
        <v>-0.25</v>
      </c>
      <c r="E182" s="49">
        <v>0.42</v>
      </c>
      <c r="F182" s="109">
        <v>0.75009999999999999</v>
      </c>
      <c r="G182" s="106"/>
      <c r="H182" s="109">
        <v>-0.25040000000000001</v>
      </c>
      <c r="I182" s="106"/>
      <c r="J182" s="109">
        <v>0.42020000000000002</v>
      </c>
      <c r="K182" s="106"/>
      <c r="L182" s="109">
        <f t="shared" si="35"/>
        <v>0.099999999999989</v>
      </c>
      <c r="M182" s="106"/>
      <c r="N182" s="109">
        <f t="shared" si="36"/>
        <v>0.400000000000011</v>
      </c>
      <c r="O182" s="106"/>
      <c r="P182" s="109">
        <f t="shared" si="37"/>
        <v>0.200000000000033</v>
      </c>
      <c r="Q182" s="106"/>
      <c r="R182" s="109">
        <f t="shared" si="38"/>
        <v>0.458257569495606</v>
      </c>
      <c r="S182" s="106"/>
      <c r="T182" s="124"/>
      <c r="U182" s="125"/>
      <c r="V182" s="124"/>
      <c r="W182" s="125"/>
      <c r="X182" s="124"/>
      <c r="Y182" s="125"/>
      <c r="Z182" s="109">
        <v>1.5565</v>
      </c>
      <c r="AA182" s="106"/>
      <c r="AB182" s="109">
        <v>10.090199999999999</v>
      </c>
      <c r="AC182" s="106"/>
      <c r="AD182" s="109">
        <f t="shared" si="39"/>
        <v>11.6467</v>
      </c>
      <c r="AE182" s="106"/>
      <c r="AF182" s="49" t="s">
        <v>167</v>
      </c>
      <c r="AG182" s="49">
        <v>1</v>
      </c>
      <c r="AH182" s="49" t="s">
        <v>137</v>
      </c>
    </row>
    <row r="183" spans="1:34">
      <c r="A183" s="49">
        <v>10</v>
      </c>
      <c r="B183" s="49" t="s">
        <v>166</v>
      </c>
      <c r="C183" s="49">
        <v>0.55000000000000004</v>
      </c>
      <c r="D183" s="49">
        <v>0.3</v>
      </c>
      <c r="E183" s="49">
        <v>0.35</v>
      </c>
      <c r="F183" s="109">
        <v>0.54900000000000004</v>
      </c>
      <c r="G183" s="106"/>
      <c r="H183" s="109">
        <v>0.29970000000000002</v>
      </c>
      <c r="I183" s="106"/>
      <c r="J183" s="109">
        <v>0.34939999999999999</v>
      </c>
      <c r="K183" s="106"/>
      <c r="L183" s="109">
        <f t="shared" si="35"/>
        <v>1</v>
      </c>
      <c r="M183" s="106"/>
      <c r="N183" s="109">
        <f t="shared" si="36"/>
        <v>0.299999999999967</v>
      </c>
      <c r="O183" s="106"/>
      <c r="P183" s="109">
        <f t="shared" si="37"/>
        <v>0.599999999999989</v>
      </c>
      <c r="Q183" s="106"/>
      <c r="R183" s="109">
        <f t="shared" si="38"/>
        <v>1.20415945787922</v>
      </c>
      <c r="S183" s="106"/>
      <c r="T183" s="124"/>
      <c r="U183" s="125"/>
      <c r="V183" s="124"/>
      <c r="W183" s="125"/>
      <c r="X183" s="124"/>
      <c r="Y183" s="125"/>
      <c r="Z183" s="109">
        <v>1.6075999999999999</v>
      </c>
      <c r="AA183" s="106"/>
      <c r="AB183" s="109">
        <v>9.1109000000000009</v>
      </c>
      <c r="AC183" s="106"/>
      <c r="AD183" s="109">
        <f t="shared" si="39"/>
        <v>10.7185</v>
      </c>
      <c r="AE183" s="106"/>
      <c r="AF183" s="49" t="s">
        <v>167</v>
      </c>
      <c r="AG183" s="49">
        <v>1</v>
      </c>
      <c r="AH183" s="49" t="s">
        <v>137</v>
      </c>
    </row>
    <row r="184" spans="1:34">
      <c r="A184" s="49">
        <v>10</v>
      </c>
      <c r="B184" s="49" t="s">
        <v>169</v>
      </c>
      <c r="C184" s="49">
        <v>0.75</v>
      </c>
      <c r="D184" s="49">
        <v>-0.25</v>
      </c>
      <c r="E184" s="49">
        <v>0.42</v>
      </c>
      <c r="F184" s="109">
        <v>0.75029999999999997</v>
      </c>
      <c r="G184" s="106"/>
      <c r="H184" s="109">
        <v>-0.25040000000000001</v>
      </c>
      <c r="I184" s="106"/>
      <c r="J184" s="109">
        <v>0.41959999999999997</v>
      </c>
      <c r="K184" s="106"/>
      <c r="L184" s="109">
        <f t="shared" si="35"/>
        <v>0.299999999999967</v>
      </c>
      <c r="M184" s="106"/>
      <c r="N184" s="109">
        <f t="shared" si="36"/>
        <v>0.400000000000011</v>
      </c>
      <c r="O184" s="106"/>
      <c r="P184" s="109">
        <f t="shared" si="37"/>
        <v>0.400000000000011</v>
      </c>
      <c r="Q184" s="106"/>
      <c r="R184" s="109">
        <f t="shared" si="38"/>
        <v>0.640312423743284</v>
      </c>
      <c r="S184" s="106"/>
      <c r="T184" s="122"/>
      <c r="U184" s="123"/>
      <c r="V184" s="122"/>
      <c r="W184" s="123"/>
      <c r="X184" s="122"/>
      <c r="Y184" s="123"/>
      <c r="Z184" s="109">
        <v>1.5488</v>
      </c>
      <c r="AA184" s="106"/>
      <c r="AB184" s="109">
        <v>7.5683999999999996</v>
      </c>
      <c r="AC184" s="106"/>
      <c r="AD184" s="109">
        <f t="shared" si="39"/>
        <v>9.1172</v>
      </c>
      <c r="AE184" s="106"/>
      <c r="AF184" s="49" t="s">
        <v>167</v>
      </c>
      <c r="AG184" s="49">
        <v>1</v>
      </c>
      <c r="AH184" s="49" t="s">
        <v>137</v>
      </c>
    </row>
    <row r="185" spans="1:34">
      <c r="A185" s="112" t="s">
        <v>178</v>
      </c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6"/>
    </row>
    <row r="186" spans="1:34" ht="8.85" customHeight="1">
      <c r="A186" s="107" t="s">
        <v>126</v>
      </c>
      <c r="B186" s="107" t="s">
        <v>143</v>
      </c>
      <c r="C186" s="107" t="s">
        <v>144</v>
      </c>
      <c r="D186" s="107" t="s">
        <v>145</v>
      </c>
      <c r="E186" s="107" t="s">
        <v>146</v>
      </c>
      <c r="F186" s="107" t="s">
        <v>147</v>
      </c>
      <c r="G186" s="121"/>
      <c r="H186" s="107" t="s">
        <v>148</v>
      </c>
      <c r="I186" s="121"/>
      <c r="J186" s="107" t="s">
        <v>149</v>
      </c>
      <c r="K186" s="121"/>
      <c r="L186" s="114" t="s">
        <v>150</v>
      </c>
      <c r="M186" s="121"/>
      <c r="N186" s="114" t="s">
        <v>151</v>
      </c>
      <c r="O186" s="121"/>
      <c r="P186" s="114" t="s">
        <v>152</v>
      </c>
      <c r="Q186" s="121"/>
      <c r="R186" s="107" t="s">
        <v>153</v>
      </c>
      <c r="S186" s="121"/>
      <c r="T186" s="107" t="s">
        <v>154</v>
      </c>
      <c r="U186" s="121"/>
      <c r="V186" s="107" t="s">
        <v>155</v>
      </c>
      <c r="W186" s="121"/>
      <c r="X186" s="107" t="s">
        <v>156</v>
      </c>
      <c r="Y186" s="121"/>
      <c r="Z186" s="107" t="s">
        <v>157</v>
      </c>
      <c r="AA186" s="121"/>
      <c r="AB186" s="107" t="s">
        <v>158</v>
      </c>
      <c r="AC186" s="121"/>
      <c r="AD186" s="107" t="s">
        <v>159</v>
      </c>
      <c r="AE186" s="121"/>
      <c r="AF186" s="107" t="s">
        <v>160</v>
      </c>
      <c r="AG186" s="107" t="s">
        <v>162</v>
      </c>
      <c r="AH186" s="107" t="s">
        <v>163</v>
      </c>
    </row>
    <row r="187" spans="1:34">
      <c r="A187" s="111"/>
      <c r="B187" s="111"/>
      <c r="C187" s="111"/>
      <c r="D187" s="111"/>
      <c r="E187" s="111"/>
      <c r="F187" s="122"/>
      <c r="G187" s="123"/>
      <c r="H187" s="122"/>
      <c r="I187" s="123"/>
      <c r="J187" s="122"/>
      <c r="K187" s="123"/>
      <c r="L187" s="122"/>
      <c r="M187" s="123"/>
      <c r="N187" s="122"/>
      <c r="O187" s="123"/>
      <c r="P187" s="122"/>
      <c r="Q187" s="123"/>
      <c r="R187" s="122"/>
      <c r="S187" s="123"/>
      <c r="T187" s="122"/>
      <c r="U187" s="123"/>
      <c r="V187" s="122"/>
      <c r="W187" s="123"/>
      <c r="X187" s="122"/>
      <c r="Y187" s="123"/>
      <c r="Z187" s="122"/>
      <c r="AA187" s="123"/>
      <c r="AB187" s="122"/>
      <c r="AC187" s="123"/>
      <c r="AD187" s="122"/>
      <c r="AE187" s="123"/>
      <c r="AF187" s="111"/>
      <c r="AG187" s="111"/>
      <c r="AH187" s="111"/>
    </row>
    <row r="188" spans="1:34">
      <c r="A188" s="49">
        <v>1</v>
      </c>
      <c r="B188" s="49" t="s">
        <v>166</v>
      </c>
      <c r="C188" s="49">
        <v>0.5</v>
      </c>
      <c r="D188" s="49">
        <v>-0.3</v>
      </c>
      <c r="E188" s="49">
        <v>0.35</v>
      </c>
      <c r="F188" s="109">
        <v>0.49930000000000002</v>
      </c>
      <c r="G188" s="106"/>
      <c r="H188" s="109">
        <v>-0.29959999999999998</v>
      </c>
      <c r="I188" s="106"/>
      <c r="J188" s="109">
        <v>0.3493</v>
      </c>
      <c r="K188" s="106"/>
      <c r="L188" s="109">
        <f t="shared" ref="L188:L207" si="40">ABS(F188-C188)*1000</f>
        <v>0.699999999999978</v>
      </c>
      <c r="M188" s="106"/>
      <c r="N188" s="109">
        <f t="shared" ref="N188:N207" si="41">ABS(H188-D188)*1000</f>
        <v>0.400000000000011</v>
      </c>
      <c r="O188" s="106"/>
      <c r="P188" s="109">
        <f t="shared" ref="P188:P207" si="42">ABS(J188-E188)*1000</f>
        <v>0.699999999999978</v>
      </c>
      <c r="Q188" s="106"/>
      <c r="R188" s="109">
        <f t="shared" ref="R188:R207" si="43">SQRT(SUMSQ(L188:Q188))</f>
        <v>1.06770782520311</v>
      </c>
      <c r="S188" s="106"/>
      <c r="T188" s="109">
        <f>_xlfn.STDEV.S(F188:G207)</f>
        <v>0.128027947092977</v>
      </c>
      <c r="U188" s="121"/>
      <c r="V188" s="109">
        <f>_xlfn.STDEV.S(H188:I207)</f>
        <v>0.307650261789174</v>
      </c>
      <c r="W188" s="121"/>
      <c r="X188" s="109">
        <f>_xlfn.STDEV.S(J188:K207)</f>
        <v>0.03594972329884</v>
      </c>
      <c r="Y188" s="121"/>
      <c r="Z188" s="109">
        <v>1.5510999999999999</v>
      </c>
      <c r="AA188" s="106"/>
      <c r="AB188" s="109">
        <v>10.2807</v>
      </c>
      <c r="AC188" s="106"/>
      <c r="AD188" s="109">
        <f t="shared" ref="AD188:AD207" si="44">AB188+Z188</f>
        <v>11.8318</v>
      </c>
      <c r="AE188" s="106"/>
      <c r="AF188" s="49" t="s">
        <v>167</v>
      </c>
      <c r="AG188" s="49">
        <v>1</v>
      </c>
      <c r="AH188" s="49" t="s">
        <v>137</v>
      </c>
    </row>
    <row r="189" spans="1:34">
      <c r="A189" s="49">
        <v>1</v>
      </c>
      <c r="B189" s="49" t="s">
        <v>169</v>
      </c>
      <c r="C189" s="49">
        <v>0.75</v>
      </c>
      <c r="D189" s="49">
        <v>0.3</v>
      </c>
      <c r="E189" s="49">
        <v>0.42</v>
      </c>
      <c r="F189" s="109">
        <v>0.74960000000000004</v>
      </c>
      <c r="G189" s="106"/>
      <c r="H189" s="109">
        <v>0.3</v>
      </c>
      <c r="I189" s="106"/>
      <c r="J189" s="109">
        <v>0.42009999999999997</v>
      </c>
      <c r="K189" s="106"/>
      <c r="L189" s="109">
        <f t="shared" si="40"/>
        <v>0.399999999999956</v>
      </c>
      <c r="M189" s="106"/>
      <c r="N189" s="109">
        <f t="shared" si="41"/>
        <v>0</v>
      </c>
      <c r="O189" s="106"/>
      <c r="P189" s="109">
        <f t="shared" si="42"/>
        <v>0.099999999999989</v>
      </c>
      <c r="Q189" s="106"/>
      <c r="R189" s="109">
        <f t="shared" si="43"/>
        <v>0.412310562561721</v>
      </c>
      <c r="S189" s="106"/>
      <c r="T189" s="124"/>
      <c r="U189" s="125"/>
      <c r="V189" s="124"/>
      <c r="W189" s="125"/>
      <c r="X189" s="124"/>
      <c r="Y189" s="125"/>
      <c r="Z189" s="109">
        <v>1.5702</v>
      </c>
      <c r="AA189" s="106"/>
      <c r="AB189" s="109">
        <v>11.761200000000001</v>
      </c>
      <c r="AC189" s="106"/>
      <c r="AD189" s="109">
        <f t="shared" si="44"/>
        <v>13.3314</v>
      </c>
      <c r="AE189" s="106"/>
      <c r="AF189" s="49" t="s">
        <v>167</v>
      </c>
      <c r="AG189" s="49">
        <v>1</v>
      </c>
      <c r="AH189" s="49" t="s">
        <v>137</v>
      </c>
    </row>
    <row r="190" spans="1:34">
      <c r="A190" s="49">
        <v>2</v>
      </c>
      <c r="B190" s="49" t="s">
        <v>166</v>
      </c>
      <c r="C190" s="49">
        <v>0.5</v>
      </c>
      <c r="D190" s="49">
        <v>-0.3</v>
      </c>
      <c r="E190" s="49">
        <v>0.35</v>
      </c>
      <c r="F190" s="109">
        <v>0.50090000000000001</v>
      </c>
      <c r="G190" s="106"/>
      <c r="H190" s="109">
        <v>-0.29949999999999999</v>
      </c>
      <c r="I190" s="106"/>
      <c r="J190" s="109">
        <v>0.34970000000000001</v>
      </c>
      <c r="K190" s="106"/>
      <c r="L190" s="109">
        <f t="shared" si="40"/>
        <v>0.900000000000012</v>
      </c>
      <c r="M190" s="106"/>
      <c r="N190" s="109">
        <f t="shared" si="41"/>
        <v>0.5</v>
      </c>
      <c r="O190" s="106"/>
      <c r="P190" s="109">
        <f t="shared" si="42"/>
        <v>0.299999999999967</v>
      </c>
      <c r="Q190" s="106"/>
      <c r="R190" s="109">
        <f t="shared" si="43"/>
        <v>1.07238052947636</v>
      </c>
      <c r="S190" s="106"/>
      <c r="T190" s="124"/>
      <c r="U190" s="125"/>
      <c r="V190" s="124"/>
      <c r="W190" s="125"/>
      <c r="X190" s="124"/>
      <c r="Y190" s="125"/>
      <c r="Z190" s="109">
        <v>1.5562</v>
      </c>
      <c r="AA190" s="106"/>
      <c r="AB190" s="109">
        <v>10.8583</v>
      </c>
      <c r="AC190" s="106"/>
      <c r="AD190" s="109">
        <f t="shared" si="44"/>
        <v>12.4145</v>
      </c>
      <c r="AE190" s="106"/>
      <c r="AF190" s="49" t="s">
        <v>167</v>
      </c>
      <c r="AG190" s="49">
        <v>1</v>
      </c>
      <c r="AH190" s="49" t="s">
        <v>137</v>
      </c>
    </row>
    <row r="191" spans="1:34">
      <c r="A191" s="49">
        <v>2</v>
      </c>
      <c r="B191" s="49" t="s">
        <v>169</v>
      </c>
      <c r="C191" s="49">
        <v>0.75</v>
      </c>
      <c r="D191" s="49">
        <v>0.3</v>
      </c>
      <c r="E191" s="49">
        <v>0.42</v>
      </c>
      <c r="F191" s="109">
        <v>0.74980000000000002</v>
      </c>
      <c r="G191" s="106"/>
      <c r="H191" s="109">
        <v>0.2994</v>
      </c>
      <c r="I191" s="106"/>
      <c r="J191" s="109">
        <v>0.42009999999999997</v>
      </c>
      <c r="K191" s="106"/>
      <c r="L191" s="109">
        <f t="shared" si="40"/>
        <v>0.199999999999978</v>
      </c>
      <c r="M191" s="106"/>
      <c r="N191" s="109">
        <f t="shared" si="41"/>
        <v>0.599999999999989</v>
      </c>
      <c r="O191" s="106"/>
      <c r="P191" s="109">
        <f t="shared" si="42"/>
        <v>0.099999999999989</v>
      </c>
      <c r="Q191" s="106"/>
      <c r="R191" s="109">
        <f t="shared" si="43"/>
        <v>0.640312423743266</v>
      </c>
      <c r="S191" s="106"/>
      <c r="T191" s="124"/>
      <c r="U191" s="125"/>
      <c r="V191" s="124"/>
      <c r="W191" s="125"/>
      <c r="X191" s="124"/>
      <c r="Y191" s="125"/>
      <c r="Z191" s="109">
        <v>1.5478000000000001</v>
      </c>
      <c r="AA191" s="106"/>
      <c r="AB191" s="109">
        <v>10.473699999999999</v>
      </c>
      <c r="AC191" s="106"/>
      <c r="AD191" s="109">
        <f t="shared" si="44"/>
        <v>12.0215</v>
      </c>
      <c r="AE191" s="106"/>
      <c r="AF191" s="49" t="s">
        <v>167</v>
      </c>
      <c r="AG191" s="49">
        <v>1</v>
      </c>
      <c r="AH191" s="49" t="s">
        <v>137</v>
      </c>
    </row>
    <row r="192" spans="1:34">
      <c r="A192" s="49">
        <v>3</v>
      </c>
      <c r="B192" s="49" t="s">
        <v>166</v>
      </c>
      <c r="C192" s="49">
        <v>0.5</v>
      </c>
      <c r="D192" s="49">
        <v>-0.3</v>
      </c>
      <c r="E192" s="49">
        <v>0.35</v>
      </c>
      <c r="F192" s="109">
        <v>0.49940000000000001</v>
      </c>
      <c r="G192" s="106"/>
      <c r="H192" s="109">
        <v>-0.3</v>
      </c>
      <c r="I192" s="106"/>
      <c r="J192" s="109">
        <v>0.34949999999999998</v>
      </c>
      <c r="K192" s="106"/>
      <c r="L192" s="109">
        <f t="shared" si="40"/>
        <v>0.599999999999989</v>
      </c>
      <c r="M192" s="106"/>
      <c r="N192" s="109">
        <f t="shared" si="41"/>
        <v>0</v>
      </c>
      <c r="O192" s="106"/>
      <c r="P192" s="109">
        <f t="shared" si="42"/>
        <v>0.5</v>
      </c>
      <c r="Q192" s="106"/>
      <c r="R192" s="109">
        <f t="shared" si="43"/>
        <v>0.781024967590658</v>
      </c>
      <c r="S192" s="106"/>
      <c r="T192" s="124"/>
      <c r="U192" s="125"/>
      <c r="V192" s="124"/>
      <c r="W192" s="125"/>
      <c r="X192" s="124"/>
      <c r="Y192" s="125"/>
      <c r="Z192" s="109">
        <v>1.5650999999999999</v>
      </c>
      <c r="AA192" s="106"/>
      <c r="AB192" s="109">
        <v>9.5840999999999994</v>
      </c>
      <c r="AC192" s="106"/>
      <c r="AD192" s="109">
        <f t="shared" si="44"/>
        <v>11.1492</v>
      </c>
      <c r="AE192" s="106"/>
      <c r="AF192" s="49" t="s">
        <v>167</v>
      </c>
      <c r="AG192" s="49">
        <v>1</v>
      </c>
      <c r="AH192" s="49" t="s">
        <v>137</v>
      </c>
    </row>
    <row r="193" spans="1:34">
      <c r="A193" s="49">
        <v>3</v>
      </c>
      <c r="B193" s="49" t="s">
        <v>169</v>
      </c>
      <c r="C193" s="49">
        <v>0.75</v>
      </c>
      <c r="D193" s="49">
        <v>0.3</v>
      </c>
      <c r="E193" s="49">
        <v>0.42</v>
      </c>
      <c r="F193" s="109">
        <v>0.74960000000000004</v>
      </c>
      <c r="G193" s="106"/>
      <c r="H193" s="109">
        <v>0.30049999999999999</v>
      </c>
      <c r="I193" s="106"/>
      <c r="J193" s="109">
        <v>0.4199</v>
      </c>
      <c r="K193" s="106"/>
      <c r="L193" s="109">
        <f t="shared" si="40"/>
        <v>0.399999999999956</v>
      </c>
      <c r="M193" s="106"/>
      <c r="N193" s="109">
        <f t="shared" si="41"/>
        <v>0.5</v>
      </c>
      <c r="O193" s="106"/>
      <c r="P193" s="109">
        <f t="shared" si="42"/>
        <v>0.099999999999989</v>
      </c>
      <c r="Q193" s="106"/>
      <c r="R193" s="109">
        <f t="shared" si="43"/>
        <v>0.648074069840757</v>
      </c>
      <c r="S193" s="106"/>
      <c r="T193" s="124"/>
      <c r="U193" s="125"/>
      <c r="V193" s="124"/>
      <c r="W193" s="125"/>
      <c r="X193" s="124"/>
      <c r="Y193" s="125"/>
      <c r="Z193" s="109">
        <v>1.5584</v>
      </c>
      <c r="AA193" s="106"/>
      <c r="AB193" s="109">
        <v>11.444100000000001</v>
      </c>
      <c r="AC193" s="106"/>
      <c r="AD193" s="109">
        <f t="shared" si="44"/>
        <v>13.0025</v>
      </c>
      <c r="AE193" s="106"/>
      <c r="AF193" s="49" t="s">
        <v>167</v>
      </c>
      <c r="AG193" s="49">
        <v>1</v>
      </c>
      <c r="AH193" s="49" t="s">
        <v>137</v>
      </c>
    </row>
    <row r="194" spans="1:34">
      <c r="A194" s="49">
        <v>4</v>
      </c>
      <c r="B194" s="49" t="s">
        <v>166</v>
      </c>
      <c r="C194" s="49">
        <v>0.5</v>
      </c>
      <c r="D194" s="49">
        <v>-0.3</v>
      </c>
      <c r="E194" s="49">
        <v>0.35</v>
      </c>
      <c r="F194" s="109">
        <v>0.49990000000000001</v>
      </c>
      <c r="G194" s="106"/>
      <c r="H194" s="109">
        <v>-0.2999</v>
      </c>
      <c r="I194" s="106"/>
      <c r="J194" s="109">
        <v>0.35</v>
      </c>
      <c r="K194" s="106"/>
      <c r="L194" s="109">
        <f t="shared" si="40"/>
        <v>0.099999999999989</v>
      </c>
      <c r="M194" s="106"/>
      <c r="N194" s="109">
        <f t="shared" si="41"/>
        <v>0.099999999999989</v>
      </c>
      <c r="O194" s="106"/>
      <c r="P194" s="109">
        <f t="shared" si="42"/>
        <v>0</v>
      </c>
      <c r="Q194" s="106"/>
      <c r="R194" s="109">
        <f t="shared" si="43"/>
        <v>0.141421356237294</v>
      </c>
      <c r="S194" s="106"/>
      <c r="T194" s="124"/>
      <c r="U194" s="125"/>
      <c r="V194" s="124"/>
      <c r="W194" s="125"/>
      <c r="X194" s="124"/>
      <c r="Y194" s="125"/>
      <c r="Z194" s="109">
        <v>1.5496000000000001</v>
      </c>
      <c r="AA194" s="106"/>
      <c r="AB194" s="109">
        <v>11.190899999999999</v>
      </c>
      <c r="AC194" s="106"/>
      <c r="AD194" s="109">
        <f t="shared" si="44"/>
        <v>12.7405</v>
      </c>
      <c r="AE194" s="106"/>
      <c r="AF194" s="49" t="s">
        <v>167</v>
      </c>
      <c r="AG194" s="49">
        <v>1</v>
      </c>
      <c r="AH194" s="49" t="s">
        <v>137</v>
      </c>
    </row>
    <row r="195" spans="1:34">
      <c r="A195" s="49">
        <v>4</v>
      </c>
      <c r="B195" s="49" t="s">
        <v>169</v>
      </c>
      <c r="C195" s="49">
        <v>0.75</v>
      </c>
      <c r="D195" s="49">
        <v>0.3</v>
      </c>
      <c r="E195" s="49">
        <v>0.42</v>
      </c>
      <c r="F195" s="109">
        <v>0.74939999999999996</v>
      </c>
      <c r="G195" s="106"/>
      <c r="H195" s="109">
        <v>0.2994</v>
      </c>
      <c r="I195" s="106"/>
      <c r="J195" s="109">
        <v>0.41920000000000002</v>
      </c>
      <c r="K195" s="106"/>
      <c r="L195" s="109">
        <f t="shared" si="40"/>
        <v>0.600000000000045</v>
      </c>
      <c r="M195" s="106"/>
      <c r="N195" s="109">
        <f t="shared" si="41"/>
        <v>0.599999999999989</v>
      </c>
      <c r="O195" s="106"/>
      <c r="P195" s="109">
        <f t="shared" si="42"/>
        <v>0.799999999999967</v>
      </c>
      <c r="Q195" s="106"/>
      <c r="R195" s="109">
        <f t="shared" si="43"/>
        <v>1.16619037896906</v>
      </c>
      <c r="S195" s="106"/>
      <c r="T195" s="124"/>
      <c r="U195" s="125"/>
      <c r="V195" s="124"/>
      <c r="W195" s="125"/>
      <c r="X195" s="124"/>
      <c r="Y195" s="125"/>
      <c r="Z195" s="109">
        <v>1.474</v>
      </c>
      <c r="AA195" s="106"/>
      <c r="AB195" s="109">
        <v>11.595800000000001</v>
      </c>
      <c r="AC195" s="106"/>
      <c r="AD195" s="109">
        <f t="shared" si="44"/>
        <v>13.0698</v>
      </c>
      <c r="AE195" s="106"/>
      <c r="AF195" s="49" t="s">
        <v>167</v>
      </c>
      <c r="AG195" s="49">
        <v>1</v>
      </c>
      <c r="AH195" s="49" t="s">
        <v>137</v>
      </c>
    </row>
    <row r="196" spans="1:34">
      <c r="A196" s="49">
        <v>5</v>
      </c>
      <c r="B196" s="49" t="s">
        <v>166</v>
      </c>
      <c r="C196" s="49">
        <v>0.5</v>
      </c>
      <c r="D196" s="49">
        <v>-0.3</v>
      </c>
      <c r="E196" s="49">
        <v>0.35</v>
      </c>
      <c r="F196" s="109">
        <v>0.50019999999999998</v>
      </c>
      <c r="G196" s="106"/>
      <c r="H196" s="109">
        <v>-0.29959999999999998</v>
      </c>
      <c r="I196" s="106"/>
      <c r="J196" s="109">
        <v>0.34960000000000002</v>
      </c>
      <c r="K196" s="106"/>
      <c r="L196" s="109">
        <f t="shared" si="40"/>
        <v>0.199999999999978</v>
      </c>
      <c r="M196" s="106"/>
      <c r="N196" s="109">
        <f t="shared" si="41"/>
        <v>0.400000000000011</v>
      </c>
      <c r="O196" s="106"/>
      <c r="P196" s="109">
        <f t="shared" si="42"/>
        <v>0.399999999999956</v>
      </c>
      <c r="Q196" s="106"/>
      <c r="R196" s="109">
        <f t="shared" si="43"/>
        <v>0.599999999999971</v>
      </c>
      <c r="S196" s="106"/>
      <c r="T196" s="124"/>
      <c r="U196" s="125"/>
      <c r="V196" s="124"/>
      <c r="W196" s="125"/>
      <c r="X196" s="124"/>
      <c r="Y196" s="125"/>
      <c r="Z196" s="109">
        <v>1.5763</v>
      </c>
      <c r="AA196" s="106"/>
      <c r="AB196" s="109">
        <v>10.318199999999999</v>
      </c>
      <c r="AC196" s="106"/>
      <c r="AD196" s="109">
        <f t="shared" si="44"/>
        <v>11.8945</v>
      </c>
      <c r="AE196" s="106"/>
      <c r="AF196" s="49" t="s">
        <v>167</v>
      </c>
      <c r="AG196" s="49">
        <v>1</v>
      </c>
      <c r="AH196" s="49" t="s">
        <v>137</v>
      </c>
    </row>
    <row r="197" spans="1:34">
      <c r="A197" s="49">
        <v>5</v>
      </c>
      <c r="B197" s="49" t="s">
        <v>169</v>
      </c>
      <c r="C197" s="49">
        <v>0.75</v>
      </c>
      <c r="D197" s="49">
        <v>0.3</v>
      </c>
      <c r="E197" s="49">
        <v>0.42</v>
      </c>
      <c r="F197" s="109">
        <v>0.75029999999999997</v>
      </c>
      <c r="G197" s="106"/>
      <c r="H197" s="109">
        <v>0.29930000000000001</v>
      </c>
      <c r="I197" s="106"/>
      <c r="J197" s="109">
        <v>0.42080000000000001</v>
      </c>
      <c r="K197" s="106"/>
      <c r="L197" s="109">
        <f t="shared" si="40"/>
        <v>0.299999999999967</v>
      </c>
      <c r="M197" s="106"/>
      <c r="N197" s="109">
        <f t="shared" si="41"/>
        <v>0.699999999999978</v>
      </c>
      <c r="O197" s="106"/>
      <c r="P197" s="109">
        <f t="shared" si="42"/>
        <v>0.800000000000023</v>
      </c>
      <c r="Q197" s="106"/>
      <c r="R197" s="109">
        <f t="shared" si="43"/>
        <v>1.10453610171872</v>
      </c>
      <c r="S197" s="106"/>
      <c r="T197" s="124"/>
      <c r="U197" s="125"/>
      <c r="V197" s="124"/>
      <c r="W197" s="125"/>
      <c r="X197" s="124"/>
      <c r="Y197" s="125"/>
      <c r="Z197" s="109">
        <v>1.5644</v>
      </c>
      <c r="AA197" s="106"/>
      <c r="AB197" s="109">
        <v>11.7806</v>
      </c>
      <c r="AC197" s="106"/>
      <c r="AD197" s="109">
        <f t="shared" si="44"/>
        <v>13.345</v>
      </c>
      <c r="AE197" s="106"/>
      <c r="AF197" s="49" t="s">
        <v>167</v>
      </c>
      <c r="AG197" s="49">
        <v>1</v>
      </c>
      <c r="AH197" s="49" t="s">
        <v>137</v>
      </c>
    </row>
    <row r="198" spans="1:34">
      <c r="A198" s="49">
        <v>6</v>
      </c>
      <c r="B198" s="49" t="s">
        <v>166</v>
      </c>
      <c r="C198" s="49">
        <v>0.5</v>
      </c>
      <c r="D198" s="49">
        <v>-0.3</v>
      </c>
      <c r="E198" s="49">
        <v>0.35</v>
      </c>
      <c r="F198" s="109">
        <v>0.50039999999999996</v>
      </c>
      <c r="G198" s="106"/>
      <c r="H198" s="109">
        <v>-0.2999</v>
      </c>
      <c r="I198" s="106"/>
      <c r="J198" s="109">
        <v>0.35070000000000001</v>
      </c>
      <c r="K198" s="106"/>
      <c r="L198" s="109">
        <f t="shared" si="40"/>
        <v>0.399999999999956</v>
      </c>
      <c r="M198" s="106"/>
      <c r="N198" s="109">
        <f t="shared" si="41"/>
        <v>0.099999999999989</v>
      </c>
      <c r="O198" s="106"/>
      <c r="P198" s="109">
        <f t="shared" si="42"/>
        <v>0.700000000000034</v>
      </c>
      <c r="Q198" s="106"/>
      <c r="R198" s="109">
        <f t="shared" si="43"/>
        <v>0.812403840463602</v>
      </c>
      <c r="S198" s="106"/>
      <c r="T198" s="124"/>
      <c r="U198" s="125"/>
      <c r="V198" s="124"/>
      <c r="W198" s="125"/>
      <c r="X198" s="124"/>
      <c r="Y198" s="125"/>
      <c r="Z198" s="109">
        <v>1.5195000000000001</v>
      </c>
      <c r="AA198" s="106"/>
      <c r="AB198" s="109">
        <v>9.9909999999999997</v>
      </c>
      <c r="AC198" s="106"/>
      <c r="AD198" s="109">
        <f t="shared" si="44"/>
        <v>11.5105</v>
      </c>
      <c r="AE198" s="106"/>
      <c r="AF198" s="49" t="s">
        <v>167</v>
      </c>
      <c r="AG198" s="49">
        <v>1</v>
      </c>
      <c r="AH198" s="49" t="s">
        <v>137</v>
      </c>
    </row>
    <row r="199" spans="1:34">
      <c r="A199" s="49">
        <v>6</v>
      </c>
      <c r="B199" s="49" t="s">
        <v>169</v>
      </c>
      <c r="C199" s="49">
        <v>0.75</v>
      </c>
      <c r="D199" s="49">
        <v>0.3</v>
      </c>
      <c r="E199" s="49">
        <v>0.42</v>
      </c>
      <c r="F199" s="109">
        <v>0.75</v>
      </c>
      <c r="G199" s="106"/>
      <c r="H199" s="109">
        <v>0.29970000000000002</v>
      </c>
      <c r="I199" s="106"/>
      <c r="J199" s="109">
        <v>0.41949999999999998</v>
      </c>
      <c r="K199" s="106"/>
      <c r="L199" s="109">
        <f t="shared" si="40"/>
        <v>0</v>
      </c>
      <c r="M199" s="106"/>
      <c r="N199" s="109">
        <f t="shared" si="41"/>
        <v>0.299999999999967</v>
      </c>
      <c r="O199" s="106"/>
      <c r="P199" s="109">
        <f t="shared" si="42"/>
        <v>0.5</v>
      </c>
      <c r="Q199" s="106"/>
      <c r="R199" s="109">
        <f t="shared" si="43"/>
        <v>0.583095189484513</v>
      </c>
      <c r="S199" s="106"/>
      <c r="T199" s="124"/>
      <c r="U199" s="125"/>
      <c r="V199" s="124"/>
      <c r="W199" s="125"/>
      <c r="X199" s="124"/>
      <c r="Y199" s="125"/>
      <c r="Z199" s="109">
        <v>1.5165</v>
      </c>
      <c r="AA199" s="106"/>
      <c r="AB199" s="109">
        <v>8.1206999999999994</v>
      </c>
      <c r="AC199" s="106"/>
      <c r="AD199" s="109">
        <f t="shared" si="44"/>
        <v>9.6372</v>
      </c>
      <c r="AE199" s="106"/>
      <c r="AF199" s="49" t="s">
        <v>167</v>
      </c>
      <c r="AG199" s="49">
        <v>1</v>
      </c>
      <c r="AH199" s="49" t="s">
        <v>137</v>
      </c>
    </row>
    <row r="200" spans="1:34">
      <c r="A200" s="49">
        <v>7</v>
      </c>
      <c r="B200" s="49" t="s">
        <v>166</v>
      </c>
      <c r="C200" s="49">
        <v>0.5</v>
      </c>
      <c r="D200" s="49">
        <v>-0.3</v>
      </c>
      <c r="E200" s="49">
        <v>0.35</v>
      </c>
      <c r="F200" s="109">
        <v>0.50129999999999997</v>
      </c>
      <c r="G200" s="106"/>
      <c r="H200" s="109">
        <v>-0.30049999999999999</v>
      </c>
      <c r="I200" s="106"/>
      <c r="J200" s="109">
        <v>0.3503</v>
      </c>
      <c r="K200" s="106"/>
      <c r="L200" s="109">
        <f t="shared" si="40"/>
        <v>1.29999999999997</v>
      </c>
      <c r="M200" s="106"/>
      <c r="N200" s="109">
        <f t="shared" si="41"/>
        <v>0.5</v>
      </c>
      <c r="O200" s="106"/>
      <c r="P200" s="109">
        <f t="shared" si="42"/>
        <v>0.300000000000022</v>
      </c>
      <c r="Q200" s="106"/>
      <c r="R200" s="109">
        <f t="shared" si="43"/>
        <v>1.42478068487748</v>
      </c>
      <c r="S200" s="106"/>
      <c r="T200" s="124"/>
      <c r="U200" s="125"/>
      <c r="V200" s="124"/>
      <c r="W200" s="125"/>
      <c r="X200" s="124"/>
      <c r="Y200" s="125"/>
      <c r="Z200" s="109">
        <v>1.5774999999999999</v>
      </c>
      <c r="AA200" s="106"/>
      <c r="AB200" s="109">
        <v>10.910600000000001</v>
      </c>
      <c r="AC200" s="106"/>
      <c r="AD200" s="109">
        <f t="shared" si="44"/>
        <v>12.4881</v>
      </c>
      <c r="AE200" s="106"/>
      <c r="AF200" s="49" t="s">
        <v>167</v>
      </c>
      <c r="AG200" s="49">
        <v>1</v>
      </c>
      <c r="AH200" s="49" t="s">
        <v>137</v>
      </c>
    </row>
    <row r="201" spans="1:34">
      <c r="A201" s="49">
        <v>7</v>
      </c>
      <c r="B201" s="49" t="s">
        <v>169</v>
      </c>
      <c r="C201" s="49">
        <v>0.75</v>
      </c>
      <c r="D201" s="49">
        <v>0.3</v>
      </c>
      <c r="E201" s="49">
        <v>0.42</v>
      </c>
      <c r="F201" s="109">
        <v>0.74950000000000006</v>
      </c>
      <c r="G201" s="106"/>
      <c r="H201" s="109">
        <v>0.29909999999999998</v>
      </c>
      <c r="I201" s="106"/>
      <c r="J201" s="109">
        <v>0.41980000000000001</v>
      </c>
      <c r="K201" s="106"/>
      <c r="L201" s="109">
        <f t="shared" si="40"/>
        <v>0.499999999999945</v>
      </c>
      <c r="M201" s="106"/>
      <c r="N201" s="109">
        <f t="shared" si="41"/>
        <v>0.900000000000012</v>
      </c>
      <c r="O201" s="106"/>
      <c r="P201" s="109">
        <f t="shared" si="42"/>
        <v>0.199999999999978</v>
      </c>
      <c r="Q201" s="106"/>
      <c r="R201" s="109">
        <f t="shared" si="43"/>
        <v>1.04880884817013</v>
      </c>
      <c r="S201" s="106"/>
      <c r="T201" s="124"/>
      <c r="U201" s="125"/>
      <c r="V201" s="124"/>
      <c r="W201" s="125"/>
      <c r="X201" s="124"/>
      <c r="Y201" s="125"/>
      <c r="Z201" s="109">
        <v>1.5002</v>
      </c>
      <c r="AA201" s="106"/>
      <c r="AB201" s="109">
        <v>11.385899999999999</v>
      </c>
      <c r="AC201" s="106"/>
      <c r="AD201" s="109">
        <f t="shared" si="44"/>
        <v>12.8861</v>
      </c>
      <c r="AE201" s="106"/>
      <c r="AF201" s="49" t="s">
        <v>167</v>
      </c>
      <c r="AG201" s="49">
        <v>1</v>
      </c>
      <c r="AH201" s="49" t="s">
        <v>137</v>
      </c>
    </row>
    <row r="202" spans="1:34">
      <c r="A202" s="49">
        <v>8</v>
      </c>
      <c r="B202" s="49" t="s">
        <v>166</v>
      </c>
      <c r="C202" s="49">
        <v>0.5</v>
      </c>
      <c r="D202" s="49">
        <v>-0.3</v>
      </c>
      <c r="E202" s="49">
        <v>0.35</v>
      </c>
      <c r="F202" s="109">
        <v>0.49959999999999999</v>
      </c>
      <c r="G202" s="106"/>
      <c r="H202" s="109">
        <v>-0.2999</v>
      </c>
      <c r="I202" s="106"/>
      <c r="J202" s="109">
        <v>0.34960000000000002</v>
      </c>
      <c r="K202" s="106"/>
      <c r="L202" s="109">
        <f t="shared" si="40"/>
        <v>0.400000000000011</v>
      </c>
      <c r="M202" s="106"/>
      <c r="N202" s="109">
        <f t="shared" si="41"/>
        <v>0.099999999999989</v>
      </c>
      <c r="O202" s="106"/>
      <c r="P202" s="109">
        <f t="shared" si="42"/>
        <v>0.399999999999956</v>
      </c>
      <c r="Q202" s="106"/>
      <c r="R202" s="109">
        <f t="shared" si="43"/>
        <v>0.574456264653778</v>
      </c>
      <c r="S202" s="106"/>
      <c r="T202" s="124"/>
      <c r="U202" s="125"/>
      <c r="V202" s="124"/>
      <c r="W202" s="125"/>
      <c r="X202" s="124"/>
      <c r="Y202" s="125"/>
      <c r="Z202" s="109">
        <v>1.5126999999999999</v>
      </c>
      <c r="AA202" s="106"/>
      <c r="AB202" s="109">
        <v>9.2551000000000005</v>
      </c>
      <c r="AC202" s="106"/>
      <c r="AD202" s="109">
        <f t="shared" si="44"/>
        <v>10.7678</v>
      </c>
      <c r="AE202" s="106"/>
      <c r="AF202" s="49" t="s">
        <v>167</v>
      </c>
      <c r="AG202" s="49">
        <v>1</v>
      </c>
      <c r="AH202" s="49" t="s">
        <v>137</v>
      </c>
    </row>
    <row r="203" spans="1:34">
      <c r="A203" s="49">
        <v>8</v>
      </c>
      <c r="B203" s="49" t="s">
        <v>169</v>
      </c>
      <c r="C203" s="49">
        <v>0.75</v>
      </c>
      <c r="D203" s="49">
        <v>0.3</v>
      </c>
      <c r="E203" s="49">
        <v>0.42</v>
      </c>
      <c r="F203" s="109">
        <v>0.74950000000000006</v>
      </c>
      <c r="G203" s="106"/>
      <c r="H203" s="109">
        <v>0.30020000000000002</v>
      </c>
      <c r="I203" s="106"/>
      <c r="J203" s="109">
        <v>0.42109999999999997</v>
      </c>
      <c r="K203" s="106"/>
      <c r="L203" s="109">
        <f t="shared" si="40"/>
        <v>0.499999999999945</v>
      </c>
      <c r="M203" s="106"/>
      <c r="N203" s="109">
        <f t="shared" si="41"/>
        <v>0.200000000000033</v>
      </c>
      <c r="O203" s="106"/>
      <c r="P203" s="109">
        <f t="shared" si="42"/>
        <v>1.09999999999999</v>
      </c>
      <c r="Q203" s="106"/>
      <c r="R203" s="109">
        <f t="shared" si="43"/>
        <v>1.22474487139156</v>
      </c>
      <c r="S203" s="106"/>
      <c r="T203" s="124"/>
      <c r="U203" s="125"/>
      <c r="V203" s="124"/>
      <c r="W203" s="125"/>
      <c r="X203" s="124"/>
      <c r="Y203" s="125"/>
      <c r="Z203" s="109">
        <v>1.5494000000000001</v>
      </c>
      <c r="AA203" s="106"/>
      <c r="AB203" s="109">
        <v>7.298</v>
      </c>
      <c r="AC203" s="106"/>
      <c r="AD203" s="109">
        <f t="shared" si="44"/>
        <v>8.8474</v>
      </c>
      <c r="AE203" s="106"/>
      <c r="AF203" s="49" t="s">
        <v>167</v>
      </c>
      <c r="AG203" s="49">
        <v>1</v>
      </c>
      <c r="AH203" s="49" t="s">
        <v>137</v>
      </c>
    </row>
    <row r="204" spans="1:34">
      <c r="A204" s="49">
        <v>9</v>
      </c>
      <c r="B204" s="49" t="s">
        <v>166</v>
      </c>
      <c r="C204" s="49">
        <v>0.5</v>
      </c>
      <c r="D204" s="49">
        <v>-0.3</v>
      </c>
      <c r="E204" s="49">
        <v>0.35</v>
      </c>
      <c r="F204" s="109">
        <v>0.50039999999999996</v>
      </c>
      <c r="G204" s="106"/>
      <c r="H204" s="109">
        <v>-0.30099999999999999</v>
      </c>
      <c r="I204" s="106"/>
      <c r="J204" s="109">
        <v>0.3503</v>
      </c>
      <c r="K204" s="106"/>
      <c r="L204" s="109">
        <f t="shared" si="40"/>
        <v>0.399999999999956</v>
      </c>
      <c r="M204" s="106"/>
      <c r="N204" s="109">
        <f t="shared" si="41"/>
        <v>1</v>
      </c>
      <c r="O204" s="106"/>
      <c r="P204" s="109">
        <f t="shared" si="42"/>
        <v>0.300000000000022</v>
      </c>
      <c r="Q204" s="106"/>
      <c r="R204" s="109">
        <f t="shared" si="43"/>
        <v>1.11803398874989</v>
      </c>
      <c r="S204" s="106"/>
      <c r="T204" s="124"/>
      <c r="U204" s="125"/>
      <c r="V204" s="124"/>
      <c r="W204" s="125"/>
      <c r="X204" s="124"/>
      <c r="Y204" s="125"/>
      <c r="Z204" s="109">
        <v>1.5506</v>
      </c>
      <c r="AA204" s="106"/>
      <c r="AB204" s="109">
        <v>8.3352000000000004</v>
      </c>
      <c r="AC204" s="106"/>
      <c r="AD204" s="109">
        <f t="shared" si="44"/>
        <v>9.8858</v>
      </c>
      <c r="AE204" s="106"/>
      <c r="AF204" s="49" t="s">
        <v>167</v>
      </c>
      <c r="AG204" s="49">
        <v>1</v>
      </c>
      <c r="AH204" s="49" t="s">
        <v>137</v>
      </c>
    </row>
    <row r="205" spans="1:34">
      <c r="A205" s="49">
        <v>9</v>
      </c>
      <c r="B205" s="49" t="s">
        <v>169</v>
      </c>
      <c r="C205" s="49">
        <v>0.75</v>
      </c>
      <c r="D205" s="49">
        <v>0.3</v>
      </c>
      <c r="E205" s="49">
        <v>0.42</v>
      </c>
      <c r="F205" s="109">
        <v>0.75060000000000004</v>
      </c>
      <c r="G205" s="106"/>
      <c r="H205" s="109">
        <v>0.29899999999999999</v>
      </c>
      <c r="I205" s="106"/>
      <c r="J205" s="109">
        <v>0.4199</v>
      </c>
      <c r="K205" s="106"/>
      <c r="L205" s="109">
        <f t="shared" si="40"/>
        <v>0.600000000000045</v>
      </c>
      <c r="M205" s="106"/>
      <c r="N205" s="109">
        <f t="shared" si="41"/>
        <v>1</v>
      </c>
      <c r="O205" s="106"/>
      <c r="P205" s="109">
        <f t="shared" si="42"/>
        <v>0.099999999999989</v>
      </c>
      <c r="Q205" s="106"/>
      <c r="R205" s="109">
        <f t="shared" si="43"/>
        <v>1.17046999107199</v>
      </c>
      <c r="S205" s="106"/>
      <c r="T205" s="124"/>
      <c r="U205" s="125"/>
      <c r="V205" s="124"/>
      <c r="W205" s="125"/>
      <c r="X205" s="124"/>
      <c r="Y205" s="125"/>
      <c r="Z205" s="109">
        <v>1.5531999999999999</v>
      </c>
      <c r="AA205" s="106"/>
      <c r="AB205" s="109">
        <v>9.2370000000000001</v>
      </c>
      <c r="AC205" s="106"/>
      <c r="AD205" s="109">
        <f t="shared" si="44"/>
        <v>10.7902</v>
      </c>
      <c r="AE205" s="106"/>
      <c r="AF205" s="49" t="s">
        <v>167</v>
      </c>
      <c r="AG205" s="49">
        <v>1</v>
      </c>
      <c r="AH205" s="49" t="s">
        <v>137</v>
      </c>
    </row>
    <row r="206" spans="1:34">
      <c r="A206" s="49">
        <v>10</v>
      </c>
      <c r="B206" s="49" t="s">
        <v>166</v>
      </c>
      <c r="C206" s="49">
        <v>0.5</v>
      </c>
      <c r="D206" s="49">
        <v>-0.3</v>
      </c>
      <c r="E206" s="49">
        <v>0.35</v>
      </c>
      <c r="F206" s="109">
        <v>0.50119999999999998</v>
      </c>
      <c r="G206" s="106"/>
      <c r="H206" s="109">
        <v>-0.30030000000000001</v>
      </c>
      <c r="I206" s="106"/>
      <c r="J206" s="109">
        <v>0.35120000000000001</v>
      </c>
      <c r="K206" s="106"/>
      <c r="L206" s="109">
        <f t="shared" si="40"/>
        <v>1.19999999999998</v>
      </c>
      <c r="M206" s="106"/>
      <c r="N206" s="109">
        <f t="shared" si="41"/>
        <v>0.300000000000022</v>
      </c>
      <c r="O206" s="106"/>
      <c r="P206" s="109">
        <f t="shared" si="42"/>
        <v>1.20000000000003</v>
      </c>
      <c r="Q206" s="106"/>
      <c r="R206" s="109">
        <f t="shared" si="43"/>
        <v>1.72336879396142</v>
      </c>
      <c r="S206" s="106"/>
      <c r="T206" s="124"/>
      <c r="U206" s="125"/>
      <c r="V206" s="124"/>
      <c r="W206" s="125"/>
      <c r="X206" s="124"/>
      <c r="Y206" s="125"/>
      <c r="Z206" s="109">
        <v>1.548</v>
      </c>
      <c r="AA206" s="106"/>
      <c r="AB206" s="109">
        <v>11.146800000000001</v>
      </c>
      <c r="AC206" s="106"/>
      <c r="AD206" s="109">
        <f t="shared" si="44"/>
        <v>12.6948</v>
      </c>
      <c r="AE206" s="106"/>
      <c r="AF206" s="49" t="s">
        <v>167</v>
      </c>
      <c r="AG206" s="49">
        <v>1</v>
      </c>
      <c r="AH206" s="49" t="s">
        <v>137</v>
      </c>
    </row>
    <row r="207" spans="1:34">
      <c r="A207" s="49">
        <v>10</v>
      </c>
      <c r="B207" s="49" t="s">
        <v>169</v>
      </c>
      <c r="C207" s="49">
        <v>0.75</v>
      </c>
      <c r="D207" s="49">
        <v>0.3</v>
      </c>
      <c r="E207" s="49">
        <v>0.42</v>
      </c>
      <c r="F207" s="109">
        <v>0.75</v>
      </c>
      <c r="G207" s="106"/>
      <c r="H207" s="109">
        <v>0.3004</v>
      </c>
      <c r="I207" s="106"/>
      <c r="J207" s="109">
        <v>0.42049999999999998</v>
      </c>
      <c r="K207" s="106"/>
      <c r="L207" s="109">
        <f t="shared" si="40"/>
        <v>0</v>
      </c>
      <c r="M207" s="106"/>
      <c r="N207" s="109">
        <f t="shared" si="41"/>
        <v>0.400000000000011</v>
      </c>
      <c r="O207" s="106"/>
      <c r="P207" s="109">
        <f t="shared" si="42"/>
        <v>0.5</v>
      </c>
      <c r="Q207" s="106"/>
      <c r="R207" s="109">
        <f t="shared" si="43"/>
        <v>0.640312423743292</v>
      </c>
      <c r="S207" s="106"/>
      <c r="T207" s="122"/>
      <c r="U207" s="123"/>
      <c r="V207" s="122"/>
      <c r="W207" s="123"/>
      <c r="X207" s="122"/>
      <c r="Y207" s="123"/>
      <c r="Z207" s="109">
        <v>1.5503</v>
      </c>
      <c r="AA207" s="106"/>
      <c r="AB207" s="109">
        <v>10.661899999999999</v>
      </c>
      <c r="AC207" s="106"/>
      <c r="AD207" s="109">
        <f t="shared" si="44"/>
        <v>12.2122</v>
      </c>
      <c r="AE207" s="106"/>
      <c r="AF207" s="49" t="s">
        <v>167</v>
      </c>
      <c r="AG207" s="49">
        <v>1</v>
      </c>
      <c r="AH207" s="49" t="s">
        <v>137</v>
      </c>
    </row>
    <row r="208" spans="1:34">
      <c r="A208" s="112" t="s">
        <v>179</v>
      </c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6"/>
    </row>
    <row r="209" spans="1:34" ht="8.85" customHeight="1">
      <c r="A209" s="107" t="s">
        <v>126</v>
      </c>
      <c r="B209" s="107" t="s">
        <v>143</v>
      </c>
      <c r="C209" s="107" t="s">
        <v>144</v>
      </c>
      <c r="D209" s="107" t="s">
        <v>145</v>
      </c>
      <c r="E209" s="107" t="s">
        <v>146</v>
      </c>
      <c r="F209" s="107" t="s">
        <v>147</v>
      </c>
      <c r="G209" s="121"/>
      <c r="H209" s="107" t="s">
        <v>148</v>
      </c>
      <c r="I209" s="121"/>
      <c r="J209" s="107" t="s">
        <v>149</v>
      </c>
      <c r="K209" s="121"/>
      <c r="L209" s="114" t="s">
        <v>150</v>
      </c>
      <c r="M209" s="121"/>
      <c r="N209" s="114" t="s">
        <v>151</v>
      </c>
      <c r="O209" s="121"/>
      <c r="P209" s="114" t="s">
        <v>152</v>
      </c>
      <c r="Q209" s="121"/>
      <c r="R209" s="107" t="s">
        <v>153</v>
      </c>
      <c r="S209" s="121"/>
      <c r="T209" s="107" t="s">
        <v>154</v>
      </c>
      <c r="U209" s="121"/>
      <c r="V209" s="107" t="s">
        <v>155</v>
      </c>
      <c r="W209" s="121"/>
      <c r="X209" s="107" t="s">
        <v>156</v>
      </c>
      <c r="Y209" s="121"/>
      <c r="Z209" s="107" t="s">
        <v>157</v>
      </c>
      <c r="AA209" s="121"/>
      <c r="AB209" s="107" t="s">
        <v>158</v>
      </c>
      <c r="AC209" s="121"/>
      <c r="AD209" s="107" t="s">
        <v>159</v>
      </c>
      <c r="AE209" s="121"/>
      <c r="AF209" s="107" t="s">
        <v>160</v>
      </c>
      <c r="AG209" s="107" t="s">
        <v>162</v>
      </c>
      <c r="AH209" s="107" t="s">
        <v>163</v>
      </c>
    </row>
    <row r="210" spans="1:34">
      <c r="A210" s="111"/>
      <c r="B210" s="111"/>
      <c r="C210" s="111"/>
      <c r="D210" s="111"/>
      <c r="E210" s="111"/>
      <c r="F210" s="122"/>
      <c r="G210" s="123"/>
      <c r="H210" s="122"/>
      <c r="I210" s="123"/>
      <c r="J210" s="122"/>
      <c r="K210" s="123"/>
      <c r="L210" s="122"/>
      <c r="M210" s="123"/>
      <c r="N210" s="122"/>
      <c r="O210" s="123"/>
      <c r="P210" s="122"/>
      <c r="Q210" s="123"/>
      <c r="R210" s="122"/>
      <c r="S210" s="123"/>
      <c r="T210" s="122"/>
      <c r="U210" s="123"/>
      <c r="V210" s="122"/>
      <c r="W210" s="123"/>
      <c r="X210" s="122"/>
      <c r="Y210" s="123"/>
      <c r="Z210" s="122"/>
      <c r="AA210" s="123"/>
      <c r="AB210" s="122"/>
      <c r="AC210" s="123"/>
      <c r="AD210" s="122"/>
      <c r="AE210" s="123"/>
      <c r="AF210" s="111"/>
      <c r="AG210" s="111"/>
      <c r="AH210" s="111"/>
    </row>
    <row r="211" spans="1:34">
      <c r="A211" s="49">
        <v>1</v>
      </c>
      <c r="B211" s="49" t="s">
        <v>166</v>
      </c>
      <c r="C211" s="49">
        <v>0.75</v>
      </c>
      <c r="D211" s="49">
        <v>0.3</v>
      </c>
      <c r="E211" s="49">
        <v>0.35</v>
      </c>
      <c r="F211" s="109">
        <v>0.75049999999999994</v>
      </c>
      <c r="G211" s="106"/>
      <c r="H211" s="109">
        <v>0.3</v>
      </c>
      <c r="I211" s="106"/>
      <c r="J211" s="109">
        <v>0.34989999999999999</v>
      </c>
      <c r="K211" s="106"/>
      <c r="L211" s="109">
        <f t="shared" ref="L211:L230" si="45">ABS(F211-C211)*1000</f>
        <v>0.499999999999945</v>
      </c>
      <c r="M211" s="106"/>
      <c r="N211" s="109">
        <f t="shared" ref="N211:N230" si="46">ABS(H211-D211)*1000</f>
        <v>0</v>
      </c>
      <c r="O211" s="106"/>
      <c r="P211" s="109">
        <f t="shared" ref="P211:P230" si="47">ABS(J211-E211)*1000</f>
        <v>0.099999999999989</v>
      </c>
      <c r="Q211" s="106"/>
      <c r="R211" s="109">
        <f t="shared" ref="R211:R230" si="48">SQRT(SUMSQ(L211:Q211))</f>
        <v>0.509901951359222</v>
      </c>
      <c r="S211" s="106"/>
      <c r="T211" s="109">
        <f>_xlfn.STDEV.S(F211:G230)</f>
        <v>0.128186821311298</v>
      </c>
      <c r="U211" s="121"/>
      <c r="V211" s="109">
        <f>_xlfn.STDEV.S(H211:I230)</f>
        <v>0.30795282939369</v>
      </c>
      <c r="W211" s="121"/>
      <c r="X211" s="109">
        <f>_xlfn.STDEV.S(J211:K230)</f>
        <v>0.0359995975854702</v>
      </c>
      <c r="Y211" s="121"/>
      <c r="Z211" s="109">
        <v>1.5508999999999999</v>
      </c>
      <c r="AA211" s="106"/>
      <c r="AB211" s="109">
        <v>10.7311</v>
      </c>
      <c r="AC211" s="106"/>
      <c r="AD211" s="109">
        <f t="shared" ref="AD211:AD230" si="49">AB211+Z211</f>
        <v>12.282</v>
      </c>
      <c r="AE211" s="106"/>
      <c r="AF211" s="49" t="s">
        <v>167</v>
      </c>
      <c r="AG211" s="49">
        <v>1</v>
      </c>
      <c r="AH211" s="49" t="s">
        <v>137</v>
      </c>
    </row>
    <row r="212" spans="1:34">
      <c r="A212" s="49">
        <v>1</v>
      </c>
      <c r="B212" s="49" t="s">
        <v>169</v>
      </c>
      <c r="C212" s="49">
        <v>0.5</v>
      </c>
      <c r="D212" s="49">
        <v>-0.3</v>
      </c>
      <c r="E212" s="49">
        <v>0.42</v>
      </c>
      <c r="F212" s="109">
        <v>0.49959999999999999</v>
      </c>
      <c r="G212" s="106"/>
      <c r="H212" s="109">
        <v>-0.3009</v>
      </c>
      <c r="I212" s="106"/>
      <c r="J212" s="109">
        <v>0.42020000000000002</v>
      </c>
      <c r="K212" s="106"/>
      <c r="L212" s="109">
        <f t="shared" si="45"/>
        <v>0.400000000000011</v>
      </c>
      <c r="M212" s="106"/>
      <c r="N212" s="109">
        <f t="shared" si="46"/>
        <v>0.900000000000012</v>
      </c>
      <c r="O212" s="106"/>
      <c r="P212" s="109">
        <f t="shared" si="47"/>
        <v>0.200000000000033</v>
      </c>
      <c r="Q212" s="106"/>
      <c r="R212" s="109">
        <f t="shared" si="48"/>
        <v>1.00498756211211</v>
      </c>
      <c r="S212" s="106"/>
      <c r="T212" s="124"/>
      <c r="U212" s="125"/>
      <c r="V212" s="124"/>
      <c r="W212" s="125"/>
      <c r="X212" s="124"/>
      <c r="Y212" s="125"/>
      <c r="Z212" s="109">
        <v>1.5467</v>
      </c>
      <c r="AA212" s="106"/>
      <c r="AB212" s="109">
        <v>10.289300000000001</v>
      </c>
      <c r="AC212" s="106"/>
      <c r="AD212" s="109">
        <f t="shared" si="49"/>
        <v>11.836</v>
      </c>
      <c r="AE212" s="106"/>
      <c r="AF212" s="49" t="s">
        <v>167</v>
      </c>
      <c r="AG212" s="49">
        <v>1</v>
      </c>
      <c r="AH212" s="49" t="s">
        <v>137</v>
      </c>
    </row>
    <row r="213" spans="1:34">
      <c r="A213" s="49">
        <v>2</v>
      </c>
      <c r="B213" s="49" t="s">
        <v>166</v>
      </c>
      <c r="C213" s="49">
        <v>0.75</v>
      </c>
      <c r="D213" s="49">
        <v>0.3</v>
      </c>
      <c r="E213" s="49">
        <v>0.35</v>
      </c>
      <c r="F213" s="109">
        <v>0.75049999999999994</v>
      </c>
      <c r="G213" s="106"/>
      <c r="H213" s="109">
        <v>0.3</v>
      </c>
      <c r="I213" s="106"/>
      <c r="J213" s="109">
        <v>0.34989999999999999</v>
      </c>
      <c r="K213" s="106"/>
      <c r="L213" s="109">
        <f t="shared" si="45"/>
        <v>0.499999999999945</v>
      </c>
      <c r="M213" s="106"/>
      <c r="N213" s="109">
        <f t="shared" si="46"/>
        <v>0</v>
      </c>
      <c r="O213" s="106"/>
      <c r="P213" s="109">
        <f t="shared" si="47"/>
        <v>0.099999999999989</v>
      </c>
      <c r="Q213" s="106"/>
      <c r="R213" s="109">
        <f t="shared" si="48"/>
        <v>0.509901951359222</v>
      </c>
      <c r="S213" s="106"/>
      <c r="T213" s="124"/>
      <c r="U213" s="125"/>
      <c r="V213" s="124"/>
      <c r="W213" s="125"/>
      <c r="X213" s="124"/>
      <c r="Y213" s="125"/>
      <c r="Z213" s="109">
        <v>1.5508999999999999</v>
      </c>
      <c r="AA213" s="106"/>
      <c r="AB213" s="109">
        <v>10.7311</v>
      </c>
      <c r="AC213" s="106"/>
      <c r="AD213" s="109">
        <f t="shared" si="49"/>
        <v>12.282</v>
      </c>
      <c r="AE213" s="106"/>
      <c r="AF213" s="49" t="s">
        <v>167</v>
      </c>
      <c r="AG213" s="49">
        <v>1</v>
      </c>
      <c r="AH213" s="49" t="s">
        <v>137</v>
      </c>
    </row>
    <row r="214" spans="1:34">
      <c r="A214" s="49">
        <v>2</v>
      </c>
      <c r="B214" s="49" t="s">
        <v>169</v>
      </c>
      <c r="C214" s="49">
        <v>0.5</v>
      </c>
      <c r="D214" s="49">
        <v>-0.3</v>
      </c>
      <c r="E214" s="49">
        <v>0.42</v>
      </c>
      <c r="F214" s="109">
        <v>0.50039999999999996</v>
      </c>
      <c r="G214" s="106"/>
      <c r="H214" s="109">
        <v>-0.30030000000000001</v>
      </c>
      <c r="I214" s="106"/>
      <c r="J214" s="109">
        <v>0.42080000000000001</v>
      </c>
      <c r="K214" s="106"/>
      <c r="L214" s="109">
        <f t="shared" si="45"/>
        <v>0.399999999999956</v>
      </c>
      <c r="M214" s="106"/>
      <c r="N214" s="109">
        <f t="shared" si="46"/>
        <v>0.300000000000022</v>
      </c>
      <c r="O214" s="106"/>
      <c r="P214" s="109">
        <f t="shared" si="47"/>
        <v>0.800000000000023</v>
      </c>
      <c r="Q214" s="106"/>
      <c r="R214" s="109">
        <f t="shared" si="48"/>
        <v>0.943398113205668</v>
      </c>
      <c r="S214" s="106"/>
      <c r="T214" s="124"/>
      <c r="U214" s="125"/>
      <c r="V214" s="124"/>
      <c r="W214" s="125"/>
      <c r="X214" s="124"/>
      <c r="Y214" s="125"/>
      <c r="Z214" s="109">
        <v>1.5287999999999999</v>
      </c>
      <c r="AA214" s="106"/>
      <c r="AB214" s="109">
        <v>8.9657999999999998</v>
      </c>
      <c r="AC214" s="106"/>
      <c r="AD214" s="109">
        <f t="shared" si="49"/>
        <v>10.4946</v>
      </c>
      <c r="AE214" s="106"/>
      <c r="AF214" s="49" t="s">
        <v>167</v>
      </c>
      <c r="AG214" s="49">
        <v>1</v>
      </c>
      <c r="AH214" s="49" t="s">
        <v>137</v>
      </c>
    </row>
    <row r="215" spans="1:34">
      <c r="A215" s="49">
        <v>3</v>
      </c>
      <c r="B215" s="49" t="s">
        <v>166</v>
      </c>
      <c r="C215" s="49">
        <v>0.75</v>
      </c>
      <c r="D215" s="49">
        <v>0.3</v>
      </c>
      <c r="E215" s="49">
        <v>0.35</v>
      </c>
      <c r="F215" s="109">
        <v>0.74929999999999997</v>
      </c>
      <c r="G215" s="106"/>
      <c r="H215" s="109">
        <v>0.29970000000000002</v>
      </c>
      <c r="I215" s="106"/>
      <c r="J215" s="109">
        <v>0.34920000000000001</v>
      </c>
      <c r="K215" s="106"/>
      <c r="L215" s="109">
        <f t="shared" si="45"/>
        <v>0.700000000000034</v>
      </c>
      <c r="M215" s="106"/>
      <c r="N215" s="109">
        <f t="shared" si="46"/>
        <v>0.299999999999967</v>
      </c>
      <c r="O215" s="106"/>
      <c r="P215" s="109">
        <f t="shared" si="47"/>
        <v>0.799999999999967</v>
      </c>
      <c r="Q215" s="106"/>
      <c r="R215" s="109">
        <f t="shared" si="48"/>
        <v>1.10453610171872</v>
      </c>
      <c r="S215" s="106"/>
      <c r="T215" s="124"/>
      <c r="U215" s="125"/>
      <c r="V215" s="124"/>
      <c r="W215" s="125"/>
      <c r="X215" s="124"/>
      <c r="Y215" s="125"/>
      <c r="Z215" s="109">
        <v>1.5541</v>
      </c>
      <c r="AA215" s="106"/>
      <c r="AB215" s="109">
        <v>10.290800000000001</v>
      </c>
      <c r="AC215" s="106"/>
      <c r="AD215" s="109">
        <f t="shared" si="49"/>
        <v>11.8449</v>
      </c>
      <c r="AE215" s="106"/>
      <c r="AF215" s="49" t="s">
        <v>167</v>
      </c>
      <c r="AG215" s="49">
        <v>1</v>
      </c>
      <c r="AH215" s="49" t="s">
        <v>137</v>
      </c>
    </row>
    <row r="216" spans="1:34">
      <c r="A216" s="49">
        <v>3</v>
      </c>
      <c r="B216" s="49" t="s">
        <v>169</v>
      </c>
      <c r="C216" s="49">
        <v>0.5</v>
      </c>
      <c r="D216" s="49">
        <v>-0.3</v>
      </c>
      <c r="E216" s="49">
        <v>0.42</v>
      </c>
      <c r="F216" s="109">
        <v>0.5</v>
      </c>
      <c r="G216" s="106"/>
      <c r="H216" s="109">
        <v>-0.30059999999999998</v>
      </c>
      <c r="I216" s="106"/>
      <c r="J216" s="109">
        <v>0.4204</v>
      </c>
      <c r="K216" s="106"/>
      <c r="L216" s="109">
        <f t="shared" si="45"/>
        <v>0</v>
      </c>
      <c r="M216" s="106"/>
      <c r="N216" s="109">
        <f t="shared" si="46"/>
        <v>0.599999999999989</v>
      </c>
      <c r="O216" s="106"/>
      <c r="P216" s="109">
        <f t="shared" si="47"/>
        <v>0.400000000000011</v>
      </c>
      <c r="Q216" s="106"/>
      <c r="R216" s="109">
        <f t="shared" si="48"/>
        <v>0.721110255092795</v>
      </c>
      <c r="S216" s="106"/>
      <c r="T216" s="124"/>
      <c r="U216" s="125"/>
      <c r="V216" s="124"/>
      <c r="W216" s="125"/>
      <c r="X216" s="124"/>
      <c r="Y216" s="125"/>
      <c r="Z216" s="109">
        <v>1.5621</v>
      </c>
      <c r="AA216" s="106"/>
      <c r="AB216" s="109">
        <v>11.979100000000001</v>
      </c>
      <c r="AC216" s="106"/>
      <c r="AD216" s="109">
        <f t="shared" si="49"/>
        <v>13.5412</v>
      </c>
      <c r="AE216" s="106"/>
      <c r="AF216" s="49" t="s">
        <v>167</v>
      </c>
      <c r="AG216" s="49">
        <v>1</v>
      </c>
      <c r="AH216" s="49" t="s">
        <v>137</v>
      </c>
    </row>
    <row r="217" spans="1:34">
      <c r="A217" s="49">
        <v>4</v>
      </c>
      <c r="B217" s="49" t="s">
        <v>166</v>
      </c>
      <c r="C217" s="49">
        <v>0.75</v>
      </c>
      <c r="D217" s="49">
        <v>0.3</v>
      </c>
      <c r="E217" s="49">
        <v>0.35</v>
      </c>
      <c r="F217" s="109">
        <v>0.74990000000000001</v>
      </c>
      <c r="G217" s="106"/>
      <c r="H217" s="109">
        <v>0.30030000000000001</v>
      </c>
      <c r="I217" s="106"/>
      <c r="J217" s="109">
        <v>0.35060000000000002</v>
      </c>
      <c r="K217" s="106"/>
      <c r="L217" s="109">
        <f t="shared" si="45"/>
        <v>0.099999999999989</v>
      </c>
      <c r="M217" s="106"/>
      <c r="N217" s="109">
        <f t="shared" si="46"/>
        <v>0.300000000000022</v>
      </c>
      <c r="O217" s="106"/>
      <c r="P217" s="109">
        <f t="shared" si="47"/>
        <v>0.600000000000045</v>
      </c>
      <c r="Q217" s="106"/>
      <c r="R217" s="109">
        <f t="shared" si="48"/>
        <v>0.678232998312575</v>
      </c>
      <c r="S217" s="106"/>
      <c r="T217" s="124"/>
      <c r="U217" s="125"/>
      <c r="V217" s="124"/>
      <c r="W217" s="125"/>
      <c r="X217" s="124"/>
      <c r="Y217" s="125"/>
      <c r="Z217" s="109">
        <v>1.5387999999999999</v>
      </c>
      <c r="AA217" s="106"/>
      <c r="AB217" s="109">
        <v>10.7813</v>
      </c>
      <c r="AC217" s="106"/>
      <c r="AD217" s="109">
        <f t="shared" si="49"/>
        <v>12.3201</v>
      </c>
      <c r="AE217" s="106"/>
      <c r="AF217" s="49" t="s">
        <v>167</v>
      </c>
      <c r="AG217" s="49">
        <v>1</v>
      </c>
      <c r="AH217" s="49" t="s">
        <v>137</v>
      </c>
    </row>
    <row r="218" spans="1:34">
      <c r="A218" s="49">
        <v>4</v>
      </c>
      <c r="B218" s="49" t="s">
        <v>169</v>
      </c>
      <c r="C218" s="49">
        <v>0.5</v>
      </c>
      <c r="D218" s="49">
        <v>-0.3</v>
      </c>
      <c r="E218" s="49">
        <v>0.42</v>
      </c>
      <c r="F218" s="109">
        <v>0.49959999999999999</v>
      </c>
      <c r="G218" s="106"/>
      <c r="H218" s="109">
        <v>-0.30109999999999998</v>
      </c>
      <c r="I218" s="106"/>
      <c r="J218" s="109">
        <v>0.42020000000000002</v>
      </c>
      <c r="K218" s="106"/>
      <c r="L218" s="109">
        <f t="shared" si="45"/>
        <v>0.400000000000011</v>
      </c>
      <c r="M218" s="106"/>
      <c r="N218" s="109">
        <f t="shared" si="46"/>
        <v>1.09999999999999</v>
      </c>
      <c r="O218" s="106"/>
      <c r="P218" s="109">
        <f t="shared" si="47"/>
        <v>0.200000000000033</v>
      </c>
      <c r="Q218" s="106"/>
      <c r="R218" s="109">
        <f t="shared" si="48"/>
        <v>1.18743420870379</v>
      </c>
      <c r="S218" s="106"/>
      <c r="T218" s="124"/>
      <c r="U218" s="125"/>
      <c r="V218" s="124"/>
      <c r="W218" s="125"/>
      <c r="X218" s="124"/>
      <c r="Y218" s="125"/>
      <c r="Z218" s="109">
        <v>1.5486</v>
      </c>
      <c r="AA218" s="106"/>
      <c r="AB218" s="109">
        <v>10.226699999999999</v>
      </c>
      <c r="AC218" s="106"/>
      <c r="AD218" s="109">
        <f t="shared" si="49"/>
        <v>11.7753</v>
      </c>
      <c r="AE218" s="106"/>
      <c r="AF218" s="49" t="s">
        <v>167</v>
      </c>
      <c r="AG218" s="49">
        <v>1</v>
      </c>
      <c r="AH218" s="49" t="s">
        <v>137</v>
      </c>
    </row>
    <row r="219" spans="1:34">
      <c r="A219" s="49">
        <v>5</v>
      </c>
      <c r="B219" s="49" t="s">
        <v>166</v>
      </c>
      <c r="C219" s="49">
        <v>0.75</v>
      </c>
      <c r="D219" s="49">
        <v>0.3</v>
      </c>
      <c r="E219" s="49">
        <v>0.35</v>
      </c>
      <c r="F219" s="109">
        <v>0.75029999999999997</v>
      </c>
      <c r="G219" s="106"/>
      <c r="H219" s="109">
        <v>0.29909999999999998</v>
      </c>
      <c r="I219" s="106"/>
      <c r="J219" s="109">
        <v>0.35089999999999999</v>
      </c>
      <c r="K219" s="106"/>
      <c r="L219" s="109">
        <f t="shared" si="45"/>
        <v>0.299999999999967</v>
      </c>
      <c r="M219" s="106"/>
      <c r="N219" s="109">
        <f t="shared" si="46"/>
        <v>0.900000000000012</v>
      </c>
      <c r="O219" s="106"/>
      <c r="P219" s="109">
        <f t="shared" si="47"/>
        <v>0.900000000000012</v>
      </c>
      <c r="Q219" s="106"/>
      <c r="R219" s="109">
        <f t="shared" si="48"/>
        <v>1.30766968306221</v>
      </c>
      <c r="S219" s="106"/>
      <c r="T219" s="124"/>
      <c r="U219" s="125"/>
      <c r="V219" s="124"/>
      <c r="W219" s="125"/>
      <c r="X219" s="124"/>
      <c r="Y219" s="125"/>
      <c r="Z219" s="109">
        <v>1.5610999999999999</v>
      </c>
      <c r="AA219" s="106"/>
      <c r="AB219" s="109">
        <v>10.7758</v>
      </c>
      <c r="AC219" s="106"/>
      <c r="AD219" s="109">
        <f t="shared" si="49"/>
        <v>12.3369</v>
      </c>
      <c r="AE219" s="106"/>
      <c r="AF219" s="49" t="s">
        <v>167</v>
      </c>
      <c r="AG219" s="49">
        <v>1</v>
      </c>
      <c r="AH219" s="49" t="s">
        <v>137</v>
      </c>
    </row>
    <row r="220" spans="1:34">
      <c r="A220" s="49">
        <v>5</v>
      </c>
      <c r="B220" s="49" t="s">
        <v>169</v>
      </c>
      <c r="C220" s="49">
        <v>0.5</v>
      </c>
      <c r="D220" s="49">
        <v>-0.3</v>
      </c>
      <c r="E220" s="49">
        <v>0.42</v>
      </c>
      <c r="F220" s="109">
        <v>0.50039999999999996</v>
      </c>
      <c r="G220" s="106"/>
      <c r="H220" s="109">
        <v>-0.30049999999999999</v>
      </c>
      <c r="I220" s="106"/>
      <c r="J220" s="109">
        <v>0.4209</v>
      </c>
      <c r="K220" s="106"/>
      <c r="L220" s="109">
        <f t="shared" si="45"/>
        <v>0.399999999999956</v>
      </c>
      <c r="M220" s="106"/>
      <c r="N220" s="109">
        <f t="shared" si="46"/>
        <v>0.5</v>
      </c>
      <c r="O220" s="106"/>
      <c r="P220" s="109">
        <f t="shared" si="47"/>
        <v>0.900000000000012</v>
      </c>
      <c r="Q220" s="106"/>
      <c r="R220" s="109">
        <f t="shared" si="48"/>
        <v>1.10453610171872</v>
      </c>
      <c r="S220" s="106"/>
      <c r="T220" s="124"/>
      <c r="U220" s="125"/>
      <c r="V220" s="124"/>
      <c r="W220" s="125"/>
      <c r="X220" s="124"/>
      <c r="Y220" s="125"/>
      <c r="Z220" s="109">
        <v>1.5455000000000001</v>
      </c>
      <c r="AA220" s="106"/>
      <c r="AB220" s="109">
        <v>9.0332000000000008</v>
      </c>
      <c r="AC220" s="106"/>
      <c r="AD220" s="109">
        <f t="shared" si="49"/>
        <v>10.5787</v>
      </c>
      <c r="AE220" s="106"/>
      <c r="AF220" s="49" t="s">
        <v>167</v>
      </c>
      <c r="AG220" s="49">
        <v>1</v>
      </c>
      <c r="AH220" s="49" t="s">
        <v>137</v>
      </c>
    </row>
    <row r="221" spans="1:34">
      <c r="A221" s="49">
        <v>6</v>
      </c>
      <c r="B221" s="49" t="s">
        <v>166</v>
      </c>
      <c r="C221" s="49">
        <v>0.75</v>
      </c>
      <c r="D221" s="49">
        <v>0.3</v>
      </c>
      <c r="E221" s="49">
        <v>0.35</v>
      </c>
      <c r="F221" s="109">
        <v>0.74970000000000003</v>
      </c>
      <c r="G221" s="106"/>
      <c r="H221" s="109">
        <v>0.30009999999999998</v>
      </c>
      <c r="I221" s="106"/>
      <c r="J221" s="109">
        <v>0.35070000000000001</v>
      </c>
      <c r="K221" s="106"/>
      <c r="L221" s="109">
        <f t="shared" si="45"/>
        <v>0.299999999999967</v>
      </c>
      <c r="M221" s="106"/>
      <c r="N221" s="109">
        <f t="shared" si="46"/>
        <v>0.099999999999989</v>
      </c>
      <c r="O221" s="106"/>
      <c r="P221" s="109">
        <f t="shared" si="47"/>
        <v>0.700000000000034</v>
      </c>
      <c r="Q221" s="106"/>
      <c r="R221" s="109">
        <f t="shared" si="48"/>
        <v>0.768114574786877</v>
      </c>
      <c r="S221" s="106"/>
      <c r="T221" s="124"/>
      <c r="U221" s="125"/>
      <c r="V221" s="124"/>
      <c r="W221" s="125"/>
      <c r="X221" s="124"/>
      <c r="Y221" s="125"/>
      <c r="Z221" s="109">
        <f>0.492+1</f>
        <v>1.492</v>
      </c>
      <c r="AA221" s="106"/>
      <c r="AB221" s="109">
        <v>9.9717000000000002</v>
      </c>
      <c r="AC221" s="106"/>
      <c r="AD221" s="109">
        <f t="shared" si="49"/>
        <v>11.4637</v>
      </c>
      <c r="AE221" s="106"/>
      <c r="AF221" s="49" t="s">
        <v>167</v>
      </c>
      <c r="AG221" s="49">
        <v>1</v>
      </c>
      <c r="AH221" s="49" t="s">
        <v>137</v>
      </c>
    </row>
    <row r="222" spans="1:34">
      <c r="A222" s="49">
        <v>6</v>
      </c>
      <c r="B222" s="49" t="s">
        <v>169</v>
      </c>
      <c r="C222" s="49">
        <v>0.5</v>
      </c>
      <c r="D222" s="49">
        <v>-0.3</v>
      </c>
      <c r="E222" s="49">
        <v>0.42</v>
      </c>
      <c r="F222" s="109">
        <v>0.50049999999999994</v>
      </c>
      <c r="G222" s="106"/>
      <c r="H222" s="109">
        <v>-0.3004</v>
      </c>
      <c r="I222" s="106"/>
      <c r="J222" s="109">
        <v>0.42009999999999997</v>
      </c>
      <c r="K222" s="106"/>
      <c r="L222" s="109">
        <f t="shared" si="45"/>
        <v>0.499999999999945</v>
      </c>
      <c r="M222" s="106"/>
      <c r="N222" s="109">
        <f t="shared" si="46"/>
        <v>0.400000000000011</v>
      </c>
      <c r="O222" s="106"/>
      <c r="P222" s="109">
        <f t="shared" si="47"/>
        <v>0.099999999999989</v>
      </c>
      <c r="Q222" s="106"/>
      <c r="R222" s="109">
        <f t="shared" si="48"/>
        <v>0.648074069840749</v>
      </c>
      <c r="S222" s="106"/>
      <c r="T222" s="124"/>
      <c r="U222" s="125"/>
      <c r="V222" s="124"/>
      <c r="W222" s="125"/>
      <c r="X222" s="124"/>
      <c r="Y222" s="125"/>
      <c r="Z222" s="109">
        <v>1.5526</v>
      </c>
      <c r="AA222" s="106"/>
      <c r="AB222" s="109">
        <v>10.6454</v>
      </c>
      <c r="AC222" s="106"/>
      <c r="AD222" s="109">
        <f t="shared" si="49"/>
        <v>12.198</v>
      </c>
      <c r="AE222" s="106"/>
      <c r="AF222" s="49" t="s">
        <v>167</v>
      </c>
      <c r="AG222" s="49">
        <v>1</v>
      </c>
      <c r="AH222" s="49" t="s">
        <v>137</v>
      </c>
    </row>
    <row r="223" spans="1:34">
      <c r="A223" s="49">
        <v>7</v>
      </c>
      <c r="B223" s="49" t="s">
        <v>166</v>
      </c>
      <c r="C223" s="49">
        <v>0.75</v>
      </c>
      <c r="D223" s="49">
        <v>0.3</v>
      </c>
      <c r="E223" s="49">
        <v>0.35</v>
      </c>
      <c r="F223" s="109">
        <v>0.74970000000000003</v>
      </c>
      <c r="G223" s="106"/>
      <c r="H223" s="109">
        <v>0.30020000000000002</v>
      </c>
      <c r="I223" s="106"/>
      <c r="J223" s="109">
        <v>0.35060000000000002</v>
      </c>
      <c r="K223" s="106"/>
      <c r="L223" s="109">
        <f t="shared" si="45"/>
        <v>0.299999999999967</v>
      </c>
      <c r="M223" s="106"/>
      <c r="N223" s="109">
        <f t="shared" si="46"/>
        <v>0.200000000000033</v>
      </c>
      <c r="O223" s="106"/>
      <c r="P223" s="109">
        <f t="shared" si="47"/>
        <v>0.600000000000045</v>
      </c>
      <c r="Q223" s="106"/>
      <c r="R223" s="109">
        <f t="shared" si="48"/>
        <v>0.700000000000034</v>
      </c>
      <c r="S223" s="106"/>
      <c r="T223" s="124"/>
      <c r="U223" s="125"/>
      <c r="V223" s="124"/>
      <c r="W223" s="125"/>
      <c r="X223" s="124"/>
      <c r="Y223" s="125"/>
      <c r="Z223" s="109">
        <v>1.5195000000000001</v>
      </c>
      <c r="AA223" s="106"/>
      <c r="AB223" s="109">
        <v>8.6266999999999996</v>
      </c>
      <c r="AC223" s="106"/>
      <c r="AD223" s="109">
        <f t="shared" si="49"/>
        <v>10.1462</v>
      </c>
      <c r="AE223" s="106"/>
      <c r="AF223" s="49" t="s">
        <v>167</v>
      </c>
      <c r="AG223" s="49">
        <v>1</v>
      </c>
      <c r="AH223" s="49" t="s">
        <v>137</v>
      </c>
    </row>
    <row r="224" spans="1:34">
      <c r="A224" s="49">
        <v>7</v>
      </c>
      <c r="B224" s="49" t="s">
        <v>169</v>
      </c>
      <c r="C224" s="49">
        <v>0.5</v>
      </c>
      <c r="D224" s="49">
        <v>-0.3</v>
      </c>
      <c r="E224" s="49">
        <v>0.42</v>
      </c>
      <c r="F224" s="109">
        <v>0.4995</v>
      </c>
      <c r="G224" s="106"/>
      <c r="H224" s="109">
        <v>-0.29980000000000001</v>
      </c>
      <c r="I224" s="106"/>
      <c r="J224" s="109">
        <v>0.4199</v>
      </c>
      <c r="K224" s="106"/>
      <c r="L224" s="109">
        <f t="shared" si="45"/>
        <v>0.5</v>
      </c>
      <c r="M224" s="106"/>
      <c r="N224" s="109">
        <f t="shared" si="46"/>
        <v>0.199999999999978</v>
      </c>
      <c r="O224" s="106"/>
      <c r="P224" s="109">
        <f t="shared" si="47"/>
        <v>0.099999999999989</v>
      </c>
      <c r="Q224" s="106"/>
      <c r="R224" s="109">
        <f t="shared" si="48"/>
        <v>0.547722557505157</v>
      </c>
      <c r="S224" s="106"/>
      <c r="T224" s="124"/>
      <c r="U224" s="125"/>
      <c r="V224" s="124"/>
      <c r="W224" s="125"/>
      <c r="X224" s="124"/>
      <c r="Y224" s="125"/>
      <c r="Z224" s="109">
        <v>1.5881000000000001</v>
      </c>
      <c r="AA224" s="106"/>
      <c r="AB224" s="109">
        <v>8.0152999999999999</v>
      </c>
      <c r="AC224" s="106"/>
      <c r="AD224" s="109">
        <f t="shared" si="49"/>
        <v>9.6034</v>
      </c>
      <c r="AE224" s="106"/>
      <c r="AF224" s="49" t="s">
        <v>167</v>
      </c>
      <c r="AG224" s="49">
        <v>1</v>
      </c>
      <c r="AH224" s="49" t="s">
        <v>137</v>
      </c>
    </row>
    <row r="225" spans="1:34">
      <c r="A225" s="49">
        <v>8</v>
      </c>
      <c r="B225" s="49" t="s">
        <v>166</v>
      </c>
      <c r="C225" s="49">
        <v>0.75</v>
      </c>
      <c r="D225" s="49">
        <v>0.3</v>
      </c>
      <c r="E225" s="49">
        <v>0.35</v>
      </c>
      <c r="F225" s="109">
        <v>0.75070000000000003</v>
      </c>
      <c r="G225" s="106"/>
      <c r="H225" s="109">
        <v>0.29980000000000001</v>
      </c>
      <c r="I225" s="106"/>
      <c r="J225" s="109">
        <v>0.3503</v>
      </c>
      <c r="K225" s="106"/>
      <c r="L225" s="109">
        <f t="shared" si="45"/>
        <v>0.700000000000034</v>
      </c>
      <c r="M225" s="106"/>
      <c r="N225" s="109">
        <f t="shared" si="46"/>
        <v>0.199999999999978</v>
      </c>
      <c r="O225" s="106"/>
      <c r="P225" s="109">
        <f t="shared" si="47"/>
        <v>0.300000000000022</v>
      </c>
      <c r="Q225" s="106"/>
      <c r="R225" s="109">
        <f t="shared" si="48"/>
        <v>0.787400787401214</v>
      </c>
      <c r="S225" s="106"/>
      <c r="T225" s="124"/>
      <c r="U225" s="125"/>
      <c r="V225" s="124"/>
      <c r="W225" s="125"/>
      <c r="X225" s="124"/>
      <c r="Y225" s="125"/>
      <c r="Z225" s="109">
        <v>1.5558000000000001</v>
      </c>
      <c r="AA225" s="106"/>
      <c r="AB225" s="109">
        <v>9.8161000000000005</v>
      </c>
      <c r="AC225" s="106"/>
      <c r="AD225" s="109">
        <f t="shared" si="49"/>
        <v>11.3719</v>
      </c>
      <c r="AE225" s="106"/>
      <c r="AF225" s="49" t="s">
        <v>167</v>
      </c>
      <c r="AG225" s="49">
        <v>1</v>
      </c>
      <c r="AH225" s="49" t="s">
        <v>137</v>
      </c>
    </row>
    <row r="226" spans="1:34">
      <c r="A226" s="49">
        <v>8</v>
      </c>
      <c r="B226" s="49" t="s">
        <v>169</v>
      </c>
      <c r="C226" s="49">
        <v>0.5</v>
      </c>
      <c r="D226" s="49">
        <v>-0.3</v>
      </c>
      <c r="E226" s="49">
        <v>0.42</v>
      </c>
      <c r="F226" s="109">
        <v>0.50129999999999997</v>
      </c>
      <c r="G226" s="106"/>
      <c r="H226" s="109">
        <v>-0.30109999999999998</v>
      </c>
      <c r="I226" s="106"/>
      <c r="J226" s="109">
        <v>0.42070000000000002</v>
      </c>
      <c r="K226" s="106"/>
      <c r="L226" s="109">
        <f t="shared" si="45"/>
        <v>1.29999999999997</v>
      </c>
      <c r="M226" s="106"/>
      <c r="N226" s="109">
        <f t="shared" si="46"/>
        <v>1.09999999999999</v>
      </c>
      <c r="O226" s="106"/>
      <c r="P226" s="109">
        <f t="shared" si="47"/>
        <v>0.700000000000034</v>
      </c>
      <c r="Q226" s="106"/>
      <c r="R226" s="109">
        <f t="shared" si="48"/>
        <v>1.84119526395218</v>
      </c>
      <c r="S226" s="106"/>
      <c r="T226" s="124"/>
      <c r="U226" s="125"/>
      <c r="V226" s="124"/>
      <c r="W226" s="125"/>
      <c r="X226" s="124"/>
      <c r="Y226" s="125"/>
      <c r="Z226" s="109">
        <v>1.5244</v>
      </c>
      <c r="AA226" s="106"/>
      <c r="AB226" s="109">
        <v>9.3872999999999998</v>
      </c>
      <c r="AC226" s="106"/>
      <c r="AD226" s="109">
        <f t="shared" si="49"/>
        <v>10.9117</v>
      </c>
      <c r="AE226" s="106"/>
      <c r="AF226" s="49" t="s">
        <v>167</v>
      </c>
      <c r="AG226" s="49">
        <v>1</v>
      </c>
      <c r="AH226" s="49" t="s">
        <v>137</v>
      </c>
    </row>
    <row r="227" spans="1:34">
      <c r="A227" s="49">
        <v>9</v>
      </c>
      <c r="B227" s="49" t="s">
        <v>166</v>
      </c>
      <c r="C227" s="49">
        <v>0.75</v>
      </c>
      <c r="D227" s="49">
        <v>0.3</v>
      </c>
      <c r="E227" s="49">
        <v>0.35</v>
      </c>
      <c r="F227" s="109">
        <v>0.75070000000000003</v>
      </c>
      <c r="G227" s="106"/>
      <c r="H227" s="109">
        <v>0.29949999999999999</v>
      </c>
      <c r="I227" s="106"/>
      <c r="J227" s="109">
        <v>0.35010000000000002</v>
      </c>
      <c r="K227" s="106"/>
      <c r="L227" s="109">
        <f t="shared" si="45"/>
        <v>0.700000000000034</v>
      </c>
      <c r="M227" s="106"/>
      <c r="N227" s="109">
        <f t="shared" si="46"/>
        <v>0.5</v>
      </c>
      <c r="O227" s="106"/>
      <c r="P227" s="109">
        <f t="shared" si="47"/>
        <v>0.100000000000045</v>
      </c>
      <c r="Q227" s="106"/>
      <c r="R227" s="109">
        <f t="shared" si="48"/>
        <v>0.866025403784472</v>
      </c>
      <c r="S227" s="106"/>
      <c r="T227" s="124"/>
      <c r="U227" s="125"/>
      <c r="V227" s="124"/>
      <c r="W227" s="125"/>
      <c r="X227" s="124"/>
      <c r="Y227" s="125"/>
      <c r="Z227" s="109">
        <v>1.5573999999999999</v>
      </c>
      <c r="AA227" s="106"/>
      <c r="AB227" s="109">
        <v>8.1546000000000003</v>
      </c>
      <c r="AC227" s="106"/>
      <c r="AD227" s="109">
        <f t="shared" si="49"/>
        <v>9.712</v>
      </c>
      <c r="AE227" s="106"/>
      <c r="AF227" s="49" t="s">
        <v>167</v>
      </c>
      <c r="AG227" s="49">
        <v>1</v>
      </c>
      <c r="AH227" s="49" t="s">
        <v>137</v>
      </c>
    </row>
    <row r="228" spans="1:34">
      <c r="A228" s="49">
        <v>9</v>
      </c>
      <c r="B228" s="49" t="s">
        <v>169</v>
      </c>
      <c r="C228" s="49">
        <v>0.5</v>
      </c>
      <c r="D228" s="49">
        <v>-0.3</v>
      </c>
      <c r="E228" s="49">
        <v>0.42</v>
      </c>
      <c r="F228" s="109">
        <v>0.50009999999999999</v>
      </c>
      <c r="G228" s="106"/>
      <c r="H228" s="109">
        <v>-0.2999</v>
      </c>
      <c r="I228" s="106"/>
      <c r="J228" s="109">
        <v>0.41959999999999997</v>
      </c>
      <c r="K228" s="106"/>
      <c r="L228" s="109">
        <f t="shared" si="45"/>
        <v>0.099999999999989</v>
      </c>
      <c r="M228" s="106"/>
      <c r="N228" s="109">
        <f t="shared" si="46"/>
        <v>0.099999999999989</v>
      </c>
      <c r="O228" s="106"/>
      <c r="P228" s="109">
        <f t="shared" si="47"/>
        <v>0.400000000000011</v>
      </c>
      <c r="Q228" s="106"/>
      <c r="R228" s="109">
        <f t="shared" si="48"/>
        <v>0.424264068711934</v>
      </c>
      <c r="S228" s="106"/>
      <c r="T228" s="124"/>
      <c r="U228" s="125"/>
      <c r="V228" s="124"/>
      <c r="W228" s="125"/>
      <c r="X228" s="124"/>
      <c r="Y228" s="125"/>
      <c r="Z228" s="109">
        <v>1.5517000000000001</v>
      </c>
      <c r="AA228" s="106"/>
      <c r="AB228" s="109">
        <v>7.6618000000000004</v>
      </c>
      <c r="AC228" s="106"/>
      <c r="AD228" s="109">
        <f t="shared" si="49"/>
        <v>9.2135</v>
      </c>
      <c r="AE228" s="106"/>
      <c r="AF228" s="49" t="s">
        <v>167</v>
      </c>
      <c r="AG228" s="49">
        <v>1</v>
      </c>
      <c r="AH228" s="49" t="s">
        <v>137</v>
      </c>
    </row>
    <row r="229" spans="1:34">
      <c r="A229" s="49">
        <v>10</v>
      </c>
      <c r="B229" s="49" t="s">
        <v>166</v>
      </c>
      <c r="C229" s="49">
        <v>0.75</v>
      </c>
      <c r="D229" s="49">
        <v>0.3</v>
      </c>
      <c r="E229" s="49">
        <v>0.35</v>
      </c>
      <c r="F229" s="109">
        <v>0.74939999999999996</v>
      </c>
      <c r="G229" s="106"/>
      <c r="H229" s="109">
        <v>0.29909999999999998</v>
      </c>
      <c r="I229" s="106"/>
      <c r="J229" s="109">
        <v>0.34949999999999998</v>
      </c>
      <c r="K229" s="106"/>
      <c r="L229" s="109">
        <f t="shared" si="45"/>
        <v>0.600000000000045</v>
      </c>
      <c r="M229" s="106"/>
      <c r="N229" s="109">
        <f t="shared" si="46"/>
        <v>0.900000000000012</v>
      </c>
      <c r="O229" s="106"/>
      <c r="P229" s="109">
        <f t="shared" si="47"/>
        <v>0.5</v>
      </c>
      <c r="Q229" s="106"/>
      <c r="R229" s="109">
        <f t="shared" si="48"/>
        <v>1.19163752878133</v>
      </c>
      <c r="S229" s="106"/>
      <c r="T229" s="124"/>
      <c r="U229" s="125"/>
      <c r="V229" s="124"/>
      <c r="W229" s="125"/>
      <c r="X229" s="124"/>
      <c r="Y229" s="125"/>
      <c r="Z229" s="109">
        <v>1.5548999999999999</v>
      </c>
      <c r="AA229" s="106"/>
      <c r="AB229" s="109">
        <v>10.4747</v>
      </c>
      <c r="AC229" s="106"/>
      <c r="AD229" s="109">
        <f t="shared" si="49"/>
        <v>12.0296</v>
      </c>
      <c r="AE229" s="106"/>
      <c r="AF229" s="49" t="s">
        <v>167</v>
      </c>
      <c r="AG229" s="49">
        <v>1</v>
      </c>
      <c r="AH229" s="49" t="s">
        <v>137</v>
      </c>
    </row>
    <row r="230" spans="1:34">
      <c r="A230" s="49">
        <v>10</v>
      </c>
      <c r="B230" s="49" t="s">
        <v>169</v>
      </c>
      <c r="C230" s="49">
        <v>0.5</v>
      </c>
      <c r="D230" s="49">
        <v>-0.3</v>
      </c>
      <c r="E230" s="49">
        <v>0.42</v>
      </c>
      <c r="F230" s="109">
        <v>0.50049999999999994</v>
      </c>
      <c r="G230" s="106"/>
      <c r="H230" s="109">
        <v>-0.30070000000000002</v>
      </c>
      <c r="I230" s="106"/>
      <c r="J230" s="109">
        <v>0.42059999999999997</v>
      </c>
      <c r="K230" s="106"/>
      <c r="L230" s="109">
        <f t="shared" si="45"/>
        <v>0.499999999999945</v>
      </c>
      <c r="M230" s="106"/>
      <c r="N230" s="109">
        <f t="shared" si="46"/>
        <v>0.700000000000034</v>
      </c>
      <c r="O230" s="106"/>
      <c r="P230" s="109">
        <f t="shared" si="47"/>
        <v>0.599999999999989</v>
      </c>
      <c r="Q230" s="106"/>
      <c r="R230" s="109">
        <f t="shared" si="48"/>
        <v>1.04880884817014</v>
      </c>
      <c r="S230" s="106"/>
      <c r="T230" s="122"/>
      <c r="U230" s="123"/>
      <c r="V230" s="122"/>
      <c r="W230" s="123"/>
      <c r="X230" s="122"/>
      <c r="Y230" s="123"/>
      <c r="Z230" s="109">
        <v>1.5423</v>
      </c>
      <c r="AA230" s="106"/>
      <c r="AB230" s="109">
        <v>11.150399999999999</v>
      </c>
      <c r="AC230" s="106"/>
      <c r="AD230" s="109">
        <f t="shared" si="49"/>
        <v>12.6927</v>
      </c>
      <c r="AE230" s="106"/>
      <c r="AF230" s="49" t="s">
        <v>167</v>
      </c>
      <c r="AG230" s="49">
        <v>1</v>
      </c>
      <c r="AH230" s="49" t="s">
        <v>137</v>
      </c>
    </row>
  </sheetData>
  <mergeCells count="2250">
    <mergeCell ref="AD225:AE225"/>
    <mergeCell ref="N58:O58"/>
    <mergeCell ref="N33:O33"/>
    <mergeCell ref="AD217:AE217"/>
    <mergeCell ref="F101:G101"/>
    <mergeCell ref="R35:S35"/>
    <mergeCell ref="AB154:AC154"/>
    <mergeCell ref="Z121:AA121"/>
    <mergeCell ref="F100:G100"/>
    <mergeCell ref="L181:M181"/>
    <mergeCell ref="AD129:AE129"/>
    <mergeCell ref="J224:K224"/>
    <mergeCell ref="L199:M199"/>
    <mergeCell ref="H219:I219"/>
    <mergeCell ref="R201:S201"/>
    <mergeCell ref="Z161:AA161"/>
    <mergeCell ref="B71:B72"/>
    <mergeCell ref="AB168:AC168"/>
    <mergeCell ref="H147:I147"/>
    <mergeCell ref="R169:S169"/>
    <mergeCell ref="Z97:AA97"/>
    <mergeCell ref="AB159:AC159"/>
    <mergeCell ref="AB153:AC153"/>
    <mergeCell ref="P71:Q72"/>
    <mergeCell ref="C117:C118"/>
    <mergeCell ref="AB111:AC111"/>
    <mergeCell ref="H90:I90"/>
    <mergeCell ref="P147:Q147"/>
    <mergeCell ref="Z123:AA123"/>
    <mergeCell ref="F102:G102"/>
    <mergeCell ref="H158:I158"/>
    <mergeCell ref="H77:I77"/>
    <mergeCell ref="AD193:AE193"/>
    <mergeCell ref="AG163:AG164"/>
    <mergeCell ref="L203:M203"/>
    <mergeCell ref="AB89:AC89"/>
    <mergeCell ref="P186:Q187"/>
    <mergeCell ref="R123:S123"/>
    <mergeCell ref="AB197:AC197"/>
    <mergeCell ref="R203:S203"/>
    <mergeCell ref="AF140:AF141"/>
    <mergeCell ref="R188:S188"/>
    <mergeCell ref="AB179:AC179"/>
    <mergeCell ref="R190:S190"/>
    <mergeCell ref="L170:M170"/>
    <mergeCell ref="L165:M165"/>
    <mergeCell ref="Z134:AA134"/>
    <mergeCell ref="P145:Q145"/>
    <mergeCell ref="AB216:AC216"/>
    <mergeCell ref="Z181:AA181"/>
    <mergeCell ref="R96:S96"/>
    <mergeCell ref="L201:M201"/>
    <mergeCell ref="AB87:AC87"/>
    <mergeCell ref="AB94:AC95"/>
    <mergeCell ref="R98:S98"/>
    <mergeCell ref="Z167:AA167"/>
    <mergeCell ref="AH117:AH118"/>
    <mergeCell ref="A2:A3"/>
    <mergeCell ref="H52:I52"/>
    <mergeCell ref="H79:I79"/>
    <mergeCell ref="P39:Q39"/>
    <mergeCell ref="J108:K108"/>
    <mergeCell ref="Z21:AA21"/>
    <mergeCell ref="H45:I45"/>
    <mergeCell ref="P32:Q32"/>
    <mergeCell ref="H81:I81"/>
    <mergeCell ref="Z29:AA29"/>
    <mergeCell ref="H37:I37"/>
    <mergeCell ref="R97:S97"/>
    <mergeCell ref="Z23:AA23"/>
    <mergeCell ref="F34:G34"/>
    <mergeCell ref="H63:I63"/>
    <mergeCell ref="AD132:AE132"/>
    <mergeCell ref="L146:M146"/>
    <mergeCell ref="C71:C72"/>
    <mergeCell ref="Z57:AA57"/>
    <mergeCell ref="AB113:AC113"/>
    <mergeCell ref="R108:S108"/>
    <mergeCell ref="R124:S124"/>
    <mergeCell ref="H119:I119"/>
    <mergeCell ref="AB115:AC115"/>
    <mergeCell ref="R109:S109"/>
    <mergeCell ref="D117:D118"/>
    <mergeCell ref="P78:Q78"/>
    <mergeCell ref="J137:K137"/>
    <mergeCell ref="P60:Q60"/>
    <mergeCell ref="R66:S66"/>
    <mergeCell ref="J106:K106"/>
    <mergeCell ref="AG94:AG95"/>
    <mergeCell ref="J126:K126"/>
    <mergeCell ref="H53:I53"/>
    <mergeCell ref="AB74:AC74"/>
    <mergeCell ref="P110:Q110"/>
    <mergeCell ref="J82:K82"/>
    <mergeCell ref="Z101:AA101"/>
    <mergeCell ref="AB76:AC76"/>
    <mergeCell ref="H55:I55"/>
    <mergeCell ref="AF94:AF95"/>
    <mergeCell ref="R68:S68"/>
    <mergeCell ref="R61:S61"/>
    <mergeCell ref="N86:O86"/>
    <mergeCell ref="H59:I59"/>
    <mergeCell ref="N81:O81"/>
    <mergeCell ref="J71:K72"/>
    <mergeCell ref="AD204:AE204"/>
    <mergeCell ref="N13:O13"/>
    <mergeCell ref="AD206:AE206"/>
    <mergeCell ref="F25:G26"/>
    <mergeCell ref="H145:I145"/>
    <mergeCell ref="P16:Q16"/>
    <mergeCell ref="L41:M41"/>
    <mergeCell ref="F27:G27"/>
    <mergeCell ref="R122:S122"/>
    <mergeCell ref="P18:Q18"/>
    <mergeCell ref="L34:M34"/>
    <mergeCell ref="N99:O99"/>
    <mergeCell ref="AD130:AE130"/>
    <mergeCell ref="R166:S166"/>
    <mergeCell ref="R44:S44"/>
    <mergeCell ref="L190:M190"/>
    <mergeCell ref="R228:S228"/>
    <mergeCell ref="F192:G192"/>
    <mergeCell ref="H6:I6"/>
    <mergeCell ref="C25:C26"/>
    <mergeCell ref="AD119:AE119"/>
    <mergeCell ref="L133:M133"/>
    <mergeCell ref="J98:K98"/>
    <mergeCell ref="L127:M127"/>
    <mergeCell ref="AB186:AC187"/>
    <mergeCell ref="N191:O191"/>
    <mergeCell ref="L156:M156"/>
    <mergeCell ref="L128:M128"/>
    <mergeCell ref="N220:O220"/>
    <mergeCell ref="X48:Y49"/>
    <mergeCell ref="R171:S171"/>
    <mergeCell ref="Z10:AA10"/>
    <mergeCell ref="L230:M230"/>
    <mergeCell ref="N178:O178"/>
    <mergeCell ref="L143:M143"/>
    <mergeCell ref="AD66:AE66"/>
    <mergeCell ref="Z229:AA229"/>
    <mergeCell ref="N207:O207"/>
    <mergeCell ref="Z84:AA84"/>
    <mergeCell ref="N173:O173"/>
    <mergeCell ref="Z86:AA86"/>
    <mergeCell ref="AB142:AC142"/>
    <mergeCell ref="AB144:AC144"/>
    <mergeCell ref="L226:M226"/>
    <mergeCell ref="L228:M228"/>
    <mergeCell ref="AB225:AC225"/>
    <mergeCell ref="X142:Y161"/>
    <mergeCell ref="P74:Q74"/>
    <mergeCell ref="AD195:AE195"/>
    <mergeCell ref="J174:K174"/>
    <mergeCell ref="AD189:AE189"/>
    <mergeCell ref="J168:K168"/>
    <mergeCell ref="H15:I15"/>
    <mergeCell ref="T142:U161"/>
    <mergeCell ref="R58:S58"/>
    <mergeCell ref="R33:S33"/>
    <mergeCell ref="N79:O79"/>
    <mergeCell ref="A139:AH139"/>
    <mergeCell ref="H184:I184"/>
    <mergeCell ref="AB65:AC65"/>
    <mergeCell ref="J73:K73"/>
    <mergeCell ref="AD121:AE121"/>
    <mergeCell ref="R60:S60"/>
    <mergeCell ref="AD123:AE123"/>
    <mergeCell ref="AD42:AE42"/>
    <mergeCell ref="L91:M91"/>
    <mergeCell ref="H13:I13"/>
    <mergeCell ref="AB22:AC22"/>
    <mergeCell ref="AD84:AE84"/>
    <mergeCell ref="AD86:AE86"/>
    <mergeCell ref="Z58:AA58"/>
    <mergeCell ref="J16:K16"/>
    <mergeCell ref="AB50:AC50"/>
    <mergeCell ref="P54:Q54"/>
    <mergeCell ref="J67:K67"/>
    <mergeCell ref="R29:S29"/>
    <mergeCell ref="J69:K69"/>
    <mergeCell ref="R31:S31"/>
    <mergeCell ref="L36:M36"/>
    <mergeCell ref="AD38:AE38"/>
    <mergeCell ref="AF2:AF3"/>
    <mergeCell ref="Z12:AA12"/>
    <mergeCell ref="R86:S86"/>
    <mergeCell ref="R42:S42"/>
    <mergeCell ref="D25:D26"/>
    <mergeCell ref="H28:I28"/>
    <mergeCell ref="Z14:AA14"/>
    <mergeCell ref="AD22:AE22"/>
    <mergeCell ref="L59:M59"/>
    <mergeCell ref="R81:S81"/>
    <mergeCell ref="N71:O72"/>
    <mergeCell ref="L61:M61"/>
    <mergeCell ref="J32:K32"/>
    <mergeCell ref="J7:K7"/>
    <mergeCell ref="L63:M63"/>
    <mergeCell ref="Z51:AA51"/>
    <mergeCell ref="R220:S220"/>
    <mergeCell ref="H206:I206"/>
    <mergeCell ref="F140:G141"/>
    <mergeCell ref="R222:S222"/>
    <mergeCell ref="R221:S221"/>
    <mergeCell ref="P172:Q172"/>
    <mergeCell ref="P165:Q165"/>
    <mergeCell ref="N154:O154"/>
    <mergeCell ref="F194:G194"/>
    <mergeCell ref="P188:Q188"/>
    <mergeCell ref="F158:G158"/>
    <mergeCell ref="F205:G205"/>
    <mergeCell ref="N222:O222"/>
    <mergeCell ref="H214:I214"/>
    <mergeCell ref="P174:Q174"/>
    <mergeCell ref="J163:K164"/>
    <mergeCell ref="Z207:AA207"/>
    <mergeCell ref="H215:I215"/>
    <mergeCell ref="N108:O108"/>
    <mergeCell ref="L92:M92"/>
    <mergeCell ref="R173:S173"/>
    <mergeCell ref="J205:K205"/>
    <mergeCell ref="V165:W184"/>
    <mergeCell ref="N163:O164"/>
    <mergeCell ref="Z146:AA146"/>
    <mergeCell ref="L96:M96"/>
    <mergeCell ref="R99:S99"/>
    <mergeCell ref="H110:I110"/>
    <mergeCell ref="R101:S101"/>
    <mergeCell ref="L114:M114"/>
    <mergeCell ref="L137:M137"/>
    <mergeCell ref="J102:K102"/>
    <mergeCell ref="AB31:AC31"/>
    <mergeCell ref="AB39:AC39"/>
    <mergeCell ref="F125:G125"/>
    <mergeCell ref="N182:O182"/>
    <mergeCell ref="L109:M109"/>
    <mergeCell ref="L147:M147"/>
    <mergeCell ref="N67:O67"/>
    <mergeCell ref="AB103:AC103"/>
    <mergeCell ref="AB107:AC107"/>
    <mergeCell ref="L90:M90"/>
    <mergeCell ref="AB129:AC129"/>
    <mergeCell ref="AB131:AC131"/>
    <mergeCell ref="Z179:AA179"/>
    <mergeCell ref="H92:I92"/>
    <mergeCell ref="F65:G65"/>
    <mergeCell ref="F44:G44"/>
    <mergeCell ref="J25:K26"/>
    <mergeCell ref="J53:K53"/>
    <mergeCell ref="N151:O151"/>
    <mergeCell ref="N180:O180"/>
    <mergeCell ref="J45:K45"/>
    <mergeCell ref="L48:M49"/>
    <mergeCell ref="J133:K133"/>
    <mergeCell ref="J135:K135"/>
    <mergeCell ref="J136:K136"/>
    <mergeCell ref="F196:G196"/>
    <mergeCell ref="N156:O156"/>
    <mergeCell ref="P222:Q222"/>
    <mergeCell ref="J60:K60"/>
    <mergeCell ref="F223:G223"/>
    <mergeCell ref="J183:K183"/>
    <mergeCell ref="J211:K211"/>
    <mergeCell ref="H160:I160"/>
    <mergeCell ref="F113:G113"/>
    <mergeCell ref="H61:I61"/>
    <mergeCell ref="H88:I88"/>
    <mergeCell ref="AD219:AE219"/>
    <mergeCell ref="AD97:AE97"/>
    <mergeCell ref="N211:O211"/>
    <mergeCell ref="P4:Q4"/>
    <mergeCell ref="H200:I200"/>
    <mergeCell ref="P135:Q135"/>
    <mergeCell ref="R191:S191"/>
    <mergeCell ref="P128:Q128"/>
    <mergeCell ref="H202:I202"/>
    <mergeCell ref="T209:U210"/>
    <mergeCell ref="AB48:AC49"/>
    <mergeCell ref="H73:I73"/>
    <mergeCell ref="AD10:AE10"/>
    <mergeCell ref="L18:M18"/>
    <mergeCell ref="N82:O82"/>
    <mergeCell ref="Z204:AA204"/>
    <mergeCell ref="AB228:AC228"/>
    <mergeCell ref="N73:O73"/>
    <mergeCell ref="Z195:AA195"/>
    <mergeCell ref="H203:I203"/>
    <mergeCell ref="P137:Q137"/>
    <mergeCell ref="Z153:AA153"/>
    <mergeCell ref="H204:I204"/>
    <mergeCell ref="R226:S226"/>
    <mergeCell ref="Z176:AA176"/>
    <mergeCell ref="Z170:AA170"/>
    <mergeCell ref="P146:Q146"/>
    <mergeCell ref="Z206:AA206"/>
    <mergeCell ref="P181:Q181"/>
    <mergeCell ref="Z172:AA172"/>
    <mergeCell ref="H213:I213"/>
    <mergeCell ref="Z199:AA199"/>
    <mergeCell ref="AD21:AE21"/>
    <mergeCell ref="F182:G182"/>
    <mergeCell ref="AD152:AE152"/>
    <mergeCell ref="AD29:AE29"/>
    <mergeCell ref="L37:M37"/>
    <mergeCell ref="AD23:AE23"/>
    <mergeCell ref="N143:O143"/>
    <mergeCell ref="F177:G177"/>
    <mergeCell ref="N136:O136"/>
    <mergeCell ref="AB105:AC105"/>
    <mergeCell ref="F145:G145"/>
    <mergeCell ref="F154:G154"/>
    <mergeCell ref="F156:G156"/>
    <mergeCell ref="F155:G155"/>
    <mergeCell ref="F149:G149"/>
    <mergeCell ref="R62:S62"/>
    <mergeCell ref="F230:G230"/>
    <mergeCell ref="P102:Q102"/>
    <mergeCell ref="N69:O69"/>
    <mergeCell ref="N158:O158"/>
    <mergeCell ref="L6:M6"/>
    <mergeCell ref="L182:M182"/>
    <mergeCell ref="F136:G136"/>
    <mergeCell ref="P133:Q133"/>
    <mergeCell ref="P127:Q127"/>
    <mergeCell ref="F225:G225"/>
    <mergeCell ref="P199:Q199"/>
    <mergeCell ref="P228:Q228"/>
    <mergeCell ref="P200:Q200"/>
    <mergeCell ref="F227:G227"/>
    <mergeCell ref="F151:G151"/>
    <mergeCell ref="L77:M77"/>
    <mergeCell ref="A117:A118"/>
    <mergeCell ref="R120:S120"/>
    <mergeCell ref="Z80:AA80"/>
    <mergeCell ref="J194:K194"/>
    <mergeCell ref="F88:G88"/>
    <mergeCell ref="N145:O145"/>
    <mergeCell ref="L110:M110"/>
    <mergeCell ref="P114:Q114"/>
    <mergeCell ref="N174:O174"/>
    <mergeCell ref="H146:I146"/>
    <mergeCell ref="F83:G83"/>
    <mergeCell ref="Z99:AA99"/>
    <mergeCell ref="E140:E141"/>
    <mergeCell ref="Z171:AA171"/>
    <mergeCell ref="A94:A95"/>
    <mergeCell ref="F73:G73"/>
    <mergeCell ref="J81:K81"/>
    <mergeCell ref="N32:O32"/>
    <mergeCell ref="AD191:AE191"/>
    <mergeCell ref="H137:I137"/>
    <mergeCell ref="P96:Q96"/>
    <mergeCell ref="P90:Q90"/>
    <mergeCell ref="N45:O45"/>
    <mergeCell ref="F46:G46"/>
    <mergeCell ref="P37:Q37"/>
    <mergeCell ref="AD80:AE80"/>
    <mergeCell ref="J56:K56"/>
    <mergeCell ref="N34:O34"/>
    <mergeCell ref="AB156:AC156"/>
    <mergeCell ref="AD106:AE106"/>
    <mergeCell ref="AH186:AH187"/>
    <mergeCell ref="J166:K166"/>
    <mergeCell ref="H133:I133"/>
    <mergeCell ref="P190:Q190"/>
    <mergeCell ref="F160:G160"/>
    <mergeCell ref="AD161:AE161"/>
    <mergeCell ref="P166:Q166"/>
    <mergeCell ref="Z180:AA180"/>
    <mergeCell ref="F153:G153"/>
    <mergeCell ref="AD134:AE134"/>
    <mergeCell ref="AD167:AE167"/>
    <mergeCell ref="AD171:AE171"/>
    <mergeCell ref="AD140:AE141"/>
    <mergeCell ref="AD169:AE169"/>
    <mergeCell ref="C140:C141"/>
    <mergeCell ref="Z67:AA67"/>
    <mergeCell ref="H75:I75"/>
    <mergeCell ref="H111:I111"/>
    <mergeCell ref="Z163:AA164"/>
    <mergeCell ref="R67:S67"/>
    <mergeCell ref="Z106:AA106"/>
    <mergeCell ref="F85:G85"/>
    <mergeCell ref="F120:G120"/>
    <mergeCell ref="H109:I109"/>
    <mergeCell ref="H128:I128"/>
    <mergeCell ref="R125:S125"/>
    <mergeCell ref="N94:O95"/>
    <mergeCell ref="L79:M79"/>
    <mergeCell ref="L81:M81"/>
    <mergeCell ref="J230:K230"/>
    <mergeCell ref="J226:K226"/>
    <mergeCell ref="A93:AH93"/>
    <mergeCell ref="R154:S154"/>
    <mergeCell ref="AB214:AC214"/>
    <mergeCell ref="J221:K221"/>
    <mergeCell ref="R156:S156"/>
    <mergeCell ref="C209:C210"/>
    <mergeCell ref="AD113:AE113"/>
    <mergeCell ref="J223:K223"/>
    <mergeCell ref="Z138:AA138"/>
    <mergeCell ref="P108:Q108"/>
    <mergeCell ref="AD115:AE115"/>
    <mergeCell ref="R151:S151"/>
    <mergeCell ref="R180:S180"/>
    <mergeCell ref="F119:G119"/>
    <mergeCell ref="R230:S230"/>
    <mergeCell ref="R224:S224"/>
    <mergeCell ref="Z69:AA69"/>
    <mergeCell ref="H117:I118"/>
    <mergeCell ref="R143:S143"/>
    <mergeCell ref="J177:K177"/>
    <mergeCell ref="H104:I104"/>
    <mergeCell ref="R136:S136"/>
    <mergeCell ref="H106:I106"/>
    <mergeCell ref="R207:S207"/>
    <mergeCell ref="R182:S182"/>
    <mergeCell ref="P109:Q109"/>
    <mergeCell ref="Z169:AA169"/>
    <mergeCell ref="H193:I193"/>
    <mergeCell ref="Z135:AA135"/>
    <mergeCell ref="J127:K127"/>
    <mergeCell ref="AD2:AE3"/>
    <mergeCell ref="AB114:AC114"/>
    <mergeCell ref="Z41:AA41"/>
    <mergeCell ref="J155:K155"/>
    <mergeCell ref="L184:M184"/>
    <mergeCell ref="AD178:AE178"/>
    <mergeCell ref="J157:K157"/>
    <mergeCell ref="Z43:AA43"/>
    <mergeCell ref="AD172:AE172"/>
    <mergeCell ref="J151:K151"/>
    <mergeCell ref="AB99:AC99"/>
    <mergeCell ref="N102:O102"/>
    <mergeCell ref="R110:S110"/>
    <mergeCell ref="AB125:AC125"/>
    <mergeCell ref="AB127:AC127"/>
    <mergeCell ref="P92:Q92"/>
    <mergeCell ref="B140:B141"/>
    <mergeCell ref="J120:K120"/>
    <mergeCell ref="R82:S82"/>
    <mergeCell ref="AD177:AE177"/>
    <mergeCell ref="AB226:AC226"/>
    <mergeCell ref="J156:K156"/>
    <mergeCell ref="L213:M213"/>
    <mergeCell ref="F112:G112"/>
    <mergeCell ref="F94:G95"/>
    <mergeCell ref="AB198:AC198"/>
    <mergeCell ref="H176:I176"/>
    <mergeCell ref="AD220:AE220"/>
    <mergeCell ref="H166:I166"/>
    <mergeCell ref="Z124:AA124"/>
    <mergeCell ref="F103:G103"/>
    <mergeCell ref="R163:S164"/>
    <mergeCell ref="E25:E26"/>
    <mergeCell ref="H62:I62"/>
    <mergeCell ref="J154:K154"/>
    <mergeCell ref="Z137:AA137"/>
    <mergeCell ref="R211:S211"/>
    <mergeCell ref="F175:G175"/>
    <mergeCell ref="Z173:AA173"/>
    <mergeCell ref="T71:U72"/>
    <mergeCell ref="H91:I91"/>
    <mergeCell ref="F45:G45"/>
    <mergeCell ref="H168:I168"/>
    <mergeCell ref="P91:Q91"/>
    <mergeCell ref="Z82:AA82"/>
    <mergeCell ref="N60:O60"/>
    <mergeCell ref="F92:G92"/>
    <mergeCell ref="H163:I164"/>
    <mergeCell ref="F121:G121"/>
    <mergeCell ref="L202:M202"/>
    <mergeCell ref="H96:I96"/>
    <mergeCell ref="P77:Q77"/>
    <mergeCell ref="L215:M215"/>
    <mergeCell ref="N194:O194"/>
    <mergeCell ref="H115:I115"/>
    <mergeCell ref="J212:K212"/>
    <mergeCell ref="H175:I175"/>
    <mergeCell ref="P168:Q168"/>
    <mergeCell ref="J214:K214"/>
    <mergeCell ref="J191:K191"/>
    <mergeCell ref="J192:K192"/>
    <mergeCell ref="P201:Q201"/>
    <mergeCell ref="F212:G212"/>
    <mergeCell ref="P203:Q203"/>
    <mergeCell ref="J225:K225"/>
    <mergeCell ref="L200:M200"/>
    <mergeCell ref="AB61:AC61"/>
    <mergeCell ref="N229:O229"/>
    <mergeCell ref="Z142:AA142"/>
    <mergeCell ref="Z68:AA68"/>
    <mergeCell ref="Z96:AA96"/>
    <mergeCell ref="R145:S145"/>
    <mergeCell ref="AB161:AC161"/>
    <mergeCell ref="Z98:AA98"/>
    <mergeCell ref="R147:S147"/>
    <mergeCell ref="AB227:AC227"/>
    <mergeCell ref="Z133:AA133"/>
    <mergeCell ref="Z216:AA216"/>
    <mergeCell ref="L219:M219"/>
    <mergeCell ref="AB130:AC130"/>
    <mergeCell ref="B2:B3"/>
    <mergeCell ref="Z32:AA32"/>
    <mergeCell ref="L175:M175"/>
    <mergeCell ref="AB88:AC88"/>
    <mergeCell ref="H40:I40"/>
    <mergeCell ref="F7:G7"/>
    <mergeCell ref="R71:S72"/>
    <mergeCell ref="AB90:AC90"/>
    <mergeCell ref="F36:G36"/>
    <mergeCell ref="F8:G8"/>
    <mergeCell ref="J140:K141"/>
    <mergeCell ref="H100:I100"/>
    <mergeCell ref="Z42:AA42"/>
    <mergeCell ref="P25:Q26"/>
    <mergeCell ref="AB165:AC165"/>
    <mergeCell ref="H9:I9"/>
    <mergeCell ref="H178:I178"/>
    <mergeCell ref="L53:M53"/>
    <mergeCell ref="L28:M28"/>
    <mergeCell ref="P59:Q59"/>
    <mergeCell ref="AD58:AE58"/>
    <mergeCell ref="J34:K34"/>
    <mergeCell ref="J36:K36"/>
    <mergeCell ref="AD153:AE153"/>
    <mergeCell ref="AD65:AE65"/>
    <mergeCell ref="L177:M177"/>
    <mergeCell ref="L176:M176"/>
    <mergeCell ref="L178:M178"/>
    <mergeCell ref="R69:S69"/>
    <mergeCell ref="Z126:AA126"/>
    <mergeCell ref="H161:I161"/>
    <mergeCell ref="R158:S158"/>
    <mergeCell ref="AH94:AH95"/>
    <mergeCell ref="L149:M149"/>
    <mergeCell ref="AD135:AE135"/>
    <mergeCell ref="J114:K114"/>
    <mergeCell ref="Z4:AA4"/>
    <mergeCell ref="Z31:AA31"/>
    <mergeCell ref="J145:K145"/>
    <mergeCell ref="P6:Q6"/>
    <mergeCell ref="AB59:AC59"/>
    <mergeCell ref="J54:K54"/>
    <mergeCell ref="AF117:AF118"/>
    <mergeCell ref="AB57:AC57"/>
    <mergeCell ref="AB33:AC33"/>
    <mergeCell ref="N36:O36"/>
    <mergeCell ref="N5:O5"/>
    <mergeCell ref="P61:Q61"/>
    <mergeCell ref="B186:B187"/>
    <mergeCell ref="N15:O15"/>
    <mergeCell ref="T50:U69"/>
    <mergeCell ref="AH71:AH72"/>
    <mergeCell ref="H120:I120"/>
    <mergeCell ref="V142:W161"/>
    <mergeCell ref="AH140:AH141"/>
    <mergeCell ref="H66:I66"/>
    <mergeCell ref="P53:Q53"/>
    <mergeCell ref="J158:K158"/>
    <mergeCell ref="Z44:AA44"/>
    <mergeCell ref="J130:K130"/>
    <mergeCell ref="J160:K160"/>
    <mergeCell ref="AB108:AC108"/>
    <mergeCell ref="AB143:AC143"/>
    <mergeCell ref="L135:M135"/>
    <mergeCell ref="AG2:AG3"/>
    <mergeCell ref="J6:K6"/>
    <mergeCell ref="L62:M62"/>
    <mergeCell ref="N127:O127"/>
    <mergeCell ref="J175:K175"/>
    <mergeCell ref="J2:K3"/>
    <mergeCell ref="R5:S5"/>
    <mergeCell ref="Z45:AA45"/>
    <mergeCell ref="R119:S119"/>
    <mergeCell ref="AB20:AC20"/>
    <mergeCell ref="L101:M101"/>
    <mergeCell ref="J83:K83"/>
    <mergeCell ref="R45:S45"/>
    <mergeCell ref="J119:K119"/>
    <mergeCell ref="T4:U23"/>
    <mergeCell ref="AB77:AC77"/>
    <mergeCell ref="AD69:AE69"/>
    <mergeCell ref="F213:G213"/>
    <mergeCell ref="AB150:AC150"/>
    <mergeCell ref="H129:I129"/>
    <mergeCell ref="C2:C3"/>
    <mergeCell ref="C163:C164"/>
    <mergeCell ref="P202:Q202"/>
    <mergeCell ref="AB209:AC210"/>
    <mergeCell ref="F2:G3"/>
    <mergeCell ref="F138:G138"/>
    <mergeCell ref="J85:K85"/>
    <mergeCell ref="AD133:AE133"/>
    <mergeCell ref="F57:G57"/>
    <mergeCell ref="N190:O190"/>
    <mergeCell ref="H64:I64"/>
    <mergeCell ref="AB199:AC199"/>
    <mergeCell ref="AB18:AC18"/>
    <mergeCell ref="Z105:AA105"/>
    <mergeCell ref="L7:M7"/>
    <mergeCell ref="E117:E118"/>
    <mergeCell ref="N63:O63"/>
    <mergeCell ref="AB51:AC51"/>
    <mergeCell ref="J88:K88"/>
    <mergeCell ref="R16:S16"/>
    <mergeCell ref="J94:K95"/>
    <mergeCell ref="J87:K87"/>
    <mergeCell ref="F55:G55"/>
    <mergeCell ref="J111:K111"/>
    <mergeCell ref="H38:I38"/>
    <mergeCell ref="AB14:AC14"/>
    <mergeCell ref="X50:Y69"/>
    <mergeCell ref="J30:K30"/>
    <mergeCell ref="AH48:AH49"/>
    <mergeCell ref="R32:S32"/>
    <mergeCell ref="AB23:AC23"/>
    <mergeCell ref="H183:I183"/>
    <mergeCell ref="AB181:AC181"/>
    <mergeCell ref="AB147:AC147"/>
    <mergeCell ref="AD87:AE87"/>
    <mergeCell ref="AD94:AE95"/>
    <mergeCell ref="AD122:AE122"/>
    <mergeCell ref="AD107:AE107"/>
    <mergeCell ref="AD82:AE82"/>
    <mergeCell ref="AD138:AE138"/>
    <mergeCell ref="N125:O125"/>
    <mergeCell ref="J123:K123"/>
    <mergeCell ref="AD179:AE179"/>
    <mergeCell ref="N165:O165"/>
    <mergeCell ref="AB8:AC8"/>
    <mergeCell ref="F37:G37"/>
    <mergeCell ref="Z35:AA35"/>
    <mergeCell ref="F195:G195"/>
    <mergeCell ref="AD43:AE43"/>
    <mergeCell ref="AB10:AC10"/>
    <mergeCell ref="J18:K18"/>
    <mergeCell ref="R102:S102"/>
    <mergeCell ref="J17:K17"/>
    <mergeCell ref="L82:M82"/>
    <mergeCell ref="N111:O111"/>
    <mergeCell ref="L38:M38"/>
    <mergeCell ref="J193:K193"/>
    <mergeCell ref="F56:G56"/>
    <mergeCell ref="AD32:AE32"/>
    <mergeCell ref="L40:M40"/>
    <mergeCell ref="AB5:AC5"/>
    <mergeCell ref="J19:K19"/>
    <mergeCell ref="L75:M75"/>
    <mergeCell ref="N228:O228"/>
    <mergeCell ref="R174:S174"/>
    <mergeCell ref="N205:O205"/>
    <mergeCell ref="P81:Q81"/>
    <mergeCell ref="AB134:AC134"/>
    <mergeCell ref="R14:S14"/>
    <mergeCell ref="N25:O26"/>
    <mergeCell ref="L13:M13"/>
    <mergeCell ref="L15:M15"/>
    <mergeCell ref="Z219:AA219"/>
    <mergeCell ref="L64:M64"/>
    <mergeCell ref="N120:O120"/>
    <mergeCell ref="Z33:AA33"/>
    <mergeCell ref="J92:K92"/>
    <mergeCell ref="P173:Q173"/>
    <mergeCell ref="J5:K5"/>
    <mergeCell ref="R229:S229"/>
    <mergeCell ref="L67:M67"/>
    <mergeCell ref="N110:O110"/>
    <mergeCell ref="L163:M164"/>
    <mergeCell ref="P44:Q44"/>
    <mergeCell ref="N128:O128"/>
    <mergeCell ref="P184:Q184"/>
    <mergeCell ref="N226:O226"/>
    <mergeCell ref="N192:O192"/>
    <mergeCell ref="N221:O221"/>
    <mergeCell ref="N223:O223"/>
    <mergeCell ref="A185:AH185"/>
    <mergeCell ref="AD207:AE207"/>
    <mergeCell ref="AD31:AE31"/>
    <mergeCell ref="Z52:AA52"/>
    <mergeCell ref="R126:S126"/>
    <mergeCell ref="N230:O230"/>
    <mergeCell ref="L9:M9"/>
    <mergeCell ref="AB53:AC53"/>
    <mergeCell ref="N196:O196"/>
    <mergeCell ref="Z20:AA20"/>
    <mergeCell ref="L11:M11"/>
    <mergeCell ref="N198:O198"/>
    <mergeCell ref="R25:S26"/>
    <mergeCell ref="AB80:AC80"/>
    <mergeCell ref="V209:W210"/>
    <mergeCell ref="AD41:AE41"/>
    <mergeCell ref="Z191:AA191"/>
    <mergeCell ref="AB21:AC21"/>
    <mergeCell ref="F128:G128"/>
    <mergeCell ref="L112:M112"/>
    <mergeCell ref="AD98:AE98"/>
    <mergeCell ref="F217:G217"/>
    <mergeCell ref="H140:I141"/>
    <mergeCell ref="H205:I205"/>
    <mergeCell ref="F200:G200"/>
    <mergeCell ref="F197:G197"/>
    <mergeCell ref="F204:G204"/>
    <mergeCell ref="F198:G198"/>
    <mergeCell ref="F176:G176"/>
    <mergeCell ref="F170:G170"/>
    <mergeCell ref="F215:G215"/>
    <mergeCell ref="F169:G169"/>
    <mergeCell ref="T188:U207"/>
    <mergeCell ref="AD163:AE164"/>
    <mergeCell ref="AH2:AH3"/>
    <mergeCell ref="F75:G75"/>
    <mergeCell ref="N157:O157"/>
    <mergeCell ref="AD45:AE45"/>
    <mergeCell ref="P213:Q213"/>
    <mergeCell ref="AB12:AC12"/>
    <mergeCell ref="N28:O28"/>
    <mergeCell ref="N30:O30"/>
    <mergeCell ref="Z152:AA152"/>
    <mergeCell ref="J46:K46"/>
    <mergeCell ref="L111:M111"/>
    <mergeCell ref="AB180:AC180"/>
    <mergeCell ref="N183:O183"/>
    <mergeCell ref="AD96:AE96"/>
    <mergeCell ref="L117:M118"/>
    <mergeCell ref="N175:O175"/>
    <mergeCell ref="N177:O177"/>
    <mergeCell ref="R155:S155"/>
    <mergeCell ref="AB122:AC122"/>
    <mergeCell ref="P220:Q220"/>
    <mergeCell ref="AD227:AE227"/>
    <mergeCell ref="P221:Q221"/>
    <mergeCell ref="P215:Q215"/>
    <mergeCell ref="AB182:AC182"/>
    <mergeCell ref="Z188:AA188"/>
    <mergeCell ref="AB188:AC188"/>
    <mergeCell ref="AB218:AC218"/>
    <mergeCell ref="R193:S193"/>
    <mergeCell ref="AB190:AC190"/>
    <mergeCell ref="AD150:AE150"/>
    <mergeCell ref="P219:Q219"/>
    <mergeCell ref="P209:Q210"/>
    <mergeCell ref="AD44:AE44"/>
    <mergeCell ref="H148:I148"/>
    <mergeCell ref="N155:O155"/>
    <mergeCell ref="P7:Q7"/>
    <mergeCell ref="R194:S194"/>
    <mergeCell ref="N88:O88"/>
    <mergeCell ref="J109:K109"/>
    <mergeCell ref="V96:W115"/>
    <mergeCell ref="AB184:AC184"/>
    <mergeCell ref="N90:O90"/>
    <mergeCell ref="H76:I76"/>
    <mergeCell ref="J138:K138"/>
    <mergeCell ref="AB173:AC173"/>
    <mergeCell ref="H138:I138"/>
    <mergeCell ref="P98:Q98"/>
    <mergeCell ref="L119:M119"/>
    <mergeCell ref="H85:I85"/>
    <mergeCell ref="R15:S15"/>
    <mergeCell ref="F38:G38"/>
    <mergeCell ref="P79:Q79"/>
    <mergeCell ref="P73:Q73"/>
    <mergeCell ref="F67:G67"/>
    <mergeCell ref="N54:O54"/>
    <mergeCell ref="N56:O56"/>
    <mergeCell ref="H30:I30"/>
    <mergeCell ref="H29:I29"/>
    <mergeCell ref="H27:I27"/>
    <mergeCell ref="F18:G18"/>
    <mergeCell ref="F17:G17"/>
    <mergeCell ref="F54:G54"/>
    <mergeCell ref="N16:O16"/>
    <mergeCell ref="N51:O51"/>
    <mergeCell ref="A186:A187"/>
    <mergeCell ref="L27:M27"/>
    <mergeCell ref="N83:O83"/>
    <mergeCell ref="F157:G157"/>
    <mergeCell ref="F132:G132"/>
    <mergeCell ref="N91:O91"/>
    <mergeCell ref="N85:O85"/>
    <mergeCell ref="C94:C95"/>
    <mergeCell ref="L45:M45"/>
    <mergeCell ref="B94:B95"/>
    <mergeCell ref="J74:K74"/>
    <mergeCell ref="L138:M138"/>
    <mergeCell ref="L168:M168"/>
    <mergeCell ref="E48:E49"/>
    <mergeCell ref="F68:G68"/>
    <mergeCell ref="J169:K169"/>
    <mergeCell ref="Z226:AA226"/>
    <mergeCell ref="Z220:AA220"/>
    <mergeCell ref="Z228:AA228"/>
    <mergeCell ref="Z222:AA222"/>
    <mergeCell ref="Z221:AA221"/>
    <mergeCell ref="Z223:AA223"/>
    <mergeCell ref="AB43:AC43"/>
    <mergeCell ref="AD105:AE105"/>
    <mergeCell ref="H221:I221"/>
    <mergeCell ref="L198:M198"/>
    <mergeCell ref="H223:I223"/>
    <mergeCell ref="R205:S205"/>
    <mergeCell ref="AB211:AC211"/>
    <mergeCell ref="AD142:AE142"/>
    <mergeCell ref="AD68:AE68"/>
    <mergeCell ref="AD67:AE67"/>
    <mergeCell ref="AD190:AE190"/>
    <mergeCell ref="P149:Q149"/>
    <mergeCell ref="Z50:AA50"/>
    <mergeCell ref="P151:Q151"/>
    <mergeCell ref="H192:I192"/>
    <mergeCell ref="V163:W164"/>
    <mergeCell ref="L183:M183"/>
    <mergeCell ref="F117:G118"/>
    <mergeCell ref="H177:I177"/>
    <mergeCell ref="Z125:AA125"/>
    <mergeCell ref="F104:G104"/>
    <mergeCell ref="P136:Q136"/>
    <mergeCell ref="Z127:AA127"/>
    <mergeCell ref="F106:G106"/>
    <mergeCell ref="H136:I136"/>
    <mergeCell ref="R127:S127"/>
    <mergeCell ref="Z155:AA155"/>
    <mergeCell ref="F171:G171"/>
    <mergeCell ref="R137:S137"/>
    <mergeCell ref="F130:G130"/>
    <mergeCell ref="J173:K173"/>
    <mergeCell ref="L148:M148"/>
    <mergeCell ref="H227:I227"/>
    <mergeCell ref="AD33:AE33"/>
    <mergeCell ref="Z209:AA210"/>
    <mergeCell ref="Z54:AA54"/>
    <mergeCell ref="R128:S128"/>
    <mergeCell ref="J202:K202"/>
    <mergeCell ref="Z81:AA81"/>
    <mergeCell ref="J195:K195"/>
    <mergeCell ref="V71:W72"/>
    <mergeCell ref="J197:K197"/>
    <mergeCell ref="AB145:AC145"/>
    <mergeCell ref="N148:O148"/>
    <mergeCell ref="P204:Q204"/>
    <mergeCell ref="P82:Q82"/>
    <mergeCell ref="Z201:AA201"/>
    <mergeCell ref="H83:I83"/>
    <mergeCell ref="H225:I225"/>
    <mergeCell ref="AD4:AE4"/>
    <mergeCell ref="Z211:AA211"/>
    <mergeCell ref="F4:G4"/>
    <mergeCell ref="P64:Q64"/>
    <mergeCell ref="J200:K200"/>
    <mergeCell ref="X117:Y118"/>
    <mergeCell ref="N18:O18"/>
    <mergeCell ref="N17:O17"/>
    <mergeCell ref="F91:G91"/>
    <mergeCell ref="P9:Q9"/>
    <mergeCell ref="Z156:AA156"/>
    <mergeCell ref="Z183:AA183"/>
    <mergeCell ref="F20:G20"/>
    <mergeCell ref="P36:Q36"/>
    <mergeCell ref="P11:Q11"/>
    <mergeCell ref="H80:I80"/>
    <mergeCell ref="F9:G9"/>
    <mergeCell ref="AB215:AC215"/>
    <mergeCell ref="F167:G167"/>
    <mergeCell ref="Z182:AA182"/>
    <mergeCell ref="F161:G161"/>
    <mergeCell ref="P183:Q183"/>
    <mergeCell ref="F180:G180"/>
    <mergeCell ref="N19:O19"/>
    <mergeCell ref="Z114:AA114"/>
    <mergeCell ref="H155:I155"/>
    <mergeCell ref="Z13:AA13"/>
    <mergeCell ref="R56:S56"/>
    <mergeCell ref="AB200:AC200"/>
    <mergeCell ref="L192:M192"/>
    <mergeCell ref="AB78:AC78"/>
    <mergeCell ref="L30:M30"/>
    <mergeCell ref="N92:O92"/>
    <mergeCell ref="V25:W26"/>
    <mergeCell ref="R100:S100"/>
    <mergeCell ref="Z157:AA157"/>
    <mergeCell ref="L97:M97"/>
    <mergeCell ref="N37:O37"/>
    <mergeCell ref="P62:Q62"/>
    <mergeCell ref="Z59:AA59"/>
    <mergeCell ref="L98:M98"/>
    <mergeCell ref="Z88:AA88"/>
    <mergeCell ref="T48:U49"/>
    <mergeCell ref="P41:Q41"/>
    <mergeCell ref="P48:Q49"/>
    <mergeCell ref="P52:Q52"/>
    <mergeCell ref="P50:Q50"/>
    <mergeCell ref="J178:K178"/>
    <mergeCell ref="V188:W207"/>
    <mergeCell ref="J55:K55"/>
    <mergeCell ref="AD192:AE192"/>
    <mergeCell ref="R223:S223"/>
    <mergeCell ref="AB220:AC220"/>
    <mergeCell ref="X165:Y184"/>
    <mergeCell ref="P163:Q164"/>
    <mergeCell ref="T211:U230"/>
    <mergeCell ref="AB126:AC126"/>
    <mergeCell ref="AB101:AC101"/>
    <mergeCell ref="J129:K129"/>
    <mergeCell ref="AB224:AC224"/>
    <mergeCell ref="AD229:AE229"/>
    <mergeCell ref="N159:O159"/>
    <mergeCell ref="X163:Y164"/>
    <mergeCell ref="A48:A49"/>
    <mergeCell ref="L160:M160"/>
    <mergeCell ref="AB73:AC73"/>
    <mergeCell ref="H54:I54"/>
    <mergeCell ref="F19:G19"/>
    <mergeCell ref="Z154:AA154"/>
    <mergeCell ref="P34:Q34"/>
    <mergeCell ref="H56:I56"/>
    <mergeCell ref="P75:Q75"/>
    <mergeCell ref="H149:I149"/>
    <mergeCell ref="N140:O141"/>
    <mergeCell ref="L100:M100"/>
    <mergeCell ref="Z107:AA107"/>
    <mergeCell ref="Z143:AA143"/>
    <mergeCell ref="B48:B49"/>
    <mergeCell ref="F51:G51"/>
    <mergeCell ref="H8:I8"/>
    <mergeCell ref="N206:O206"/>
    <mergeCell ref="R157:S157"/>
    <mergeCell ref="H10:I10"/>
    <mergeCell ref="AB58:AC58"/>
    <mergeCell ref="R28:S28"/>
    <mergeCell ref="Z85:AA85"/>
    <mergeCell ref="N53:O53"/>
    <mergeCell ref="AB60:AC60"/>
    <mergeCell ref="H39:I39"/>
    <mergeCell ref="J68:K68"/>
    <mergeCell ref="L130:M130"/>
    <mergeCell ref="X96:Y115"/>
    <mergeCell ref="R30:S30"/>
    <mergeCell ref="L166:M166"/>
    <mergeCell ref="N46:O46"/>
    <mergeCell ref="Z16:AA16"/>
    <mergeCell ref="R90:S90"/>
    <mergeCell ref="P27:Q27"/>
    <mergeCell ref="N2:O3"/>
    <mergeCell ref="Z90:AA90"/>
    <mergeCell ref="R54:S54"/>
    <mergeCell ref="Z15:AA15"/>
    <mergeCell ref="X4:Y23"/>
    <mergeCell ref="R7:S7"/>
    <mergeCell ref="N6:O6"/>
    <mergeCell ref="P5:Q5"/>
    <mergeCell ref="P21:Q21"/>
    <mergeCell ref="P23:Q23"/>
    <mergeCell ref="A1:AH1"/>
    <mergeCell ref="J75:K75"/>
    <mergeCell ref="AB163:AC164"/>
    <mergeCell ref="H12:I12"/>
    <mergeCell ref="AB69:AC69"/>
    <mergeCell ref="J117:K118"/>
    <mergeCell ref="AD125:AE125"/>
    <mergeCell ref="H14:I14"/>
    <mergeCell ref="AB62:AC62"/>
    <mergeCell ref="AD127:AE127"/>
    <mergeCell ref="AF48:AF49"/>
    <mergeCell ref="P113:Q113"/>
    <mergeCell ref="AB64:AC64"/>
    <mergeCell ref="H43:I43"/>
    <mergeCell ref="L134:M134"/>
    <mergeCell ref="R88:S88"/>
    <mergeCell ref="B117:B118"/>
    <mergeCell ref="F122:G122"/>
    <mergeCell ref="L214:M214"/>
    <mergeCell ref="AB172:AC172"/>
    <mergeCell ref="H151:I151"/>
    <mergeCell ref="J213:K213"/>
    <mergeCell ref="AB171:AC171"/>
    <mergeCell ref="H150:I150"/>
    <mergeCell ref="Z145:AA145"/>
    <mergeCell ref="F124:G124"/>
    <mergeCell ref="J204:K204"/>
    <mergeCell ref="J198:K198"/>
    <mergeCell ref="AB146:AC146"/>
    <mergeCell ref="L132:M132"/>
    <mergeCell ref="R183:S183"/>
    <mergeCell ref="P117:Q118"/>
    <mergeCell ref="F87:G87"/>
    <mergeCell ref="N144:O144"/>
    <mergeCell ref="F218:G218"/>
    <mergeCell ref="J38:K38"/>
    <mergeCell ref="P119:Q119"/>
    <mergeCell ref="J39:K39"/>
    <mergeCell ref="J215:K215"/>
    <mergeCell ref="P111:Q111"/>
    <mergeCell ref="L161:M161"/>
    <mergeCell ref="J128:K128"/>
    <mergeCell ref="P112:Q112"/>
    <mergeCell ref="H65:I65"/>
    <mergeCell ref="L194:M194"/>
    <mergeCell ref="F148:G148"/>
    <mergeCell ref="H212:I212"/>
    <mergeCell ref="L189:M189"/>
    <mergeCell ref="D140:D141"/>
    <mergeCell ref="L120:M120"/>
    <mergeCell ref="AD226:AE226"/>
    <mergeCell ref="J57:K57"/>
    <mergeCell ref="R19:S19"/>
    <mergeCell ref="AB41:AC41"/>
    <mergeCell ref="N184:O184"/>
    <mergeCell ref="AB35:AC35"/>
    <mergeCell ref="R140:S141"/>
    <mergeCell ref="P205:Q205"/>
    <mergeCell ref="J51:K51"/>
    <mergeCell ref="L80:M80"/>
    <mergeCell ref="N142:O142"/>
    <mergeCell ref="F216:G216"/>
    <mergeCell ref="A208:AH208"/>
    <mergeCell ref="N55:O55"/>
    <mergeCell ref="H188:I188"/>
    <mergeCell ref="E186:E187"/>
    <mergeCell ref="R214:S214"/>
    <mergeCell ref="L221:M221"/>
    <mergeCell ref="L223:M223"/>
    <mergeCell ref="L218:M218"/>
    <mergeCell ref="J196:K196"/>
    <mergeCell ref="P218:Q218"/>
    <mergeCell ref="P206:Q206"/>
    <mergeCell ref="P217:Q217"/>
    <mergeCell ref="R192:S192"/>
    <mergeCell ref="J206:K206"/>
    <mergeCell ref="H218:I218"/>
    <mergeCell ref="H198:I198"/>
    <mergeCell ref="F214:G214"/>
    <mergeCell ref="F221:G221"/>
    <mergeCell ref="AB4:AC4"/>
    <mergeCell ref="AD228:AE228"/>
    <mergeCell ref="L121:M121"/>
    <mergeCell ref="L151:M151"/>
    <mergeCell ref="AD99:AE99"/>
    <mergeCell ref="AB36:AC36"/>
    <mergeCell ref="N179:O179"/>
    <mergeCell ref="AD223:AE223"/>
    <mergeCell ref="N215:O215"/>
    <mergeCell ref="AD101:AE101"/>
    <mergeCell ref="AB67:AC67"/>
    <mergeCell ref="AD181:AE181"/>
    <mergeCell ref="P167:Q167"/>
    <mergeCell ref="Z158:AA158"/>
    <mergeCell ref="Z77:AA77"/>
    <mergeCell ref="V4:W23"/>
    <mergeCell ref="Z5:AA5"/>
    <mergeCell ref="P38:Q38"/>
    <mergeCell ref="AB133:AC133"/>
    <mergeCell ref="H112:I112"/>
    <mergeCell ref="H94:I95"/>
    <mergeCell ref="R13:S13"/>
    <mergeCell ref="H17:I17"/>
    <mergeCell ref="H19:I19"/>
    <mergeCell ref="J20:K20"/>
    <mergeCell ref="L85:M85"/>
    <mergeCell ref="J22:K22"/>
    <mergeCell ref="L84:M84"/>
    <mergeCell ref="R83:S83"/>
    <mergeCell ref="Z18:AA18"/>
    <mergeCell ref="Z17:AA17"/>
    <mergeCell ref="R91:S91"/>
    <mergeCell ref="R18:S18"/>
    <mergeCell ref="Z71:AA72"/>
    <mergeCell ref="N197:O197"/>
    <mergeCell ref="J64:K64"/>
    <mergeCell ref="N153:O153"/>
    <mergeCell ref="P169:Q169"/>
    <mergeCell ref="N193:O193"/>
    <mergeCell ref="Z160:AA160"/>
    <mergeCell ref="N149:O149"/>
    <mergeCell ref="R85:S85"/>
    <mergeCell ref="T73:U92"/>
    <mergeCell ref="P45:Q45"/>
    <mergeCell ref="Z108:AA108"/>
    <mergeCell ref="R52:S52"/>
    <mergeCell ref="R175:S175"/>
    <mergeCell ref="T165:U184"/>
    <mergeCell ref="F229:G229"/>
    <mergeCell ref="R53:S53"/>
    <mergeCell ref="Z110:AA110"/>
    <mergeCell ref="Z190:AA190"/>
    <mergeCell ref="R46:S46"/>
    <mergeCell ref="L155:M155"/>
    <mergeCell ref="P132:Q132"/>
    <mergeCell ref="J122:K122"/>
    <mergeCell ref="T117:U118"/>
    <mergeCell ref="N213:O213"/>
    <mergeCell ref="L150:M150"/>
    <mergeCell ref="R79:S79"/>
    <mergeCell ref="Z193:AA193"/>
    <mergeCell ref="H46:I46"/>
    <mergeCell ref="F159:G159"/>
    <mergeCell ref="J148:K148"/>
    <mergeCell ref="E94:E95"/>
    <mergeCell ref="R2:S3"/>
    <mergeCell ref="AD90:AE90"/>
    <mergeCell ref="L8:M8"/>
    <mergeCell ref="AB27:AC27"/>
    <mergeCell ref="J35:K35"/>
    <mergeCell ref="L10:M10"/>
    <mergeCell ref="AD85:AE85"/>
    <mergeCell ref="R17:S17"/>
    <mergeCell ref="J91:K91"/>
    <mergeCell ref="J66:K66"/>
    <mergeCell ref="L56:M56"/>
    <mergeCell ref="R92:S92"/>
    <mergeCell ref="H2:I3"/>
    <mergeCell ref="AB37:AC37"/>
    <mergeCell ref="AD12:AE12"/>
    <mergeCell ref="D2:D3"/>
    <mergeCell ref="AB32:AC32"/>
    <mergeCell ref="J40:K40"/>
    <mergeCell ref="AD88:AE88"/>
    <mergeCell ref="H71:I72"/>
    <mergeCell ref="V50:W69"/>
    <mergeCell ref="AD20:AE20"/>
    <mergeCell ref="AD14:AE14"/>
    <mergeCell ref="AD13:AE13"/>
    <mergeCell ref="P8:Q8"/>
    <mergeCell ref="R37:S37"/>
    <mergeCell ref="AD15:AE15"/>
    <mergeCell ref="L23:M23"/>
    <mergeCell ref="L54:M54"/>
    <mergeCell ref="R6:S6"/>
    <mergeCell ref="J4:K4"/>
    <mergeCell ref="L12:M12"/>
    <mergeCell ref="F142:G142"/>
    <mergeCell ref="L39:M39"/>
    <mergeCell ref="L14:M14"/>
    <mergeCell ref="H195:I195"/>
    <mergeCell ref="H189:I189"/>
    <mergeCell ref="L17:M17"/>
    <mergeCell ref="L19:M19"/>
    <mergeCell ref="H50:I50"/>
    <mergeCell ref="L140:M141"/>
    <mergeCell ref="F115:G115"/>
    <mergeCell ref="F184:G184"/>
    <mergeCell ref="J105:K105"/>
    <mergeCell ref="F179:G179"/>
    <mergeCell ref="J104:K104"/>
    <mergeCell ref="L136:M136"/>
    <mergeCell ref="AD5:AE5"/>
    <mergeCell ref="AB203:AC203"/>
    <mergeCell ref="Z168:AA168"/>
    <mergeCell ref="N75:O75"/>
    <mergeCell ref="T27:U46"/>
    <mergeCell ref="AB25:AC26"/>
    <mergeCell ref="P148:Q148"/>
    <mergeCell ref="P123:Q123"/>
    <mergeCell ref="R179:S179"/>
    <mergeCell ref="AB201:AC201"/>
    <mergeCell ref="R177:S177"/>
    <mergeCell ref="Z203:AA203"/>
    <mergeCell ref="AB98:AC98"/>
    <mergeCell ref="AD154:AE154"/>
    <mergeCell ref="AD156:AE156"/>
    <mergeCell ref="AD155:AE155"/>
    <mergeCell ref="AH209:AH210"/>
    <mergeCell ref="H217:I217"/>
    <mergeCell ref="L212:M212"/>
    <mergeCell ref="N113:O113"/>
    <mergeCell ref="AD157:AE157"/>
    <mergeCell ref="AB124:AC124"/>
    <mergeCell ref="T163:U164"/>
    <mergeCell ref="X211:Y230"/>
    <mergeCell ref="H197:I197"/>
    <mergeCell ref="N204:O204"/>
    <mergeCell ref="R212:S212"/>
    <mergeCell ref="AD209:AE210"/>
    <mergeCell ref="N138:O138"/>
    <mergeCell ref="AD230:AE230"/>
    <mergeCell ref="AD143:AE143"/>
    <mergeCell ref="P160:Q160"/>
    <mergeCell ref="H194:I194"/>
    <mergeCell ref="X209:Y210"/>
    <mergeCell ref="N57:O57"/>
    <mergeCell ref="F131:G131"/>
    <mergeCell ref="R184:S184"/>
    <mergeCell ref="V140:W141"/>
    <mergeCell ref="P121:Q121"/>
    <mergeCell ref="F89:G89"/>
    <mergeCell ref="N169:O169"/>
    <mergeCell ref="L102:M102"/>
    <mergeCell ref="N200:O200"/>
    <mergeCell ref="N202:O202"/>
    <mergeCell ref="H87:I87"/>
    <mergeCell ref="N168:O168"/>
    <mergeCell ref="N195:O195"/>
    <mergeCell ref="J62:K62"/>
    <mergeCell ref="E2:E3"/>
    <mergeCell ref="Z165:AA165"/>
    <mergeCell ref="F144:G144"/>
    <mergeCell ref="N103:O103"/>
    <mergeCell ref="Z200:AA200"/>
    <mergeCell ref="P134:Q134"/>
    <mergeCell ref="Z194:AA194"/>
    <mergeCell ref="L159:M159"/>
    <mergeCell ref="Z166:AA166"/>
    <mergeCell ref="A162:AH162"/>
    <mergeCell ref="AD16:AE16"/>
    <mergeCell ref="L65:M65"/>
    <mergeCell ref="P192:Q192"/>
    <mergeCell ref="AD18:AE18"/>
    <mergeCell ref="N129:O129"/>
    <mergeCell ref="N7:O7"/>
    <mergeCell ref="AG25:AG26"/>
    <mergeCell ref="T25:U26"/>
    <mergeCell ref="X73:Y92"/>
    <mergeCell ref="F78:G78"/>
    <mergeCell ref="P100:Q100"/>
    <mergeCell ref="L94:M95"/>
    <mergeCell ref="L87:M87"/>
    <mergeCell ref="N62:O62"/>
    <mergeCell ref="AD71:AE72"/>
    <mergeCell ref="N64:O64"/>
    <mergeCell ref="Z53:AA53"/>
    <mergeCell ref="P63:Q63"/>
    <mergeCell ref="AD51:AE51"/>
    <mergeCell ref="AB96:AC96"/>
    <mergeCell ref="J31:K31"/>
    <mergeCell ref="AD81:AE81"/>
    <mergeCell ref="F74:G74"/>
    <mergeCell ref="N131:O131"/>
    <mergeCell ref="H130:I130"/>
    <mergeCell ref="T96:U115"/>
    <mergeCell ref="P223:Q223"/>
    <mergeCell ref="F76:G76"/>
    <mergeCell ref="H132:I132"/>
    <mergeCell ref="P189:Q189"/>
    <mergeCell ref="L83:M83"/>
    <mergeCell ref="H134:I134"/>
    <mergeCell ref="H167:I167"/>
    <mergeCell ref="R168:S168"/>
    <mergeCell ref="H169:I169"/>
    <mergeCell ref="R160:S160"/>
    <mergeCell ref="N176:O176"/>
    <mergeCell ref="F129:G129"/>
    <mergeCell ref="H165:I165"/>
    <mergeCell ref="AB222:AC222"/>
    <mergeCell ref="P10:Q10"/>
    <mergeCell ref="Z129:AA129"/>
    <mergeCell ref="AB63:AC63"/>
    <mergeCell ref="R197:S197"/>
    <mergeCell ref="AB194:AC194"/>
    <mergeCell ref="N106:O106"/>
    <mergeCell ref="J218:K218"/>
    <mergeCell ref="J27:K27"/>
    <mergeCell ref="AB219:AC219"/>
    <mergeCell ref="J161:K161"/>
    <mergeCell ref="AB109:AC109"/>
    <mergeCell ref="N217:O217"/>
    <mergeCell ref="P194:Q194"/>
    <mergeCell ref="P120:Q120"/>
    <mergeCell ref="J229:K229"/>
    <mergeCell ref="L204:M204"/>
    <mergeCell ref="AB223:AC223"/>
    <mergeCell ref="P155:Q155"/>
    <mergeCell ref="L2:M3"/>
    <mergeCell ref="L206:M206"/>
    <mergeCell ref="AB189:AC189"/>
    <mergeCell ref="P157:Q157"/>
    <mergeCell ref="R213:S213"/>
    <mergeCell ref="L217:M217"/>
    <mergeCell ref="P227:Q227"/>
    <mergeCell ref="P15:Q15"/>
    <mergeCell ref="AB229:AC229"/>
    <mergeCell ref="R225:S225"/>
    <mergeCell ref="J227:K227"/>
    <mergeCell ref="J9:K9"/>
    <mergeCell ref="L205:M205"/>
    <mergeCell ref="J170:K170"/>
    <mergeCell ref="AD25:AE26"/>
    <mergeCell ref="L131:M131"/>
    <mergeCell ref="N160:O160"/>
    <mergeCell ref="AD108:AE108"/>
    <mergeCell ref="AD182:AE182"/>
    <mergeCell ref="AD145:AE145"/>
    <mergeCell ref="AB117:AC118"/>
    <mergeCell ref="AD77:AE77"/>
    <mergeCell ref="AB82:AC82"/>
    <mergeCell ref="AD50:AE50"/>
    <mergeCell ref="AD52:AE52"/>
    <mergeCell ref="AD188:AE188"/>
    <mergeCell ref="AD203:AE203"/>
    <mergeCell ref="AB170:AC170"/>
    <mergeCell ref="H216:I216"/>
    <mergeCell ref="R134:S134"/>
    <mergeCell ref="F31:G31"/>
    <mergeCell ref="P150:Q150"/>
    <mergeCell ref="P28:Q28"/>
    <mergeCell ref="R215:S215"/>
    <mergeCell ref="F39:G39"/>
    <mergeCell ref="P152:Q152"/>
    <mergeCell ref="P30:Q30"/>
    <mergeCell ref="L46:M46"/>
    <mergeCell ref="H97:I97"/>
    <mergeCell ref="J159:K159"/>
    <mergeCell ref="F64:G64"/>
    <mergeCell ref="J153:K153"/>
    <mergeCell ref="N117:O118"/>
    <mergeCell ref="N104:O104"/>
    <mergeCell ref="J216:K216"/>
    <mergeCell ref="AB202:AC202"/>
    <mergeCell ref="AB158:AC158"/>
    <mergeCell ref="N167:O167"/>
    <mergeCell ref="R55:S55"/>
    <mergeCell ref="AB174:AC174"/>
    <mergeCell ref="R144:S144"/>
    <mergeCell ref="AB166:AC166"/>
    <mergeCell ref="R121:S121"/>
    <mergeCell ref="R131:S131"/>
    <mergeCell ref="P131:Q131"/>
    <mergeCell ref="Z113:AA113"/>
    <mergeCell ref="Z174:AA174"/>
    <mergeCell ref="Z60:AA60"/>
    <mergeCell ref="AB205:AC205"/>
    <mergeCell ref="V119:W138"/>
    <mergeCell ref="AG209:AG210"/>
    <mergeCell ref="AD53:AE53"/>
    <mergeCell ref="P196:Q196"/>
    <mergeCell ref="AD55:AE55"/>
    <mergeCell ref="P198:Q198"/>
    <mergeCell ref="P65:Q65"/>
    <mergeCell ref="Z62:AA62"/>
    <mergeCell ref="Z56:AA56"/>
    <mergeCell ref="R129:S129"/>
    <mergeCell ref="Z64:AA64"/>
    <mergeCell ref="AB120:AC120"/>
    <mergeCell ref="P56:Q56"/>
    <mergeCell ref="P170:Q170"/>
    <mergeCell ref="Z55:AA55"/>
    <mergeCell ref="Z128:AA128"/>
    <mergeCell ref="R202:S202"/>
    <mergeCell ref="AG71:AG72"/>
    <mergeCell ref="AG186:AG187"/>
    <mergeCell ref="AF209:AF210"/>
    <mergeCell ref="F61:G61"/>
    <mergeCell ref="L33:M33"/>
    <mergeCell ref="F63:G63"/>
    <mergeCell ref="R63:S63"/>
    <mergeCell ref="N50:O50"/>
    <mergeCell ref="Z120:AA120"/>
    <mergeCell ref="A116:AH116"/>
    <mergeCell ref="L193:M193"/>
    <mergeCell ref="A70:AH70"/>
    <mergeCell ref="F105:G105"/>
    <mergeCell ref="R200:S200"/>
    <mergeCell ref="N40:O40"/>
    <mergeCell ref="AB191:AC191"/>
    <mergeCell ref="AH163:AH164"/>
    <mergeCell ref="P85:Q85"/>
    <mergeCell ref="P84:Q84"/>
    <mergeCell ref="H152:I152"/>
    <mergeCell ref="Z100:AA100"/>
    <mergeCell ref="R149:S149"/>
    <mergeCell ref="R113:S113"/>
    <mergeCell ref="N132:O132"/>
    <mergeCell ref="H121:I121"/>
    <mergeCell ref="N105:O105"/>
    <mergeCell ref="H123:I123"/>
    <mergeCell ref="N107:O107"/>
    <mergeCell ref="H99:I99"/>
    <mergeCell ref="N112:O112"/>
    <mergeCell ref="AB135:AC135"/>
    <mergeCell ref="H114:I114"/>
    <mergeCell ref="C186:C187"/>
    <mergeCell ref="N27:O27"/>
    <mergeCell ref="AD211:AE211"/>
    <mergeCell ref="P83:Q83"/>
    <mergeCell ref="AB148:AC148"/>
    <mergeCell ref="Z75:AA75"/>
    <mergeCell ref="AB44:AC44"/>
    <mergeCell ref="P80:Q80"/>
    <mergeCell ref="D186:D187"/>
    <mergeCell ref="AB81:AC81"/>
    <mergeCell ref="L195:M195"/>
    <mergeCell ref="H60:I60"/>
    <mergeCell ref="H170:I170"/>
    <mergeCell ref="D94:D95"/>
    <mergeCell ref="AD180:AE180"/>
    <mergeCell ref="L74:M74"/>
    <mergeCell ref="Z34:AA34"/>
    <mergeCell ref="J115:K115"/>
    <mergeCell ref="H42:I42"/>
    <mergeCell ref="J142:K142"/>
    <mergeCell ref="Z28:AA28"/>
    <mergeCell ref="J103:K103"/>
    <mergeCell ref="Z122:AA122"/>
    <mergeCell ref="H101:I101"/>
    <mergeCell ref="J76:K76"/>
    <mergeCell ref="Z73:AA73"/>
    <mergeCell ref="L76:M76"/>
    <mergeCell ref="L43:M43"/>
    <mergeCell ref="N38:O38"/>
    <mergeCell ref="H74:I74"/>
    <mergeCell ref="H68:I68"/>
    <mergeCell ref="J58:K58"/>
    <mergeCell ref="V2:W3"/>
    <mergeCell ref="R204:S204"/>
    <mergeCell ref="H57:I57"/>
    <mergeCell ref="F22:G22"/>
    <mergeCell ref="H84:I84"/>
    <mergeCell ref="J113:K113"/>
    <mergeCell ref="P19:Q19"/>
    <mergeCell ref="R75:S75"/>
    <mergeCell ref="J149:K149"/>
    <mergeCell ref="P140:Q141"/>
    <mergeCell ref="P12:Q12"/>
    <mergeCell ref="J121:K121"/>
    <mergeCell ref="H86:I86"/>
    <mergeCell ref="P13:Q13"/>
    <mergeCell ref="F48:G49"/>
    <mergeCell ref="F41:G41"/>
    <mergeCell ref="Z230:AA230"/>
    <mergeCell ref="Z224:AA224"/>
    <mergeCell ref="AB230:AC230"/>
    <mergeCell ref="H211:I211"/>
    <mergeCell ref="P129:Q129"/>
    <mergeCell ref="N224:O224"/>
    <mergeCell ref="R186:S187"/>
    <mergeCell ref="L197:M197"/>
    <mergeCell ref="L153:M153"/>
    <mergeCell ref="R206:S206"/>
    <mergeCell ref="AB221:AC221"/>
    <mergeCell ref="AB151:AC151"/>
    <mergeCell ref="P212:Q212"/>
    <mergeCell ref="P225:Q225"/>
    <mergeCell ref="R217:S217"/>
    <mergeCell ref="J179:K179"/>
    <mergeCell ref="N225:O225"/>
    <mergeCell ref="R176:S176"/>
    <mergeCell ref="R64:S64"/>
    <mergeCell ref="N227:O227"/>
    <mergeCell ref="Z117:AA118"/>
    <mergeCell ref="Z104:AA104"/>
    <mergeCell ref="R178:S178"/>
    <mergeCell ref="R103:S103"/>
    <mergeCell ref="N97:O97"/>
    <mergeCell ref="P159:Q159"/>
    <mergeCell ref="X94:Y95"/>
    <mergeCell ref="R106:S106"/>
    <mergeCell ref="X71:Y72"/>
    <mergeCell ref="R195:S195"/>
    <mergeCell ref="R73:S73"/>
    <mergeCell ref="P224:Q224"/>
    <mergeCell ref="AB7:AC7"/>
    <mergeCell ref="J21:K21"/>
    <mergeCell ref="P43:Q43"/>
    <mergeCell ref="R105:S105"/>
    <mergeCell ref="AD200:AE200"/>
    <mergeCell ref="J186:K187"/>
    <mergeCell ref="Z63:AA63"/>
    <mergeCell ref="J23:K23"/>
    <mergeCell ref="R107:S107"/>
    <mergeCell ref="J181:K181"/>
    <mergeCell ref="AD73:AE73"/>
    <mergeCell ref="AD197:AE197"/>
    <mergeCell ref="R34:S34"/>
    <mergeCell ref="Z91:AA91"/>
    <mergeCell ref="R36:S36"/>
    <mergeCell ref="AB155:AC155"/>
    <mergeCell ref="R4:S4"/>
    <mergeCell ref="J78:K78"/>
    <mergeCell ref="R40:S40"/>
    <mergeCell ref="H191:I191"/>
    <mergeCell ref="H51:I51"/>
    <mergeCell ref="J80:K80"/>
    <mergeCell ref="J107:K107"/>
    <mergeCell ref="L142:M142"/>
    <mergeCell ref="L172:M172"/>
    <mergeCell ref="L55:M55"/>
    <mergeCell ref="J79:K79"/>
    <mergeCell ref="L171:M171"/>
    <mergeCell ref="N119:O119"/>
    <mergeCell ref="P175:Q175"/>
    <mergeCell ref="P177:Q177"/>
    <mergeCell ref="R57:S57"/>
    <mergeCell ref="Z6:AA6"/>
    <mergeCell ref="H196:I196"/>
    <mergeCell ref="N218:O218"/>
    <mergeCell ref="R11:S11"/>
    <mergeCell ref="R38:S38"/>
    <mergeCell ref="J112:K112"/>
    <mergeCell ref="P193:Q193"/>
    <mergeCell ref="J84:K84"/>
    <mergeCell ref="X188:Y207"/>
    <mergeCell ref="N212:O212"/>
    <mergeCell ref="N214:O214"/>
    <mergeCell ref="X25:Y26"/>
    <mergeCell ref="Z36:AA36"/>
    <mergeCell ref="Z30:AA30"/>
    <mergeCell ref="Z61:AA61"/>
    <mergeCell ref="N20:O20"/>
    <mergeCell ref="AH25:AH26"/>
    <mergeCell ref="AD102:AE102"/>
    <mergeCell ref="N216:O216"/>
    <mergeCell ref="R9:S9"/>
    <mergeCell ref="R167:S167"/>
    <mergeCell ref="AD128:AE128"/>
    <mergeCell ref="AB13:AC13"/>
    <mergeCell ref="AD202:AE202"/>
    <mergeCell ref="AB149:AC149"/>
    <mergeCell ref="AB54:AC54"/>
    <mergeCell ref="N22:O22"/>
    <mergeCell ref="R142:S142"/>
    <mergeCell ref="AD61:AE61"/>
    <mergeCell ref="AD175:AE175"/>
    <mergeCell ref="AD213:AE213"/>
    <mergeCell ref="V211:W230"/>
    <mergeCell ref="AB16:AC16"/>
    <mergeCell ref="F114:G114"/>
    <mergeCell ref="J182:K182"/>
    <mergeCell ref="J65:K65"/>
    <mergeCell ref="AB46:AC46"/>
    <mergeCell ref="V73:W92"/>
    <mergeCell ref="X27:Y46"/>
    <mergeCell ref="R117:S118"/>
    <mergeCell ref="AB136:AC136"/>
    <mergeCell ref="Z38:AA38"/>
    <mergeCell ref="R112:S112"/>
    <mergeCell ref="F147:G147"/>
    <mergeCell ref="P144:Q144"/>
    <mergeCell ref="H122:I122"/>
    <mergeCell ref="Z159:AA159"/>
    <mergeCell ref="H20:I20"/>
    <mergeCell ref="AD56:AE56"/>
    <mergeCell ref="AD176:AE176"/>
    <mergeCell ref="L103:M103"/>
    <mergeCell ref="AD64:AE64"/>
    <mergeCell ref="N134:O134"/>
    <mergeCell ref="N161:O161"/>
    <mergeCell ref="AD126:AE126"/>
    <mergeCell ref="L167:M167"/>
    <mergeCell ref="P94:Q95"/>
    <mergeCell ref="L169:M169"/>
    <mergeCell ref="AB79:AC79"/>
    <mergeCell ref="AD165:AE165"/>
    <mergeCell ref="AB92:AC92"/>
    <mergeCell ref="AD137:AE137"/>
    <mergeCell ref="AD124:AE124"/>
    <mergeCell ref="R104:S104"/>
    <mergeCell ref="AF71:AF72"/>
    <mergeCell ref="AB112:AC112"/>
    <mergeCell ref="P207:Q207"/>
    <mergeCell ref="AD62:AE62"/>
    <mergeCell ref="Z225:AA225"/>
    <mergeCell ref="Z197:AA197"/>
    <mergeCell ref="AD215:AE215"/>
    <mergeCell ref="AD184:AE184"/>
    <mergeCell ref="AB192:AC192"/>
    <mergeCell ref="AF186:AF187"/>
    <mergeCell ref="R181:S181"/>
    <mergeCell ref="AD199:AE199"/>
    <mergeCell ref="Z192:AA192"/>
    <mergeCell ref="AD173:AE173"/>
    <mergeCell ref="AD194:AE194"/>
    <mergeCell ref="AD78:AE78"/>
    <mergeCell ref="F228:G228"/>
    <mergeCell ref="F203:G203"/>
    <mergeCell ref="R27:S27"/>
    <mergeCell ref="L157:M157"/>
    <mergeCell ref="R20:S20"/>
    <mergeCell ref="L129:M129"/>
    <mergeCell ref="L123:M123"/>
    <mergeCell ref="R22:S22"/>
    <mergeCell ref="L152:M152"/>
    <mergeCell ref="H220:I220"/>
    <mergeCell ref="N121:O121"/>
    <mergeCell ref="H222:I222"/>
    <mergeCell ref="N115:O115"/>
    <mergeCell ref="L42:M42"/>
    <mergeCell ref="F189:G189"/>
    <mergeCell ref="F188:G188"/>
    <mergeCell ref="Z2:AA3"/>
    <mergeCell ref="Z212:AA212"/>
    <mergeCell ref="L57:M57"/>
    <mergeCell ref="AB9:AC9"/>
    <mergeCell ref="P2:Q3"/>
    <mergeCell ref="AB85:AC85"/>
    <mergeCell ref="L68:M68"/>
    <mergeCell ref="N130:O130"/>
    <mergeCell ref="P46:Q46"/>
    <mergeCell ref="Z37:AA37"/>
    <mergeCell ref="P122:Q122"/>
    <mergeCell ref="AB175:AC175"/>
    <mergeCell ref="L105:M105"/>
    <mergeCell ref="AB11:AC11"/>
    <mergeCell ref="AB140:AC141"/>
    <mergeCell ref="L124:M124"/>
    <mergeCell ref="AG117:AG118"/>
    <mergeCell ref="N89:O89"/>
    <mergeCell ref="V186:W187"/>
    <mergeCell ref="AB71:AC72"/>
    <mergeCell ref="Z177:AA177"/>
    <mergeCell ref="P153:Q153"/>
    <mergeCell ref="AD174:AE174"/>
    <mergeCell ref="AD100:AE100"/>
    <mergeCell ref="AD75:AE75"/>
    <mergeCell ref="N114:O114"/>
    <mergeCell ref="AD146:AE146"/>
    <mergeCell ref="AB83:AC83"/>
    <mergeCell ref="AB110:AC110"/>
    <mergeCell ref="AD91:AE91"/>
    <mergeCell ref="N74:O74"/>
    <mergeCell ref="N76:O76"/>
    <mergeCell ref="L4:M4"/>
    <mergeCell ref="R51:S51"/>
    <mergeCell ref="F134:G134"/>
    <mergeCell ref="AD117:AE118"/>
    <mergeCell ref="AD104:AE104"/>
    <mergeCell ref="L31:M31"/>
    <mergeCell ref="N87:O87"/>
    <mergeCell ref="J8:K8"/>
    <mergeCell ref="J10:K10"/>
    <mergeCell ref="AD60:AE60"/>
    <mergeCell ref="H89:I89"/>
    <mergeCell ref="J43:K43"/>
    <mergeCell ref="J11:K11"/>
    <mergeCell ref="H33:I33"/>
    <mergeCell ref="Z19:AA19"/>
    <mergeCell ref="H35:I35"/>
    <mergeCell ref="H229:I229"/>
    <mergeCell ref="Z215:AA215"/>
    <mergeCell ref="F77:G77"/>
    <mergeCell ref="P68:Q68"/>
    <mergeCell ref="R130:S130"/>
    <mergeCell ref="F166:G166"/>
    <mergeCell ref="H135:I135"/>
    <mergeCell ref="R132:S132"/>
    <mergeCell ref="L86:M86"/>
    <mergeCell ref="F226:G226"/>
    <mergeCell ref="V94:W95"/>
    <mergeCell ref="J228:K228"/>
    <mergeCell ref="J203:K203"/>
    <mergeCell ref="Z89:AA89"/>
    <mergeCell ref="F190:G190"/>
    <mergeCell ref="L99:M99"/>
    <mergeCell ref="AD9:AE9"/>
    <mergeCell ref="V117:W118"/>
    <mergeCell ref="F191:G191"/>
    <mergeCell ref="J199:K199"/>
    <mergeCell ref="N150:O150"/>
    <mergeCell ref="F59:G59"/>
    <mergeCell ref="N21:O21"/>
    <mergeCell ref="N152:O152"/>
    <mergeCell ref="N186:O187"/>
    <mergeCell ref="Z109:AA109"/>
    <mergeCell ref="AD19:AE19"/>
    <mergeCell ref="Z184:AA184"/>
    <mergeCell ref="R114:S114"/>
    <mergeCell ref="AD27:AE27"/>
    <mergeCell ref="P195:Q195"/>
    <mergeCell ref="L35:M35"/>
    <mergeCell ref="AF163:AF164"/>
    <mergeCell ref="L20:M20"/>
    <mergeCell ref="AB204:AC204"/>
    <mergeCell ref="L196:M196"/>
    <mergeCell ref="F150:G150"/>
    <mergeCell ref="L22:M22"/>
    <mergeCell ref="N84:O84"/>
    <mergeCell ref="N78:O78"/>
    <mergeCell ref="F152:G152"/>
    <mergeCell ref="L191:M191"/>
    <mergeCell ref="N80:O80"/>
    <mergeCell ref="P142:Q142"/>
    <mergeCell ref="Z202:AA202"/>
    <mergeCell ref="P55:Q55"/>
    <mergeCell ref="R111:S111"/>
    <mergeCell ref="F165:G165"/>
    <mergeCell ref="F5:G5"/>
    <mergeCell ref="P124:Q124"/>
    <mergeCell ref="J132:K132"/>
    <mergeCell ref="Z115:AA115"/>
    <mergeCell ref="R189:S189"/>
    <mergeCell ref="H69:I69"/>
    <mergeCell ref="P126:Q126"/>
    <mergeCell ref="N8:O8"/>
    <mergeCell ref="N10:O10"/>
    <mergeCell ref="H25:I26"/>
    <mergeCell ref="P66:Q66"/>
    <mergeCell ref="N65:O65"/>
    <mergeCell ref="F10:G10"/>
    <mergeCell ref="F29:G29"/>
    <mergeCell ref="L66:M66"/>
    <mergeCell ref="L29:M29"/>
    <mergeCell ref="D209:D210"/>
    <mergeCell ref="P29:Q29"/>
    <mergeCell ref="AB213:AC213"/>
    <mergeCell ref="Z178:AA178"/>
    <mergeCell ref="H44:I44"/>
    <mergeCell ref="P31:Q31"/>
    <mergeCell ref="J167:K167"/>
    <mergeCell ref="Z150:AA150"/>
    <mergeCell ref="R87:S87"/>
    <mergeCell ref="Z144:AA144"/>
    <mergeCell ref="J188:K188"/>
    <mergeCell ref="F53:G53"/>
    <mergeCell ref="H82:I82"/>
    <mergeCell ref="Z213:AA213"/>
    <mergeCell ref="P197:Q197"/>
    <mergeCell ref="D48:D49"/>
    <mergeCell ref="E209:E210"/>
    <mergeCell ref="R148:S148"/>
    <mergeCell ref="Z74:AA74"/>
    <mergeCell ref="AD201:AE201"/>
    <mergeCell ref="J180:K180"/>
    <mergeCell ref="AD198:AE198"/>
    <mergeCell ref="F123:G123"/>
    <mergeCell ref="H179:I179"/>
    <mergeCell ref="P138:Q138"/>
    <mergeCell ref="F108:G108"/>
    <mergeCell ref="F143:G143"/>
    <mergeCell ref="H180:I180"/>
    <mergeCell ref="T140:U141"/>
    <mergeCell ref="P179:Q179"/>
    <mergeCell ref="R196:S196"/>
    <mergeCell ref="N77:O77"/>
    <mergeCell ref="H224:I224"/>
    <mergeCell ref="L209:M210"/>
    <mergeCell ref="AD222:AE222"/>
    <mergeCell ref="Z205:AA205"/>
    <mergeCell ref="N23:O23"/>
    <mergeCell ref="N181:O181"/>
    <mergeCell ref="H153:I153"/>
    <mergeCell ref="L104:M104"/>
    <mergeCell ref="R218:S218"/>
    <mergeCell ref="AB217:AC217"/>
    <mergeCell ref="AD37:AE37"/>
    <mergeCell ref="AD224:AE224"/>
    <mergeCell ref="J59:K59"/>
    <mergeCell ref="AB45:AC45"/>
    <mergeCell ref="AD35:AE35"/>
    <mergeCell ref="Z214:AA214"/>
    <mergeCell ref="A25:A26"/>
    <mergeCell ref="AB119:AC119"/>
    <mergeCell ref="H98:I98"/>
    <mergeCell ref="R89:S89"/>
    <mergeCell ref="Z186:AA187"/>
    <mergeCell ref="P42:Q42"/>
    <mergeCell ref="B163:B164"/>
    <mergeCell ref="F97:G97"/>
    <mergeCell ref="A163:A164"/>
    <mergeCell ref="C48:C49"/>
    <mergeCell ref="F66:G66"/>
    <mergeCell ref="T94:U95"/>
    <mergeCell ref="F127:G127"/>
    <mergeCell ref="H159:I159"/>
    <mergeCell ref="J131:K131"/>
    <mergeCell ref="J150:K150"/>
    <mergeCell ref="T2:U3"/>
    <mergeCell ref="Z76:AA76"/>
    <mergeCell ref="J190:K190"/>
    <mergeCell ref="AB138:AC138"/>
    <mergeCell ref="A47:AH47"/>
    <mergeCell ref="AB132:AC132"/>
    <mergeCell ref="J146:K146"/>
    <mergeCell ref="F84:G84"/>
    <mergeCell ref="H113:I113"/>
    <mergeCell ref="A71:A72"/>
    <mergeCell ref="N12:O12"/>
    <mergeCell ref="F86:G86"/>
    <mergeCell ref="F80:G80"/>
    <mergeCell ref="H142:I142"/>
    <mergeCell ref="F79:G79"/>
    <mergeCell ref="N39:O39"/>
    <mergeCell ref="L227:M227"/>
    <mergeCell ref="AD54:AE54"/>
    <mergeCell ref="N209:O210"/>
    <mergeCell ref="P57:Q57"/>
    <mergeCell ref="H131:I131"/>
    <mergeCell ref="L220:M220"/>
    <mergeCell ref="Z79:AA79"/>
    <mergeCell ref="P171:Q171"/>
    <mergeCell ref="X140:Y141"/>
    <mergeCell ref="H124:I124"/>
    <mergeCell ref="L222:M222"/>
    <mergeCell ref="R115:S115"/>
    <mergeCell ref="AB137:AC137"/>
    <mergeCell ref="J189:K189"/>
    <mergeCell ref="H126:I126"/>
    <mergeCell ref="L207:M207"/>
    <mergeCell ref="L225:M225"/>
    <mergeCell ref="Z175:AA175"/>
    <mergeCell ref="AD183:AE183"/>
    <mergeCell ref="R219:S219"/>
    <mergeCell ref="L51:M51"/>
    <mergeCell ref="AB68:AC68"/>
    <mergeCell ref="Z149:AA149"/>
    <mergeCell ref="R216:S216"/>
    <mergeCell ref="Z151:AA151"/>
    <mergeCell ref="AD196:AE196"/>
    <mergeCell ref="Z92:AA92"/>
    <mergeCell ref="P103:Q103"/>
    <mergeCell ref="P97:Q97"/>
    <mergeCell ref="R159:S159"/>
    <mergeCell ref="AD109:AE109"/>
    <mergeCell ref="R198:S198"/>
    <mergeCell ref="Z9:AA9"/>
    <mergeCell ref="N9:O9"/>
    <mergeCell ref="F207:G207"/>
    <mergeCell ref="P182:Q182"/>
    <mergeCell ref="AB6:AC6"/>
    <mergeCell ref="F183:G183"/>
    <mergeCell ref="F58:G58"/>
    <mergeCell ref="F52:G52"/>
    <mergeCell ref="V48:W49"/>
    <mergeCell ref="F60:G60"/>
    <mergeCell ref="H67:I67"/>
    <mergeCell ref="H103:I103"/>
    <mergeCell ref="H78:I78"/>
    <mergeCell ref="H108:I108"/>
    <mergeCell ref="N14:O14"/>
    <mergeCell ref="H144:I144"/>
    <mergeCell ref="J219:K219"/>
    <mergeCell ref="AB167:AC167"/>
    <mergeCell ref="P104:Q104"/>
    <mergeCell ref="AB55:AC55"/>
    <mergeCell ref="F209:G210"/>
    <mergeCell ref="L125:M125"/>
    <mergeCell ref="L188:M188"/>
    <mergeCell ref="F81:G81"/>
    <mergeCell ref="F219:G219"/>
    <mergeCell ref="J217:K217"/>
    <mergeCell ref="H207:I207"/>
    <mergeCell ref="Z196:AA196"/>
    <mergeCell ref="F201:G201"/>
    <mergeCell ref="H209:I210"/>
    <mergeCell ref="F199:G199"/>
    <mergeCell ref="L179:M179"/>
    <mergeCell ref="H5:I5"/>
    <mergeCell ref="J61:K61"/>
    <mergeCell ref="V27:W46"/>
    <mergeCell ref="R23:S23"/>
    <mergeCell ref="J97:K97"/>
    <mergeCell ref="N11:O11"/>
    <mergeCell ref="J12:K12"/>
    <mergeCell ref="J89:K89"/>
    <mergeCell ref="P17:Q17"/>
    <mergeCell ref="A24:AH24"/>
    <mergeCell ref="F21:G21"/>
    <mergeCell ref="F50:G50"/>
    <mergeCell ref="Z25:AA26"/>
    <mergeCell ref="N35:O35"/>
    <mergeCell ref="AG48:AG49"/>
    <mergeCell ref="P40:Q40"/>
    <mergeCell ref="J201:K201"/>
    <mergeCell ref="R161:S161"/>
    <mergeCell ref="Z111:AA111"/>
    <mergeCell ref="F90:G90"/>
    <mergeCell ref="N147:O147"/>
    <mergeCell ref="Z147:AA147"/>
    <mergeCell ref="J144:K144"/>
    <mergeCell ref="F186:G187"/>
    <mergeCell ref="F181:G181"/>
    <mergeCell ref="F99:G99"/>
    <mergeCell ref="F178:G178"/>
    <mergeCell ref="J184:K184"/>
    <mergeCell ref="F107:G107"/>
    <mergeCell ref="H172:I172"/>
    <mergeCell ref="H171:I171"/>
    <mergeCell ref="J176:K176"/>
    <mergeCell ref="Z7:AA7"/>
    <mergeCell ref="N43:O43"/>
    <mergeCell ref="P105:Q105"/>
    <mergeCell ref="H186:I187"/>
    <mergeCell ref="P99:Q99"/>
    <mergeCell ref="H173:I173"/>
    <mergeCell ref="R74:S74"/>
    <mergeCell ref="Z131:AA131"/>
    <mergeCell ref="P107:Q107"/>
    <mergeCell ref="P101:Q101"/>
    <mergeCell ref="Z8:AA8"/>
    <mergeCell ref="H16:I16"/>
    <mergeCell ref="R76:S76"/>
    <mergeCell ref="H32:I32"/>
    <mergeCell ref="H7:I7"/>
    <mergeCell ref="J63:K63"/>
    <mergeCell ref="L224:M224"/>
    <mergeCell ref="F62:G62"/>
    <mergeCell ref="N172:O172"/>
    <mergeCell ref="N199:O199"/>
    <mergeCell ref="AB52:AC52"/>
    <mergeCell ref="R150:S150"/>
    <mergeCell ref="Z103:AA103"/>
    <mergeCell ref="Z78:AA78"/>
    <mergeCell ref="R152:S152"/>
    <mergeCell ref="AB169:AC169"/>
    <mergeCell ref="Z136:AA136"/>
    <mergeCell ref="F110:G110"/>
    <mergeCell ref="J124:K124"/>
    <mergeCell ref="J96:K96"/>
    <mergeCell ref="J90:K90"/>
    <mergeCell ref="L154:M154"/>
    <mergeCell ref="AD212:AE212"/>
    <mergeCell ref="F33:G33"/>
    <mergeCell ref="N170:O170"/>
    <mergeCell ref="AD214:AE214"/>
    <mergeCell ref="P86:Q86"/>
    <mergeCell ref="Z83:AA83"/>
    <mergeCell ref="AD111:AE111"/>
    <mergeCell ref="N48:O49"/>
    <mergeCell ref="N41:O41"/>
    <mergeCell ref="AB40:AC40"/>
    <mergeCell ref="R50:S50"/>
    <mergeCell ref="AD120:AE120"/>
    <mergeCell ref="AD147:AE147"/>
    <mergeCell ref="AB42:AC42"/>
    <mergeCell ref="AB160:AC160"/>
    <mergeCell ref="Z87:AA87"/>
    <mergeCell ref="B25:B26"/>
    <mergeCell ref="R8:S8"/>
    <mergeCell ref="Z65:AA65"/>
    <mergeCell ref="AB121:AC121"/>
    <mergeCell ref="P35:Q35"/>
    <mergeCell ref="T119:U138"/>
    <mergeCell ref="R10:S10"/>
    <mergeCell ref="L25:M26"/>
    <mergeCell ref="AB123:AC123"/>
    <mergeCell ref="H102:I102"/>
    <mergeCell ref="J77:K77"/>
    <mergeCell ref="L106:M106"/>
    <mergeCell ref="F28:G28"/>
    <mergeCell ref="H21:I21"/>
    <mergeCell ref="J48:K49"/>
    <mergeCell ref="J41:K41"/>
    <mergeCell ref="D71:D72"/>
    <mergeCell ref="Z39:AA39"/>
    <mergeCell ref="AD168:AE168"/>
    <mergeCell ref="J147:K147"/>
    <mergeCell ref="AD160:AE160"/>
    <mergeCell ref="L122:M122"/>
    <mergeCell ref="E163:E164"/>
    <mergeCell ref="AB97:AC97"/>
    <mergeCell ref="AD159:AE159"/>
    <mergeCell ref="F43:G43"/>
    <mergeCell ref="H105:I105"/>
    <mergeCell ref="J134:K134"/>
    <mergeCell ref="P58:Q58"/>
    <mergeCell ref="AB128:AC128"/>
    <mergeCell ref="H107:I107"/>
    <mergeCell ref="R165:S165"/>
    <mergeCell ref="AD39:AE39"/>
    <mergeCell ref="H125:I125"/>
    <mergeCell ref="N109:O109"/>
    <mergeCell ref="J14:K14"/>
    <mergeCell ref="AF25:AF26"/>
    <mergeCell ref="R80:S80"/>
    <mergeCell ref="AB102:AC102"/>
    <mergeCell ref="P33:Q33"/>
    <mergeCell ref="N59:O59"/>
    <mergeCell ref="AB66:AC66"/>
    <mergeCell ref="R77:S77"/>
    <mergeCell ref="AD63:AE63"/>
    <mergeCell ref="AD34:AE34"/>
    <mergeCell ref="AD28:AE28"/>
    <mergeCell ref="AD36:AE36"/>
    <mergeCell ref="AD30:AE30"/>
    <mergeCell ref="H31:I31"/>
    <mergeCell ref="H58:I58"/>
    <mergeCell ref="F11:G11"/>
    <mergeCell ref="F40:G40"/>
    <mergeCell ref="F12:G12"/>
    <mergeCell ref="F13:G13"/>
    <mergeCell ref="F14:G14"/>
    <mergeCell ref="F35:G35"/>
    <mergeCell ref="F23:G23"/>
    <mergeCell ref="H11:I11"/>
    <mergeCell ref="F42:G42"/>
    <mergeCell ref="H23:I23"/>
    <mergeCell ref="H18:I18"/>
    <mergeCell ref="F15:G15"/>
    <mergeCell ref="F30:G30"/>
    <mergeCell ref="F32:G32"/>
    <mergeCell ref="AD221:AE221"/>
    <mergeCell ref="J52:K52"/>
    <mergeCell ref="R39:S39"/>
    <mergeCell ref="L108:M108"/>
    <mergeCell ref="J44:K44"/>
    <mergeCell ref="AB152:AC152"/>
    <mergeCell ref="AD92:AE92"/>
    <mergeCell ref="AD216:AE216"/>
    <mergeCell ref="AD218:AE218"/>
    <mergeCell ref="Z112:AA112"/>
    <mergeCell ref="Z94:AA95"/>
    <mergeCell ref="R65:S65"/>
    <mergeCell ref="AD148:AE148"/>
    <mergeCell ref="R84:S84"/>
    <mergeCell ref="R78:S78"/>
    <mergeCell ref="J152:K152"/>
    <mergeCell ref="E71:E72"/>
    <mergeCell ref="J50:K50"/>
    <mergeCell ref="AB34:AC34"/>
    <mergeCell ref="F222:G222"/>
    <mergeCell ref="L115:M115"/>
    <mergeCell ref="J42:K42"/>
    <mergeCell ref="J37:K37"/>
    <mergeCell ref="F71:G72"/>
    <mergeCell ref="F172:G172"/>
    <mergeCell ref="AB100:AC100"/>
    <mergeCell ref="AB75:AC75"/>
    <mergeCell ref="F173:G173"/>
    <mergeCell ref="Z102:AA102"/>
    <mergeCell ref="L158:M158"/>
    <mergeCell ref="J125:K125"/>
    <mergeCell ref="R94:S95"/>
    <mergeCell ref="X2:Y3"/>
    <mergeCell ref="AD76:AE76"/>
    <mergeCell ref="N146:O146"/>
    <mergeCell ref="H22:I22"/>
    <mergeCell ref="F220:G220"/>
    <mergeCell ref="L113:M113"/>
    <mergeCell ref="AB157:AC157"/>
    <mergeCell ref="AB28:AC28"/>
    <mergeCell ref="AB30:AC30"/>
    <mergeCell ref="AB29:AC29"/>
    <mergeCell ref="H4:I4"/>
    <mergeCell ref="AD6:AE6"/>
    <mergeCell ref="AD17:AE17"/>
    <mergeCell ref="P20:Q20"/>
    <mergeCell ref="Z11:AA11"/>
    <mergeCell ref="P22:Q22"/>
    <mergeCell ref="N4:O4"/>
    <mergeCell ref="N135:O135"/>
    <mergeCell ref="P191:Q191"/>
    <mergeCell ref="J29:K29"/>
    <mergeCell ref="AB15:AC15"/>
    <mergeCell ref="P51:Q51"/>
    <mergeCell ref="AB104:AC104"/>
    <mergeCell ref="Z48:AA49"/>
    <mergeCell ref="AB106:AC106"/>
    <mergeCell ref="L89:M89"/>
    <mergeCell ref="T186:U187"/>
    <mergeCell ref="N189:O189"/>
    <mergeCell ref="P67:Q67"/>
    <mergeCell ref="L126:M126"/>
    <mergeCell ref="L88:M88"/>
    <mergeCell ref="R21:S21"/>
    <mergeCell ref="AD7:AE7"/>
    <mergeCell ref="R43:S43"/>
    <mergeCell ref="L186:M187"/>
    <mergeCell ref="L173:M173"/>
    <mergeCell ref="AD131:AE131"/>
    <mergeCell ref="L145:M145"/>
    <mergeCell ref="AD8:AE8"/>
    <mergeCell ref="P176:Q176"/>
    <mergeCell ref="L16:M16"/>
    <mergeCell ref="L174:M174"/>
    <mergeCell ref="Z27:AA27"/>
    <mergeCell ref="N122:O122"/>
    <mergeCell ref="R59:S59"/>
    <mergeCell ref="P178:Q178"/>
    <mergeCell ref="AB91:AC91"/>
    <mergeCell ref="AD79:AE79"/>
    <mergeCell ref="F224:G224"/>
    <mergeCell ref="J209:K210"/>
    <mergeCell ref="P125:Q125"/>
    <mergeCell ref="H199:I199"/>
    <mergeCell ref="R41:S41"/>
    <mergeCell ref="R48:S49"/>
    <mergeCell ref="L144:M144"/>
    <mergeCell ref="J110:K110"/>
    <mergeCell ref="N201:O201"/>
    <mergeCell ref="F146:G146"/>
    <mergeCell ref="N203:O203"/>
    <mergeCell ref="H41:I41"/>
    <mergeCell ref="P214:Q214"/>
    <mergeCell ref="F202:G202"/>
    <mergeCell ref="R209:S210"/>
    <mergeCell ref="H48:I49"/>
    <mergeCell ref="AD11:AE11"/>
    <mergeCell ref="L60:M60"/>
    <mergeCell ref="L52:M52"/>
    <mergeCell ref="N124:O124"/>
    <mergeCell ref="P180:Q180"/>
    <mergeCell ref="N126:O126"/>
    <mergeCell ref="AD136:AE136"/>
    <mergeCell ref="AB38:AC38"/>
    <mergeCell ref="L21:M21"/>
    <mergeCell ref="AD74:AE74"/>
    <mergeCell ref="AD89:AE89"/>
    <mergeCell ref="AB56:AC56"/>
    <mergeCell ref="AB176:AC176"/>
    <mergeCell ref="AD83:AE83"/>
    <mergeCell ref="R172:S172"/>
    <mergeCell ref="N66:O66"/>
    <mergeCell ref="L5:M5"/>
    <mergeCell ref="N61:O61"/>
    <mergeCell ref="F135:G135"/>
    <mergeCell ref="N219:O219"/>
    <mergeCell ref="R12:S12"/>
    <mergeCell ref="J86:K86"/>
    <mergeCell ref="F6:G6"/>
    <mergeCell ref="J99:K99"/>
    <mergeCell ref="H36:I36"/>
    <mergeCell ref="J101:K101"/>
    <mergeCell ref="J100:K100"/>
    <mergeCell ref="L69:M69"/>
    <mergeCell ref="L44:M44"/>
    <mergeCell ref="F163:G164"/>
    <mergeCell ref="F69:G69"/>
    <mergeCell ref="H34:I34"/>
    <mergeCell ref="AG140:AG141"/>
    <mergeCell ref="F193:G193"/>
    <mergeCell ref="J13:K13"/>
    <mergeCell ref="H127:I127"/>
    <mergeCell ref="L78:M78"/>
    <mergeCell ref="J15:K15"/>
    <mergeCell ref="L73:M73"/>
    <mergeCell ref="AD186:AE187"/>
    <mergeCell ref="AD57:AE57"/>
    <mergeCell ref="X119:Y138"/>
    <mergeCell ref="N137:O137"/>
    <mergeCell ref="L71:M72"/>
    <mergeCell ref="AB17:AC17"/>
    <mergeCell ref="P106:Q106"/>
    <mergeCell ref="F82:G82"/>
    <mergeCell ref="J33:K33"/>
    <mergeCell ref="A209:A210"/>
    <mergeCell ref="N123:O123"/>
    <mergeCell ref="L50:M50"/>
    <mergeCell ref="Z227:AA227"/>
    <mergeCell ref="F211:G211"/>
    <mergeCell ref="N101:O101"/>
    <mergeCell ref="P76:Q76"/>
    <mergeCell ref="R138:S138"/>
    <mergeCell ref="N100:O100"/>
    <mergeCell ref="F174:G174"/>
    <mergeCell ref="F168:G168"/>
    <mergeCell ref="D163:D164"/>
    <mergeCell ref="F133:G133"/>
    <mergeCell ref="N68:O68"/>
    <mergeCell ref="P130:Q130"/>
    <mergeCell ref="Z198:AA198"/>
    <mergeCell ref="P14:Q14"/>
    <mergeCell ref="Z140:AA141"/>
    <mergeCell ref="AD114:AE114"/>
    <mergeCell ref="L32:M32"/>
    <mergeCell ref="F137:G137"/>
    <mergeCell ref="N96:O96"/>
    <mergeCell ref="N98:O98"/>
    <mergeCell ref="L58:M58"/>
    <mergeCell ref="AB19:AC19"/>
    <mergeCell ref="F16:G16"/>
    <mergeCell ref="AD103:AE103"/>
    <mergeCell ref="Z22:AA22"/>
    <mergeCell ref="AB84:AC84"/>
    <mergeCell ref="AB86:AC86"/>
    <mergeCell ref="J28:K28"/>
    <mergeCell ref="AD110:AE110"/>
    <mergeCell ref="A140:A141"/>
    <mergeCell ref="H190:I190"/>
    <mergeCell ref="Z132:AA132"/>
    <mergeCell ref="F111:G111"/>
    <mergeCell ref="P230:Q230"/>
    <mergeCell ref="P143:Q143"/>
    <mergeCell ref="R199:S199"/>
    <mergeCell ref="H226:I226"/>
    <mergeCell ref="H201:I201"/>
    <mergeCell ref="P161:Q161"/>
    <mergeCell ref="R227:S227"/>
    <mergeCell ref="P154:Q154"/>
    <mergeCell ref="H228:I228"/>
    <mergeCell ref="Z189:AA189"/>
    <mergeCell ref="J172:K172"/>
    <mergeCell ref="P156:Q156"/>
    <mergeCell ref="AB2:AC3"/>
    <mergeCell ref="AB212:AC212"/>
    <mergeCell ref="R146:S146"/>
    <mergeCell ref="J220:K220"/>
    <mergeCell ref="AB206:AC206"/>
    <mergeCell ref="N171:O171"/>
    <mergeCell ref="AB178:AC178"/>
    <mergeCell ref="P115:Q115"/>
    <mergeCell ref="N42:O42"/>
    <mergeCell ref="AB207:AC207"/>
    <mergeCell ref="N52:O52"/>
    <mergeCell ref="Z130:AA130"/>
    <mergeCell ref="N166:O166"/>
    <mergeCell ref="N44:O44"/>
    <mergeCell ref="Z217:AA217"/>
    <mergeCell ref="R170:S170"/>
    <mergeCell ref="B209:B210"/>
    <mergeCell ref="H154:I154"/>
    <mergeCell ref="P89:Q89"/>
    <mergeCell ref="P211:Q211"/>
    <mergeCell ref="X186:Y187"/>
    <mergeCell ref="H156:I156"/>
    <mergeCell ref="R153:S153"/>
    <mergeCell ref="L107:M107"/>
    <mergeCell ref="H157:I157"/>
    <mergeCell ref="F126:G126"/>
    <mergeCell ref="H182:I182"/>
    <mergeCell ref="F109:G109"/>
    <mergeCell ref="F206:G206"/>
    <mergeCell ref="H181:I181"/>
    <mergeCell ref="N188:O188"/>
    <mergeCell ref="N133:O133"/>
    <mergeCell ref="N29:O29"/>
    <mergeCell ref="P216:Q216"/>
    <mergeCell ref="F96:G96"/>
    <mergeCell ref="N31:O31"/>
    <mergeCell ref="AD48:AE49"/>
    <mergeCell ref="P87:Q87"/>
    <mergeCell ref="Z119:AA119"/>
    <mergeCell ref="F98:G98"/>
    <mergeCell ref="AD59:AE59"/>
    <mergeCell ref="P88:Q88"/>
    <mergeCell ref="AB183:AC183"/>
    <mergeCell ref="Z148:AA148"/>
    <mergeCell ref="AB177:AC177"/>
    <mergeCell ref="AB196:AC196"/>
    <mergeCell ref="AD112:AE112"/>
    <mergeCell ref="AD166:AE166"/>
    <mergeCell ref="AB193:AC193"/>
    <mergeCell ref="J207:K207"/>
    <mergeCell ref="AD46:AE46"/>
    <mergeCell ref="AD40:AE40"/>
    <mergeCell ref="R135:S135"/>
    <mergeCell ref="AD170:AE170"/>
    <mergeCell ref="AD149:AE149"/>
    <mergeCell ref="AD151:AE151"/>
    <mergeCell ref="AD144:AE144"/>
    <mergeCell ref="Z46:AA46"/>
    <mergeCell ref="Z40:AA40"/>
    <mergeCell ref="L180:M180"/>
    <mergeCell ref="AD158:AE158"/>
    <mergeCell ref="AD205:AE205"/>
    <mergeCell ref="AB195:AC195"/>
    <mergeCell ref="J143:K143"/>
    <mergeCell ref="H230:I230"/>
    <mergeCell ref="P69:Q69"/>
    <mergeCell ref="H143:I143"/>
    <mergeCell ref="Z66:AA66"/>
    <mergeCell ref="P158:Q158"/>
    <mergeCell ref="Z218:AA218"/>
    <mergeCell ref="R133:S133"/>
    <mergeCell ref="J222:K222"/>
    <mergeCell ref="P229:Q229"/>
    <mergeCell ref="P226:Q226"/>
    <mergeCell ref="L216:M216"/>
    <mergeCell ref="L211:M211"/>
    <mergeCell ref="H174:I174"/>
    <mergeCell ref="J171:K171"/>
    <mergeCell ref="J165:K165"/>
    <mergeCell ref="L229:M2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12"/>
  <sheetViews>
    <sheetView workbookViewId="0">
      <selection sqref="A1:W1"/>
    </sheetView>
  </sheetViews>
  <sheetFormatPr defaultRowHeight="13.8"/>
  <cols>
    <col min="3" max="3" width="15.5" customWidth="1"/>
    <col min="4" max="4" width="25.09765625" customWidth="1"/>
    <col min="5" max="5" width="21.19921875" customWidth="1"/>
    <col min="6" max="6" width="17.09765625" customWidth="1"/>
    <col min="7" max="7" width="33.69921875" customWidth="1"/>
    <col min="8" max="8" width="21" customWidth="1"/>
    <col min="9" max="9" width="18.69921875" customWidth="1"/>
    <col min="10" max="10" width="16.09765625" customWidth="1"/>
    <col min="11" max="11" width="11.69921875" customWidth="1"/>
    <col min="14" max="14" width="9.69921875" customWidth="1"/>
    <col min="15" max="15" width="15.5" customWidth="1"/>
    <col min="16" max="16" width="24.59765625" customWidth="1"/>
    <col min="17" max="17" width="20.8984375" customWidth="1"/>
    <col min="18" max="18" width="17.09765625" customWidth="1"/>
    <col min="19" max="19" width="34.69921875" customWidth="1"/>
    <col min="20" max="20" width="21.69921875" customWidth="1"/>
    <col min="21" max="21" width="18.8984375" customWidth="1"/>
    <col min="22" max="22" width="16.3984375" customWidth="1"/>
    <col min="23" max="23" width="12.69921875" customWidth="1"/>
  </cols>
  <sheetData>
    <row r="1" spans="1:23" ht="16.8" customHeight="1">
      <c r="A1" s="126" t="s">
        <v>182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spans="1:23" s="2" customFormat="1">
      <c r="A2" s="17" t="s">
        <v>9</v>
      </c>
      <c r="B2" s="17" t="s">
        <v>126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13</v>
      </c>
      <c r="J2" s="17" t="s">
        <v>133</v>
      </c>
      <c r="K2" s="17" t="s">
        <v>134</v>
      </c>
      <c r="M2" s="17" t="s">
        <v>9</v>
      </c>
      <c r="N2" s="17" t="s">
        <v>126</v>
      </c>
      <c r="O2" s="17" t="s">
        <v>183</v>
      </c>
      <c r="P2" s="17" t="s">
        <v>184</v>
      </c>
      <c r="Q2" s="17" t="s">
        <v>185</v>
      </c>
      <c r="R2" s="17" t="s">
        <v>186</v>
      </c>
      <c r="S2" s="17" t="s">
        <v>187</v>
      </c>
      <c r="T2" s="17" t="s">
        <v>188</v>
      </c>
      <c r="U2" s="17" t="s">
        <v>13</v>
      </c>
      <c r="V2" s="17" t="s">
        <v>133</v>
      </c>
      <c r="W2" s="17" t="s">
        <v>134</v>
      </c>
    </row>
    <row r="3" spans="1:23">
      <c r="A3" s="49">
        <v>1</v>
      </c>
      <c r="B3" s="49">
        <v>1</v>
      </c>
      <c r="C3" s="49" t="s">
        <v>189</v>
      </c>
      <c r="D3" s="49">
        <v>2.1000000000000001E-2</v>
      </c>
      <c r="E3" s="49">
        <v>1.5023</v>
      </c>
      <c r="F3" s="49">
        <f t="shared" ref="F3:F22" si="0">E3+D3</f>
        <v>1.5233</v>
      </c>
      <c r="G3" s="49" t="s">
        <v>190</v>
      </c>
      <c r="H3" s="49" t="s">
        <v>168</v>
      </c>
      <c r="I3" s="49" t="s">
        <v>191</v>
      </c>
      <c r="J3" s="49" t="s">
        <v>191</v>
      </c>
      <c r="K3" s="49" t="s">
        <v>137</v>
      </c>
      <c r="L3" s="2"/>
      <c r="M3" s="49">
        <v>6</v>
      </c>
      <c r="N3" s="49">
        <v>1</v>
      </c>
      <c r="O3" s="49" t="s">
        <v>189</v>
      </c>
      <c r="P3" s="49">
        <v>1.8499999999999999E-2</v>
      </c>
      <c r="Q3" s="49">
        <v>1.5015000000000001</v>
      </c>
      <c r="R3" s="49">
        <f t="shared" ref="R3:R22" si="1">Q3+P3</f>
        <v>1.52</v>
      </c>
      <c r="S3" s="49" t="s">
        <v>190</v>
      </c>
      <c r="T3" s="49" t="s">
        <v>168</v>
      </c>
      <c r="U3" s="49" t="s">
        <v>191</v>
      </c>
      <c r="V3" s="49" t="s">
        <v>191</v>
      </c>
      <c r="W3" s="49" t="s">
        <v>137</v>
      </c>
    </row>
    <row r="4" spans="1:23">
      <c r="A4" s="49">
        <v>1</v>
      </c>
      <c r="B4" s="49">
        <v>1</v>
      </c>
      <c r="C4" s="49" t="s">
        <v>192</v>
      </c>
      <c r="D4" s="49">
        <v>3.5299999999999998E-2</v>
      </c>
      <c r="E4" s="49">
        <v>1.5023</v>
      </c>
      <c r="F4" s="49">
        <f t="shared" si="0"/>
        <v>1.5376</v>
      </c>
      <c r="G4" s="49" t="s">
        <v>193</v>
      </c>
      <c r="H4" s="49" t="s">
        <v>168</v>
      </c>
      <c r="I4" s="49" t="s">
        <v>194</v>
      </c>
      <c r="J4" s="49" t="s">
        <v>194</v>
      </c>
      <c r="K4" s="49" t="s">
        <v>137</v>
      </c>
      <c r="L4" s="2"/>
      <c r="M4" s="49">
        <v>6</v>
      </c>
      <c r="N4" s="49">
        <v>1</v>
      </c>
      <c r="O4" s="49" t="s">
        <v>192</v>
      </c>
      <c r="P4" s="49">
        <v>1.9300000000000001E-2</v>
      </c>
      <c r="Q4" s="49">
        <v>1.5021</v>
      </c>
      <c r="R4" s="49">
        <f t="shared" si="1"/>
        <v>1.5214</v>
      </c>
      <c r="S4" s="49" t="s">
        <v>193</v>
      </c>
      <c r="T4" s="49" t="s">
        <v>168</v>
      </c>
      <c r="U4" s="49" t="s">
        <v>194</v>
      </c>
      <c r="V4" s="49" t="s">
        <v>194</v>
      </c>
      <c r="W4" s="49" t="s">
        <v>137</v>
      </c>
    </row>
    <row r="5" spans="1:23">
      <c r="A5" s="49">
        <v>1</v>
      </c>
      <c r="B5" s="49">
        <v>2</v>
      </c>
      <c r="C5" s="49" t="s">
        <v>189</v>
      </c>
      <c r="D5" s="49">
        <v>8.3999999999999995E-3</v>
      </c>
      <c r="E5" s="49">
        <v>1.5027999999999999</v>
      </c>
      <c r="F5" s="49">
        <f t="shared" si="0"/>
        <v>1.5112</v>
      </c>
      <c r="G5" s="49" t="s">
        <v>190</v>
      </c>
      <c r="H5" s="49" t="s">
        <v>168</v>
      </c>
      <c r="I5" s="49" t="s">
        <v>191</v>
      </c>
      <c r="J5" s="49" t="s">
        <v>191</v>
      </c>
      <c r="K5" s="49" t="s">
        <v>137</v>
      </c>
      <c r="L5" s="2"/>
      <c r="M5" s="49">
        <v>6</v>
      </c>
      <c r="N5" s="49">
        <v>2</v>
      </c>
      <c r="O5" s="49" t="s">
        <v>189</v>
      </c>
      <c r="P5" s="49">
        <v>1.678E-2</v>
      </c>
      <c r="Q5" s="49">
        <v>1.4236</v>
      </c>
      <c r="R5" s="49">
        <f t="shared" si="1"/>
        <v>1.44038</v>
      </c>
      <c r="S5" s="49" t="s">
        <v>190</v>
      </c>
      <c r="T5" s="49" t="s">
        <v>168</v>
      </c>
      <c r="U5" s="49" t="s">
        <v>191</v>
      </c>
      <c r="V5" s="49" t="s">
        <v>191</v>
      </c>
      <c r="W5" s="49" t="s">
        <v>137</v>
      </c>
    </row>
    <row r="6" spans="1:23">
      <c r="A6" s="49">
        <v>1</v>
      </c>
      <c r="B6" s="49">
        <v>2</v>
      </c>
      <c r="C6" s="49" t="s">
        <v>192</v>
      </c>
      <c r="D6" s="49">
        <v>2.1700000000000001E-2</v>
      </c>
      <c r="E6" s="49">
        <v>1.5032000000000001</v>
      </c>
      <c r="F6" s="49">
        <f t="shared" si="0"/>
        <v>1.5249</v>
      </c>
      <c r="G6" s="49" t="s">
        <v>193</v>
      </c>
      <c r="H6" s="49" t="s">
        <v>168</v>
      </c>
      <c r="I6" s="49" t="s">
        <v>194</v>
      </c>
      <c r="J6" s="49" t="s">
        <v>194</v>
      </c>
      <c r="K6" s="49" t="s">
        <v>137</v>
      </c>
      <c r="L6" s="2"/>
      <c r="M6" s="49">
        <v>6</v>
      </c>
      <c r="N6" s="49">
        <v>2</v>
      </c>
      <c r="O6" s="49" t="s">
        <v>192</v>
      </c>
      <c r="P6" s="49">
        <v>0.02</v>
      </c>
      <c r="Q6" s="49">
        <v>1.502</v>
      </c>
      <c r="R6" s="49">
        <f t="shared" si="1"/>
        <v>1.522</v>
      </c>
      <c r="S6" s="49" t="s">
        <v>193</v>
      </c>
      <c r="T6" s="49" t="s">
        <v>168</v>
      </c>
      <c r="U6" s="49" t="s">
        <v>194</v>
      </c>
      <c r="V6" s="49" t="s">
        <v>194</v>
      </c>
      <c r="W6" s="49" t="s">
        <v>137</v>
      </c>
    </row>
    <row r="7" spans="1:23">
      <c r="A7" s="49">
        <v>1</v>
      </c>
      <c r="B7" s="49">
        <v>3</v>
      </c>
      <c r="C7" s="49" t="s">
        <v>189</v>
      </c>
      <c r="D7" s="49">
        <v>9.7999999999999997E-3</v>
      </c>
      <c r="E7" s="49">
        <v>1.502</v>
      </c>
      <c r="F7" s="49">
        <f t="shared" si="0"/>
        <v>1.5118</v>
      </c>
      <c r="G7" s="49" t="s">
        <v>190</v>
      </c>
      <c r="H7" s="49" t="s">
        <v>168</v>
      </c>
      <c r="I7" s="49" t="s">
        <v>191</v>
      </c>
      <c r="J7" s="49" t="s">
        <v>191</v>
      </c>
      <c r="K7" s="49" t="s">
        <v>137</v>
      </c>
      <c r="L7" s="2"/>
      <c r="M7" s="49">
        <v>6</v>
      </c>
      <c r="N7" s="49">
        <v>3</v>
      </c>
      <c r="O7" s="49" t="s">
        <v>189</v>
      </c>
      <c r="P7" s="49">
        <v>2.0199999999999999E-2</v>
      </c>
      <c r="Q7" s="49">
        <v>1.5022</v>
      </c>
      <c r="R7" s="49">
        <f t="shared" si="1"/>
        <v>1.5224</v>
      </c>
      <c r="S7" s="49" t="s">
        <v>190</v>
      </c>
      <c r="T7" s="49" t="s">
        <v>168</v>
      </c>
      <c r="U7" s="49" t="s">
        <v>191</v>
      </c>
      <c r="V7" s="49" t="s">
        <v>191</v>
      </c>
      <c r="W7" s="49" t="s">
        <v>137</v>
      </c>
    </row>
    <row r="8" spans="1:23">
      <c r="A8" s="49">
        <v>1</v>
      </c>
      <c r="B8" s="49">
        <v>3</v>
      </c>
      <c r="C8" s="49" t="s">
        <v>192</v>
      </c>
      <c r="D8" s="49">
        <v>3.2199999999999999E-2</v>
      </c>
      <c r="E8" s="49">
        <v>1.5018</v>
      </c>
      <c r="F8" s="49">
        <f t="shared" si="0"/>
        <v>1.534</v>
      </c>
      <c r="G8" s="49" t="s">
        <v>193</v>
      </c>
      <c r="H8" s="49" t="s">
        <v>168</v>
      </c>
      <c r="I8" s="49" t="s">
        <v>194</v>
      </c>
      <c r="J8" s="49" t="s">
        <v>194</v>
      </c>
      <c r="K8" s="49" t="s">
        <v>137</v>
      </c>
      <c r="L8" s="2"/>
      <c r="M8" s="49">
        <v>6</v>
      </c>
      <c r="N8" s="49">
        <v>3</v>
      </c>
      <c r="O8" s="49" t="s">
        <v>192</v>
      </c>
      <c r="P8" s="49">
        <v>0.12429999999999999</v>
      </c>
      <c r="Q8" s="49">
        <v>1.5028999999999999</v>
      </c>
      <c r="R8" s="49">
        <f t="shared" si="1"/>
        <v>1.6272</v>
      </c>
      <c r="S8" s="49" t="s">
        <v>193</v>
      </c>
      <c r="T8" s="49" t="s">
        <v>168</v>
      </c>
      <c r="U8" s="49" t="s">
        <v>194</v>
      </c>
      <c r="V8" s="49" t="s">
        <v>194</v>
      </c>
      <c r="W8" s="49" t="s">
        <v>137</v>
      </c>
    </row>
    <row r="9" spans="1:23">
      <c r="A9" s="49">
        <v>1</v>
      </c>
      <c r="B9" s="49">
        <v>4</v>
      </c>
      <c r="C9" s="49" t="s">
        <v>189</v>
      </c>
      <c r="D9" s="49">
        <v>9.7999999999999997E-3</v>
      </c>
      <c r="E9" s="49">
        <v>1.502</v>
      </c>
      <c r="F9" s="49">
        <f t="shared" si="0"/>
        <v>1.5118</v>
      </c>
      <c r="G9" s="49" t="s">
        <v>190</v>
      </c>
      <c r="H9" s="49" t="s">
        <v>168</v>
      </c>
      <c r="I9" s="49" t="s">
        <v>191</v>
      </c>
      <c r="J9" s="49" t="s">
        <v>191</v>
      </c>
      <c r="K9" s="49" t="s">
        <v>137</v>
      </c>
      <c r="L9" s="2"/>
      <c r="M9" s="49">
        <v>6</v>
      </c>
      <c r="N9" s="49">
        <v>4</v>
      </c>
      <c r="O9" s="49" t="s">
        <v>189</v>
      </c>
      <c r="P9" s="49">
        <v>9.7999999999999997E-3</v>
      </c>
      <c r="Q9" s="49">
        <v>1.5019</v>
      </c>
      <c r="R9" s="49">
        <f t="shared" si="1"/>
        <v>1.5117</v>
      </c>
      <c r="S9" s="49" t="s">
        <v>190</v>
      </c>
      <c r="T9" s="49" t="s">
        <v>168</v>
      </c>
      <c r="U9" s="49" t="s">
        <v>191</v>
      </c>
      <c r="V9" s="49" t="s">
        <v>191</v>
      </c>
      <c r="W9" s="49" t="s">
        <v>137</v>
      </c>
    </row>
    <row r="10" spans="1:23">
      <c r="A10" s="49">
        <v>1</v>
      </c>
      <c r="B10" s="49">
        <v>4</v>
      </c>
      <c r="C10" s="49" t="s">
        <v>192</v>
      </c>
      <c r="D10" s="49">
        <v>3.2199999999999999E-2</v>
      </c>
      <c r="E10" s="49">
        <v>1.5018</v>
      </c>
      <c r="F10" s="49">
        <f t="shared" si="0"/>
        <v>1.534</v>
      </c>
      <c r="G10" s="49" t="s">
        <v>193</v>
      </c>
      <c r="H10" s="49" t="s">
        <v>168</v>
      </c>
      <c r="I10" s="49" t="s">
        <v>194</v>
      </c>
      <c r="J10" s="49" t="s">
        <v>194</v>
      </c>
      <c r="K10" s="49" t="s">
        <v>137</v>
      </c>
      <c r="L10" s="2"/>
      <c r="M10" s="49">
        <v>6</v>
      </c>
      <c r="N10" s="49">
        <v>4</v>
      </c>
      <c r="O10" s="49" t="s">
        <v>192</v>
      </c>
      <c r="P10" s="49">
        <v>0.12189999999999999</v>
      </c>
      <c r="Q10" s="49">
        <v>1.5024999999999999</v>
      </c>
      <c r="R10" s="49">
        <f t="shared" si="1"/>
        <v>1.6244</v>
      </c>
      <c r="S10" s="49" t="s">
        <v>193</v>
      </c>
      <c r="T10" s="49" t="s">
        <v>168</v>
      </c>
      <c r="U10" s="49" t="s">
        <v>194</v>
      </c>
      <c r="V10" s="49" t="s">
        <v>194</v>
      </c>
      <c r="W10" s="49" t="s">
        <v>137</v>
      </c>
    </row>
    <row r="11" spans="1:23">
      <c r="A11" s="49">
        <v>1</v>
      </c>
      <c r="B11" s="49">
        <v>5</v>
      </c>
      <c r="C11" s="49" t="s">
        <v>189</v>
      </c>
      <c r="D11" s="49">
        <v>1.89E-2</v>
      </c>
      <c r="E11" s="49">
        <v>1.5021</v>
      </c>
      <c r="F11" s="49">
        <f t="shared" si="0"/>
        <v>1.521</v>
      </c>
      <c r="G11" s="49" t="s">
        <v>190</v>
      </c>
      <c r="H11" s="49" t="s">
        <v>168</v>
      </c>
      <c r="I11" s="49" t="s">
        <v>191</v>
      </c>
      <c r="J11" s="49" t="s">
        <v>191</v>
      </c>
      <c r="K11" s="49" t="s">
        <v>137</v>
      </c>
      <c r="L11" s="2"/>
      <c r="M11" s="49">
        <v>6</v>
      </c>
      <c r="N11" s="49">
        <v>5</v>
      </c>
      <c r="O11" s="49" t="s">
        <v>189</v>
      </c>
      <c r="P11" s="49">
        <v>1.9300000000000001E-2</v>
      </c>
      <c r="Q11" s="49">
        <v>1.5023</v>
      </c>
      <c r="R11" s="49">
        <f t="shared" si="1"/>
        <v>1.5216</v>
      </c>
      <c r="S11" s="49" t="s">
        <v>190</v>
      </c>
      <c r="T11" s="49" t="s">
        <v>168</v>
      </c>
      <c r="U11" s="49" t="s">
        <v>191</v>
      </c>
      <c r="V11" s="49" t="s">
        <v>191</v>
      </c>
      <c r="W11" s="49" t="s">
        <v>137</v>
      </c>
    </row>
    <row r="12" spans="1:23">
      <c r="A12" s="49">
        <v>1</v>
      </c>
      <c r="B12" s="49">
        <v>5</v>
      </c>
      <c r="C12" s="49" t="s">
        <v>192</v>
      </c>
      <c r="D12" s="49">
        <v>2.18E-2</v>
      </c>
      <c r="E12" s="49">
        <v>1.5023</v>
      </c>
      <c r="F12" s="49">
        <f t="shared" si="0"/>
        <v>1.5241</v>
      </c>
      <c r="G12" s="49" t="s">
        <v>193</v>
      </c>
      <c r="H12" s="49" t="s">
        <v>168</v>
      </c>
      <c r="I12" s="49" t="s">
        <v>194</v>
      </c>
      <c r="J12" s="49" t="s">
        <v>194</v>
      </c>
      <c r="K12" s="49" t="s">
        <v>137</v>
      </c>
      <c r="L12" s="2"/>
      <c r="M12" s="49">
        <v>6</v>
      </c>
      <c r="N12" s="49">
        <v>5</v>
      </c>
      <c r="O12" s="49" t="s">
        <v>192</v>
      </c>
      <c r="P12" s="49">
        <v>1.26E-2</v>
      </c>
      <c r="Q12" s="49">
        <v>1.5026999999999999</v>
      </c>
      <c r="R12" s="49">
        <f t="shared" si="1"/>
        <v>1.5153</v>
      </c>
      <c r="S12" s="49" t="s">
        <v>193</v>
      </c>
      <c r="T12" s="49" t="s">
        <v>168</v>
      </c>
      <c r="U12" s="49" t="s">
        <v>194</v>
      </c>
      <c r="V12" s="49" t="s">
        <v>194</v>
      </c>
      <c r="W12" s="49" t="s">
        <v>137</v>
      </c>
    </row>
    <row r="13" spans="1:23">
      <c r="A13" s="49">
        <v>1</v>
      </c>
      <c r="B13" s="49">
        <v>6</v>
      </c>
      <c r="C13" s="49" t="s">
        <v>189</v>
      </c>
      <c r="D13" s="49">
        <v>2.0500000000000001E-2</v>
      </c>
      <c r="E13" s="49">
        <v>1.5017</v>
      </c>
      <c r="F13" s="49">
        <f t="shared" si="0"/>
        <v>1.5222</v>
      </c>
      <c r="G13" s="49" t="s">
        <v>190</v>
      </c>
      <c r="H13" s="49" t="s">
        <v>168</v>
      </c>
      <c r="I13" s="49" t="s">
        <v>191</v>
      </c>
      <c r="J13" s="49" t="s">
        <v>191</v>
      </c>
      <c r="K13" s="49" t="s">
        <v>137</v>
      </c>
      <c r="L13" s="2"/>
      <c r="M13" s="49">
        <v>6</v>
      </c>
      <c r="N13" s="49">
        <v>6</v>
      </c>
      <c r="O13" s="49" t="s">
        <v>189</v>
      </c>
      <c r="P13" s="49">
        <v>1.35E-2</v>
      </c>
      <c r="Q13" s="49">
        <v>1.4157</v>
      </c>
      <c r="R13" s="49">
        <f t="shared" si="1"/>
        <v>1.4292</v>
      </c>
      <c r="S13" s="49" t="s">
        <v>190</v>
      </c>
      <c r="T13" s="49" t="s">
        <v>168</v>
      </c>
      <c r="U13" s="49" t="s">
        <v>191</v>
      </c>
      <c r="V13" s="49" t="s">
        <v>191</v>
      </c>
      <c r="W13" s="49" t="s">
        <v>137</v>
      </c>
    </row>
    <row r="14" spans="1:23">
      <c r="A14" s="49">
        <v>1</v>
      </c>
      <c r="B14" s="49">
        <v>6</v>
      </c>
      <c r="C14" s="49" t="s">
        <v>192</v>
      </c>
      <c r="D14" s="49">
        <v>2.3599999999999999E-2</v>
      </c>
      <c r="E14" s="49">
        <v>1.5015000000000001</v>
      </c>
      <c r="F14" s="49">
        <f t="shared" si="0"/>
        <v>1.5251</v>
      </c>
      <c r="G14" s="49" t="s">
        <v>193</v>
      </c>
      <c r="H14" s="49" t="s">
        <v>168</v>
      </c>
      <c r="I14" s="49" t="s">
        <v>194</v>
      </c>
      <c r="J14" s="49" t="s">
        <v>194</v>
      </c>
      <c r="K14" s="49" t="s">
        <v>137</v>
      </c>
      <c r="L14" s="2"/>
      <c r="M14" s="49">
        <v>6</v>
      </c>
      <c r="N14" s="49">
        <v>6</v>
      </c>
      <c r="O14" s="49" t="s">
        <v>192</v>
      </c>
      <c r="P14" s="49">
        <v>2.98E-2</v>
      </c>
      <c r="Q14" s="49">
        <v>1.5013000000000001</v>
      </c>
      <c r="R14" s="49">
        <f t="shared" si="1"/>
        <v>1.5311</v>
      </c>
      <c r="S14" s="49" t="s">
        <v>193</v>
      </c>
      <c r="T14" s="49" t="s">
        <v>168</v>
      </c>
      <c r="U14" s="49" t="s">
        <v>194</v>
      </c>
      <c r="V14" s="49" t="s">
        <v>194</v>
      </c>
      <c r="W14" s="49" t="s">
        <v>137</v>
      </c>
    </row>
    <row r="15" spans="1:23">
      <c r="A15" s="49">
        <v>1</v>
      </c>
      <c r="B15" s="49">
        <v>7</v>
      </c>
      <c r="C15" s="49" t="s">
        <v>189</v>
      </c>
      <c r="D15" s="49">
        <v>1.9E-2</v>
      </c>
      <c r="E15" s="49">
        <v>1.502</v>
      </c>
      <c r="F15" s="49">
        <f t="shared" si="0"/>
        <v>1.521</v>
      </c>
      <c r="G15" s="49" t="s">
        <v>190</v>
      </c>
      <c r="H15" s="49" t="s">
        <v>168</v>
      </c>
      <c r="I15" s="49" t="s">
        <v>191</v>
      </c>
      <c r="J15" s="49" t="s">
        <v>191</v>
      </c>
      <c r="K15" s="49" t="s">
        <v>137</v>
      </c>
      <c r="L15" s="2"/>
      <c r="M15" s="49">
        <v>6</v>
      </c>
      <c r="N15" s="49">
        <v>7</v>
      </c>
      <c r="O15" s="49" t="s">
        <v>189</v>
      </c>
      <c r="P15" s="49">
        <v>1.9900000000000001E-2</v>
      </c>
      <c r="Q15" s="49">
        <v>1.5019</v>
      </c>
      <c r="R15" s="49">
        <f t="shared" si="1"/>
        <v>1.5218</v>
      </c>
      <c r="S15" s="49" t="s">
        <v>190</v>
      </c>
      <c r="T15" s="49" t="s">
        <v>168</v>
      </c>
      <c r="U15" s="49" t="s">
        <v>191</v>
      </c>
      <c r="V15" s="49" t="s">
        <v>191</v>
      </c>
      <c r="W15" s="49" t="s">
        <v>137</v>
      </c>
    </row>
    <row r="16" spans="1:23">
      <c r="A16" s="49">
        <v>1</v>
      </c>
      <c r="B16" s="49">
        <v>7</v>
      </c>
      <c r="C16" s="49" t="s">
        <v>192</v>
      </c>
      <c r="D16" s="49">
        <v>2.0299999999999999E-2</v>
      </c>
      <c r="E16" s="49">
        <v>1.5095000000000001</v>
      </c>
      <c r="F16" s="49">
        <f t="shared" si="0"/>
        <v>1.5298</v>
      </c>
      <c r="G16" s="49" t="s">
        <v>193</v>
      </c>
      <c r="H16" s="49" t="s">
        <v>168</v>
      </c>
      <c r="I16" s="49" t="s">
        <v>194</v>
      </c>
      <c r="J16" s="49" t="s">
        <v>194</v>
      </c>
      <c r="K16" s="49" t="s">
        <v>137</v>
      </c>
      <c r="L16" s="2"/>
      <c r="M16" s="49">
        <v>6</v>
      </c>
      <c r="N16" s="49">
        <v>7</v>
      </c>
      <c r="O16" s="49" t="s">
        <v>192</v>
      </c>
      <c r="P16" s="49">
        <v>1.35E-2</v>
      </c>
      <c r="Q16" s="49">
        <v>1.5025999999999999</v>
      </c>
      <c r="R16" s="49">
        <f t="shared" si="1"/>
        <v>1.5161</v>
      </c>
      <c r="S16" s="49" t="s">
        <v>193</v>
      </c>
      <c r="T16" s="49" t="s">
        <v>168</v>
      </c>
      <c r="U16" s="49" t="s">
        <v>194</v>
      </c>
      <c r="V16" s="49" t="s">
        <v>194</v>
      </c>
      <c r="W16" s="49" t="s">
        <v>137</v>
      </c>
    </row>
    <row r="17" spans="1:23">
      <c r="A17" s="49">
        <v>1</v>
      </c>
      <c r="B17" s="49">
        <v>8</v>
      </c>
      <c r="C17" s="49" t="s">
        <v>189</v>
      </c>
      <c r="D17" s="49">
        <v>1.8800000000000001E-2</v>
      </c>
      <c r="E17" s="49">
        <v>1.5022</v>
      </c>
      <c r="F17" s="49">
        <f t="shared" si="0"/>
        <v>1.521</v>
      </c>
      <c r="G17" s="49" t="s">
        <v>190</v>
      </c>
      <c r="H17" s="49" t="s">
        <v>168</v>
      </c>
      <c r="I17" s="49" t="s">
        <v>191</v>
      </c>
      <c r="J17" s="49" t="s">
        <v>191</v>
      </c>
      <c r="K17" s="49" t="s">
        <v>137</v>
      </c>
      <c r="L17" s="2"/>
      <c r="M17" s="49">
        <v>6</v>
      </c>
      <c r="N17" s="49">
        <v>8</v>
      </c>
      <c r="O17" s="49" t="s">
        <v>189</v>
      </c>
      <c r="P17" s="49">
        <v>1.567E-2</v>
      </c>
      <c r="Q17" s="49">
        <v>1.4092</v>
      </c>
      <c r="R17" s="49">
        <f t="shared" si="1"/>
        <v>1.42487</v>
      </c>
      <c r="S17" s="49" t="s">
        <v>190</v>
      </c>
      <c r="T17" s="49" t="s">
        <v>168</v>
      </c>
      <c r="U17" s="49" t="s">
        <v>191</v>
      </c>
      <c r="V17" s="49" t="s">
        <v>191</v>
      </c>
      <c r="W17" s="49" t="s">
        <v>137</v>
      </c>
    </row>
    <row r="18" spans="1:23">
      <c r="A18" s="49">
        <v>1</v>
      </c>
      <c r="B18" s="49">
        <v>8</v>
      </c>
      <c r="C18" s="49" t="s">
        <v>192</v>
      </c>
      <c r="D18" s="49">
        <v>2.06E-2</v>
      </c>
      <c r="E18" s="49">
        <v>1.5018</v>
      </c>
      <c r="F18" s="49">
        <f t="shared" si="0"/>
        <v>1.5224</v>
      </c>
      <c r="G18" s="49" t="s">
        <v>193</v>
      </c>
      <c r="H18" s="49" t="s">
        <v>168</v>
      </c>
      <c r="I18" s="49" t="s">
        <v>194</v>
      </c>
      <c r="J18" s="49" t="s">
        <v>194</v>
      </c>
      <c r="K18" s="49" t="s">
        <v>137</v>
      </c>
      <c r="L18" s="2"/>
      <c r="M18" s="49">
        <v>6</v>
      </c>
      <c r="N18" s="49">
        <v>8</v>
      </c>
      <c r="O18" s="49" t="s">
        <v>192</v>
      </c>
      <c r="P18" s="49">
        <v>2.29E-2</v>
      </c>
      <c r="Q18" s="49">
        <v>1.5009999999999999</v>
      </c>
      <c r="R18" s="49">
        <f t="shared" si="1"/>
        <v>1.5239</v>
      </c>
      <c r="S18" s="49" t="s">
        <v>193</v>
      </c>
      <c r="T18" s="49" t="s">
        <v>168</v>
      </c>
      <c r="U18" s="49" t="s">
        <v>194</v>
      </c>
      <c r="V18" s="49" t="s">
        <v>194</v>
      </c>
      <c r="W18" s="49" t="s">
        <v>137</v>
      </c>
    </row>
    <row r="19" spans="1:23">
      <c r="A19" s="49">
        <v>1</v>
      </c>
      <c r="B19" s="49">
        <v>9</v>
      </c>
      <c r="C19" s="49" t="s">
        <v>189</v>
      </c>
      <c r="D19" s="49">
        <v>1.9E-2</v>
      </c>
      <c r="E19" s="49">
        <v>1.5017</v>
      </c>
      <c r="F19" s="49">
        <f t="shared" si="0"/>
        <v>1.5207</v>
      </c>
      <c r="G19" s="49" t="s">
        <v>190</v>
      </c>
      <c r="H19" s="49" t="s">
        <v>168</v>
      </c>
      <c r="I19" s="49" t="s">
        <v>191</v>
      </c>
      <c r="J19" s="49" t="s">
        <v>191</v>
      </c>
      <c r="K19" s="49" t="s">
        <v>137</v>
      </c>
      <c r="L19" s="2"/>
      <c r="M19" s="49">
        <v>6</v>
      </c>
      <c r="N19" s="49">
        <v>9</v>
      </c>
      <c r="O19" s="49" t="s">
        <v>189</v>
      </c>
      <c r="P19" s="49">
        <v>1.01E-2</v>
      </c>
      <c r="Q19" s="49">
        <v>1.5022</v>
      </c>
      <c r="R19" s="49">
        <f t="shared" si="1"/>
        <v>1.5123</v>
      </c>
      <c r="S19" s="49" t="s">
        <v>190</v>
      </c>
      <c r="T19" s="49" t="s">
        <v>168</v>
      </c>
      <c r="U19" s="49" t="s">
        <v>191</v>
      </c>
      <c r="V19" s="49" t="s">
        <v>191</v>
      </c>
      <c r="W19" s="49" t="s">
        <v>137</v>
      </c>
    </row>
    <row r="20" spans="1:23">
      <c r="A20" s="49">
        <v>1</v>
      </c>
      <c r="B20" s="49">
        <v>9</v>
      </c>
      <c r="C20" s="49" t="s">
        <v>192</v>
      </c>
      <c r="D20" s="49">
        <v>3.2099999999999997E-2</v>
      </c>
      <c r="E20" s="49">
        <v>1.5022</v>
      </c>
      <c r="F20" s="49">
        <f t="shared" si="0"/>
        <v>1.5343</v>
      </c>
      <c r="G20" s="49" t="s">
        <v>193</v>
      </c>
      <c r="H20" s="49" t="s">
        <v>168</v>
      </c>
      <c r="I20" s="49" t="s">
        <v>194</v>
      </c>
      <c r="J20" s="49" t="s">
        <v>194</v>
      </c>
      <c r="K20" s="49" t="s">
        <v>137</v>
      </c>
      <c r="L20" s="2"/>
      <c r="M20" s="49">
        <v>6</v>
      </c>
      <c r="N20" s="49">
        <v>9</v>
      </c>
      <c r="O20" s="49" t="s">
        <v>192</v>
      </c>
      <c r="P20" s="49">
        <v>0.1221</v>
      </c>
      <c r="Q20" s="49">
        <v>1.5024999999999999</v>
      </c>
      <c r="R20" s="49">
        <f t="shared" si="1"/>
        <v>1.6246</v>
      </c>
      <c r="S20" s="49" t="s">
        <v>193</v>
      </c>
      <c r="T20" s="49" t="s">
        <v>168</v>
      </c>
      <c r="U20" s="49" t="s">
        <v>194</v>
      </c>
      <c r="V20" s="49" t="s">
        <v>194</v>
      </c>
      <c r="W20" s="49" t="s">
        <v>137</v>
      </c>
    </row>
    <row r="21" spans="1:23">
      <c r="A21" s="49">
        <v>1</v>
      </c>
      <c r="B21" s="49">
        <v>10</v>
      </c>
      <c r="C21" s="49" t="s">
        <v>189</v>
      </c>
      <c r="D21" s="49">
        <v>3.7699999999999997E-2</v>
      </c>
      <c r="E21" s="49">
        <v>1.5016</v>
      </c>
      <c r="F21" s="49">
        <f t="shared" si="0"/>
        <v>1.5393</v>
      </c>
      <c r="G21" s="49" t="s">
        <v>190</v>
      </c>
      <c r="H21" s="49" t="s">
        <v>168</v>
      </c>
      <c r="I21" s="49" t="s">
        <v>191</v>
      </c>
      <c r="J21" s="49" t="s">
        <v>191</v>
      </c>
      <c r="K21" s="49" t="s">
        <v>137</v>
      </c>
      <c r="L21" s="2"/>
      <c r="M21" s="49">
        <v>6</v>
      </c>
      <c r="N21" s="49">
        <v>10</v>
      </c>
      <c r="O21" s="49" t="s">
        <v>189</v>
      </c>
      <c r="P21" s="49">
        <v>1.15E-2</v>
      </c>
      <c r="Q21" s="49">
        <v>1.5026999999999999</v>
      </c>
      <c r="R21" s="49">
        <f t="shared" si="1"/>
        <v>1.5142</v>
      </c>
      <c r="S21" s="49" t="s">
        <v>190</v>
      </c>
      <c r="T21" s="49" t="s">
        <v>168</v>
      </c>
      <c r="U21" s="49" t="s">
        <v>191</v>
      </c>
      <c r="V21" s="49" t="s">
        <v>191</v>
      </c>
      <c r="W21" s="49" t="s">
        <v>137</v>
      </c>
    </row>
    <row r="22" spans="1:23">
      <c r="A22" s="49">
        <v>1</v>
      </c>
      <c r="B22" s="49">
        <v>10</v>
      </c>
      <c r="C22" s="49" t="s">
        <v>192</v>
      </c>
      <c r="D22" s="49">
        <v>2.3900000000000001E-2</v>
      </c>
      <c r="E22" s="49">
        <v>1.5018</v>
      </c>
      <c r="F22" s="49">
        <f t="shared" si="0"/>
        <v>1.5257</v>
      </c>
      <c r="G22" s="49" t="s">
        <v>193</v>
      </c>
      <c r="H22" s="49" t="s">
        <v>168</v>
      </c>
      <c r="I22" s="49" t="s">
        <v>194</v>
      </c>
      <c r="J22" s="49" t="s">
        <v>194</v>
      </c>
      <c r="K22" s="49" t="s">
        <v>137</v>
      </c>
      <c r="L22" s="2"/>
      <c r="M22" s="49">
        <v>6</v>
      </c>
      <c r="N22" s="49">
        <v>10</v>
      </c>
      <c r="O22" s="49" t="s">
        <v>192</v>
      </c>
      <c r="P22" s="49">
        <v>0.13039999999999999</v>
      </c>
      <c r="Q22" s="49">
        <v>1.5021</v>
      </c>
      <c r="R22" s="49">
        <f t="shared" si="1"/>
        <v>1.6325</v>
      </c>
      <c r="S22" s="49" t="s">
        <v>193</v>
      </c>
      <c r="T22" s="49" t="s">
        <v>168</v>
      </c>
      <c r="U22" s="49" t="s">
        <v>194</v>
      </c>
      <c r="V22" s="49" t="s">
        <v>194</v>
      </c>
      <c r="W22" s="49" t="s">
        <v>137</v>
      </c>
    </row>
    <row r="23" spans="1:23">
      <c r="A23" s="2"/>
      <c r="B23" s="2"/>
      <c r="C23" s="15" t="s">
        <v>138</v>
      </c>
      <c r="D23" s="15">
        <f>AVERAGE(D3:D22)</f>
        <v>0.02233</v>
      </c>
      <c r="E23" s="15">
        <f>AVERAGE(E3:E22)</f>
        <v>1.50243</v>
      </c>
      <c r="F23" s="15">
        <f>AVERAGE(F3:F22)</f>
        <v>1.52476</v>
      </c>
      <c r="G23" s="2"/>
      <c r="H23" s="2"/>
      <c r="I23" s="2"/>
      <c r="J23" s="2"/>
      <c r="K23" s="2"/>
      <c r="L23" s="2"/>
      <c r="M23" s="2"/>
      <c r="N23" s="2"/>
      <c r="O23" s="15" t="s">
        <v>138</v>
      </c>
      <c r="P23" s="15">
        <f>AVERAGE(P3:P22)</f>
        <v>0.0386025</v>
      </c>
      <c r="Q23" s="15">
        <f>AVERAGE(Q3:Q22)</f>
        <v>1.489245</v>
      </c>
      <c r="R23" s="15">
        <f>AVERAGE(R3:R22)</f>
        <v>1.5278475</v>
      </c>
      <c r="S23" s="2"/>
      <c r="T23" s="2"/>
      <c r="U23" s="2"/>
      <c r="V23" s="2"/>
      <c r="W23" s="2"/>
    </row>
    <row r="24" spans="1:23" s="2" customFormat="1">
      <c r="A24" s="17" t="s">
        <v>9</v>
      </c>
      <c r="B24" s="17" t="s">
        <v>126</v>
      </c>
      <c r="C24" s="17" t="s">
        <v>183</v>
      </c>
      <c r="D24" s="17" t="s">
        <v>184</v>
      </c>
      <c r="E24" s="17" t="s">
        <v>185</v>
      </c>
      <c r="F24" s="17" t="s">
        <v>186</v>
      </c>
      <c r="G24" s="17" t="s">
        <v>187</v>
      </c>
      <c r="H24" s="17" t="s">
        <v>188</v>
      </c>
      <c r="I24" s="17" t="s">
        <v>13</v>
      </c>
      <c r="J24" s="17" t="s">
        <v>133</v>
      </c>
      <c r="K24" s="17" t="s">
        <v>134</v>
      </c>
      <c r="M24" s="17" t="s">
        <v>9</v>
      </c>
      <c r="N24" s="17" t="s">
        <v>126</v>
      </c>
      <c r="O24" s="17" t="s">
        <v>183</v>
      </c>
      <c r="P24" s="17" t="s">
        <v>184</v>
      </c>
      <c r="Q24" s="17" t="s">
        <v>185</v>
      </c>
      <c r="R24" s="17" t="s">
        <v>186</v>
      </c>
      <c r="S24" s="17" t="s">
        <v>187</v>
      </c>
      <c r="T24" s="17" t="s">
        <v>188</v>
      </c>
      <c r="U24" s="17" t="s">
        <v>13</v>
      </c>
      <c r="V24" s="17" t="s">
        <v>133</v>
      </c>
      <c r="W24" s="17" t="s">
        <v>134</v>
      </c>
    </row>
    <row r="25" spans="1:23">
      <c r="A25" s="49">
        <v>2</v>
      </c>
      <c r="B25" s="49">
        <v>1</v>
      </c>
      <c r="C25" s="49" t="s">
        <v>189</v>
      </c>
      <c r="D25" s="49">
        <v>1.18E-2</v>
      </c>
      <c r="E25" s="49">
        <v>1.5028999999999999</v>
      </c>
      <c r="F25" s="49">
        <f t="shared" ref="F25:F44" si="2">E25+D25</f>
        <v>1.5147</v>
      </c>
      <c r="G25" s="49" t="s">
        <v>190</v>
      </c>
      <c r="H25" s="49" t="s">
        <v>168</v>
      </c>
      <c r="I25" s="49" t="s">
        <v>191</v>
      </c>
      <c r="J25" s="49" t="s">
        <v>191</v>
      </c>
      <c r="K25" s="49" t="s">
        <v>137</v>
      </c>
      <c r="L25" s="2"/>
      <c r="M25" s="49">
        <v>7</v>
      </c>
      <c r="N25" s="49">
        <v>1</v>
      </c>
      <c r="O25" s="49" t="s">
        <v>189</v>
      </c>
      <c r="P25" s="49">
        <v>2.1399999999999999E-2</v>
      </c>
      <c r="Q25" s="49">
        <v>1.502</v>
      </c>
      <c r="R25" s="49">
        <f t="shared" ref="R25:R44" si="3">Q25+P25</f>
        <v>1.5234</v>
      </c>
      <c r="S25" s="49" t="s">
        <v>190</v>
      </c>
      <c r="T25" s="49" t="s">
        <v>168</v>
      </c>
      <c r="U25" s="49" t="s">
        <v>191</v>
      </c>
      <c r="V25" s="49" t="s">
        <v>191</v>
      </c>
      <c r="W25" s="49" t="s">
        <v>137</v>
      </c>
    </row>
    <row r="26" spans="1:23">
      <c r="A26" s="49">
        <v>2</v>
      </c>
      <c r="B26" s="49">
        <v>1</v>
      </c>
      <c r="C26" s="49" t="s">
        <v>192</v>
      </c>
      <c r="D26" s="49">
        <v>2.5100000000000001E-2</v>
      </c>
      <c r="E26" s="49">
        <v>1.5033000000000001</v>
      </c>
      <c r="F26" s="49">
        <f t="shared" si="2"/>
        <v>1.5284</v>
      </c>
      <c r="G26" s="49" t="s">
        <v>193</v>
      </c>
      <c r="H26" s="49" t="s">
        <v>168</v>
      </c>
      <c r="I26" s="49" t="s">
        <v>194</v>
      </c>
      <c r="J26" s="49" t="s">
        <v>194</v>
      </c>
      <c r="K26" s="49" t="s">
        <v>137</v>
      </c>
      <c r="L26" s="2"/>
      <c r="M26" s="49">
        <v>7</v>
      </c>
      <c r="N26" s="49">
        <v>1</v>
      </c>
      <c r="O26" s="49" t="s">
        <v>192</v>
      </c>
      <c r="P26" s="49">
        <v>1.9599999999999999E-2</v>
      </c>
      <c r="Q26" s="49">
        <v>1.502</v>
      </c>
      <c r="R26" s="49">
        <f t="shared" si="3"/>
        <v>1.5216</v>
      </c>
      <c r="S26" s="49" t="s">
        <v>193</v>
      </c>
      <c r="T26" s="49" t="s">
        <v>168</v>
      </c>
      <c r="U26" s="49" t="s">
        <v>194</v>
      </c>
      <c r="V26" s="49" t="s">
        <v>194</v>
      </c>
      <c r="W26" s="49" t="s">
        <v>137</v>
      </c>
    </row>
    <row r="27" spans="1:23">
      <c r="A27" s="49">
        <v>2</v>
      </c>
      <c r="B27" s="49">
        <v>2</v>
      </c>
      <c r="C27" s="49" t="s">
        <v>189</v>
      </c>
      <c r="D27" s="49">
        <v>2.0500000000000001E-2</v>
      </c>
      <c r="E27" s="49">
        <v>1.5022</v>
      </c>
      <c r="F27" s="49">
        <f t="shared" si="2"/>
        <v>1.5227</v>
      </c>
      <c r="G27" s="49" t="s">
        <v>190</v>
      </c>
      <c r="H27" s="49" t="s">
        <v>168</v>
      </c>
      <c r="I27" s="49" t="s">
        <v>191</v>
      </c>
      <c r="J27" s="49" t="s">
        <v>191</v>
      </c>
      <c r="K27" s="49" t="s">
        <v>137</v>
      </c>
      <c r="L27" s="2"/>
      <c r="M27" s="49">
        <v>7</v>
      </c>
      <c r="N27" s="49">
        <v>2</v>
      </c>
      <c r="O27" s="49" t="s">
        <v>189</v>
      </c>
      <c r="P27" s="49">
        <v>0.02</v>
      </c>
      <c r="Q27" s="49">
        <v>1.5025999999999999</v>
      </c>
      <c r="R27" s="49">
        <f t="shared" si="3"/>
        <v>1.5226</v>
      </c>
      <c r="S27" s="49" t="s">
        <v>190</v>
      </c>
      <c r="T27" s="49" t="s">
        <v>168</v>
      </c>
      <c r="U27" s="49" t="s">
        <v>191</v>
      </c>
      <c r="V27" s="49" t="s">
        <v>191</v>
      </c>
      <c r="W27" s="49" t="s">
        <v>137</v>
      </c>
    </row>
    <row r="28" spans="1:23">
      <c r="A28" s="49">
        <v>2</v>
      </c>
      <c r="B28" s="49">
        <v>2</v>
      </c>
      <c r="C28" s="49" t="s">
        <v>192</v>
      </c>
      <c r="D28" s="49">
        <v>9.7999999999999997E-3</v>
      </c>
      <c r="E28" s="49">
        <v>1.5019</v>
      </c>
      <c r="F28" s="49">
        <f t="shared" si="2"/>
        <v>1.5117</v>
      </c>
      <c r="G28" s="49" t="s">
        <v>193</v>
      </c>
      <c r="H28" s="49" t="s">
        <v>168</v>
      </c>
      <c r="I28" s="49" t="s">
        <v>194</v>
      </c>
      <c r="J28" s="49" t="s">
        <v>194</v>
      </c>
      <c r="K28" s="49" t="s">
        <v>137</v>
      </c>
      <c r="L28" s="2"/>
      <c r="M28" s="49">
        <v>7</v>
      </c>
      <c r="N28" s="49">
        <v>2</v>
      </c>
      <c r="O28" s="49" t="s">
        <v>192</v>
      </c>
      <c r="P28" s="49">
        <v>9.9000000000000008E-3</v>
      </c>
      <c r="Q28" s="49">
        <v>1.5018</v>
      </c>
      <c r="R28" s="49">
        <f t="shared" si="3"/>
        <v>1.5117</v>
      </c>
      <c r="S28" s="49" t="s">
        <v>193</v>
      </c>
      <c r="T28" s="49" t="s">
        <v>168</v>
      </c>
      <c r="U28" s="49" t="s">
        <v>194</v>
      </c>
      <c r="V28" s="49" t="s">
        <v>194</v>
      </c>
      <c r="W28" s="49" t="s">
        <v>137</v>
      </c>
    </row>
    <row r="29" spans="1:23">
      <c r="A29" s="49">
        <v>2</v>
      </c>
      <c r="B29" s="49">
        <v>3</v>
      </c>
      <c r="C29" s="49" t="s">
        <v>189</v>
      </c>
      <c r="D29" s="49">
        <v>2.0199999999999999E-2</v>
      </c>
      <c r="E29" s="49">
        <v>1.5019</v>
      </c>
      <c r="F29" s="49">
        <f t="shared" si="2"/>
        <v>1.5221</v>
      </c>
      <c r="G29" s="49" t="s">
        <v>190</v>
      </c>
      <c r="H29" s="49" t="s">
        <v>168</v>
      </c>
      <c r="I29" s="49" t="s">
        <v>191</v>
      </c>
      <c r="J29" s="49" t="s">
        <v>191</v>
      </c>
      <c r="K29" s="49" t="s">
        <v>137</v>
      </c>
      <c r="L29" s="2"/>
      <c r="M29" s="49">
        <v>7</v>
      </c>
      <c r="N29" s="49">
        <v>3</v>
      </c>
      <c r="O29" s="49" t="s">
        <v>189</v>
      </c>
      <c r="P29" s="49">
        <v>2.1000000000000001E-2</v>
      </c>
      <c r="Q29" s="49">
        <v>1.5021</v>
      </c>
      <c r="R29" s="49">
        <f t="shared" si="3"/>
        <v>1.5231</v>
      </c>
      <c r="S29" s="49" t="s">
        <v>190</v>
      </c>
      <c r="T29" s="49" t="s">
        <v>168</v>
      </c>
      <c r="U29" s="49" t="s">
        <v>191</v>
      </c>
      <c r="V29" s="49" t="s">
        <v>191</v>
      </c>
      <c r="W29" s="49" t="s">
        <v>137</v>
      </c>
    </row>
    <row r="30" spans="1:23">
      <c r="A30" s="49">
        <v>2</v>
      </c>
      <c r="B30" s="49">
        <v>3</v>
      </c>
      <c r="C30" s="49" t="s">
        <v>192</v>
      </c>
      <c r="D30" s="49">
        <v>2.1399999999999999E-2</v>
      </c>
      <c r="E30" s="49">
        <v>1.5025999999999999</v>
      </c>
      <c r="F30" s="49">
        <f t="shared" si="2"/>
        <v>1.524</v>
      </c>
      <c r="G30" s="49" t="s">
        <v>193</v>
      </c>
      <c r="H30" s="49" t="s">
        <v>168</v>
      </c>
      <c r="I30" s="49" t="s">
        <v>194</v>
      </c>
      <c r="J30" s="49" t="s">
        <v>194</v>
      </c>
      <c r="K30" s="49" t="s">
        <v>137</v>
      </c>
      <c r="L30" s="2"/>
      <c r="M30" s="49">
        <v>7</v>
      </c>
      <c r="N30" s="49">
        <v>3</v>
      </c>
      <c r="O30" s="49" t="s">
        <v>192</v>
      </c>
      <c r="P30" s="49">
        <v>2.0199999999999999E-2</v>
      </c>
      <c r="Q30" s="49">
        <v>1.502</v>
      </c>
      <c r="R30" s="49">
        <f t="shared" si="3"/>
        <v>1.5222</v>
      </c>
      <c r="S30" s="49" t="s">
        <v>193</v>
      </c>
      <c r="T30" s="49" t="s">
        <v>168</v>
      </c>
      <c r="U30" s="49" t="s">
        <v>194</v>
      </c>
      <c r="V30" s="49" t="s">
        <v>194</v>
      </c>
      <c r="W30" s="49" t="s">
        <v>137</v>
      </c>
    </row>
    <row r="31" spans="1:23">
      <c r="A31" s="49">
        <v>2</v>
      </c>
      <c r="B31" s="49">
        <v>4</v>
      </c>
      <c r="C31" s="49" t="s">
        <v>189</v>
      </c>
      <c r="D31" s="49">
        <v>9.1999999999999998E-3</v>
      </c>
      <c r="E31" s="49">
        <v>1.5019</v>
      </c>
      <c r="F31" s="49">
        <f t="shared" si="2"/>
        <v>1.5111</v>
      </c>
      <c r="G31" s="49" t="s">
        <v>190</v>
      </c>
      <c r="H31" s="49" t="s">
        <v>168</v>
      </c>
      <c r="I31" s="49" t="s">
        <v>191</v>
      </c>
      <c r="J31" s="49" t="s">
        <v>191</v>
      </c>
      <c r="K31" s="49" t="s">
        <v>137</v>
      </c>
      <c r="L31" s="2"/>
      <c r="M31" s="49">
        <v>7</v>
      </c>
      <c r="N31" s="49">
        <v>4</v>
      </c>
      <c r="O31" s="49" t="s">
        <v>189</v>
      </c>
      <c r="P31" s="49">
        <v>2.0799999999999999E-2</v>
      </c>
      <c r="Q31" s="49">
        <v>1.5034000000000001</v>
      </c>
      <c r="R31" s="49">
        <f t="shared" si="3"/>
        <v>1.5242</v>
      </c>
      <c r="S31" s="49" t="s">
        <v>190</v>
      </c>
      <c r="T31" s="49" t="s">
        <v>168</v>
      </c>
      <c r="U31" s="49" t="s">
        <v>191</v>
      </c>
      <c r="V31" s="49" t="s">
        <v>191</v>
      </c>
      <c r="W31" s="49" t="s">
        <v>137</v>
      </c>
    </row>
    <row r="32" spans="1:23">
      <c r="A32" s="49">
        <v>2</v>
      </c>
      <c r="B32" s="49">
        <v>4</v>
      </c>
      <c r="C32" s="49" t="s">
        <v>192</v>
      </c>
      <c r="D32" s="49">
        <v>2.1999999999999999E-2</v>
      </c>
      <c r="E32" s="49">
        <v>1.5102</v>
      </c>
      <c r="F32" s="49">
        <f t="shared" si="2"/>
        <v>1.5322</v>
      </c>
      <c r="G32" s="49" t="s">
        <v>193</v>
      </c>
      <c r="H32" s="49" t="s">
        <v>168</v>
      </c>
      <c r="I32" s="49" t="s">
        <v>194</v>
      </c>
      <c r="J32" s="49" t="s">
        <v>194</v>
      </c>
      <c r="K32" s="49" t="s">
        <v>137</v>
      </c>
      <c r="L32" s="2"/>
      <c r="M32" s="49">
        <v>7</v>
      </c>
      <c r="N32" s="49">
        <v>4</v>
      </c>
      <c r="O32" s="49" t="s">
        <v>192</v>
      </c>
      <c r="P32" s="49">
        <v>0.11020000000000001</v>
      </c>
      <c r="Q32" s="49">
        <v>1.5058</v>
      </c>
      <c r="R32" s="49">
        <f t="shared" si="3"/>
        <v>1.616</v>
      </c>
      <c r="S32" s="49" t="s">
        <v>193</v>
      </c>
      <c r="T32" s="49" t="s">
        <v>168</v>
      </c>
      <c r="U32" s="49" t="s">
        <v>194</v>
      </c>
      <c r="V32" s="49" t="s">
        <v>194</v>
      </c>
      <c r="W32" s="49" t="s">
        <v>137</v>
      </c>
    </row>
    <row r="33" spans="1:23">
      <c r="A33" s="49">
        <v>2</v>
      </c>
      <c r="B33" s="49">
        <v>5</v>
      </c>
      <c r="C33" s="49" t="s">
        <v>189</v>
      </c>
      <c r="D33" s="49">
        <v>9.2999999999999992E-3</v>
      </c>
      <c r="E33" s="49">
        <v>1.5029999999999999</v>
      </c>
      <c r="F33" s="49">
        <f t="shared" si="2"/>
        <v>1.5123</v>
      </c>
      <c r="G33" s="49" t="s">
        <v>190</v>
      </c>
      <c r="H33" s="49" t="s">
        <v>168</v>
      </c>
      <c r="I33" s="49" t="s">
        <v>191</v>
      </c>
      <c r="J33" s="49" t="s">
        <v>191</v>
      </c>
      <c r="K33" s="49" t="s">
        <v>137</v>
      </c>
      <c r="L33" s="2"/>
      <c r="M33" s="49">
        <v>7</v>
      </c>
      <c r="N33" s="49">
        <v>5</v>
      </c>
      <c r="O33" s="49" t="s">
        <v>189</v>
      </c>
      <c r="P33" s="49">
        <v>3.1399999999999997E-2</v>
      </c>
      <c r="Q33" s="49">
        <v>1.5033000000000001</v>
      </c>
      <c r="R33" s="49">
        <f t="shared" si="3"/>
        <v>1.5347</v>
      </c>
      <c r="S33" s="49" t="s">
        <v>190</v>
      </c>
      <c r="T33" s="49" t="s">
        <v>168</v>
      </c>
      <c r="U33" s="49" t="s">
        <v>191</v>
      </c>
      <c r="V33" s="49" t="s">
        <v>191</v>
      </c>
      <c r="W33" s="49" t="s">
        <v>137</v>
      </c>
    </row>
    <row r="34" spans="1:23">
      <c r="A34" s="49">
        <v>2</v>
      </c>
      <c r="B34" s="49">
        <v>5</v>
      </c>
      <c r="C34" s="49" t="s">
        <v>192</v>
      </c>
      <c r="D34" s="49">
        <v>1.0699999999999999E-2</v>
      </c>
      <c r="E34" s="49">
        <v>1.5024999999999999</v>
      </c>
      <c r="F34" s="49">
        <f t="shared" si="2"/>
        <v>1.5132</v>
      </c>
      <c r="G34" s="49" t="s">
        <v>193</v>
      </c>
      <c r="H34" s="49" t="s">
        <v>168</v>
      </c>
      <c r="I34" s="49" t="s">
        <v>194</v>
      </c>
      <c r="J34" s="49" t="s">
        <v>194</v>
      </c>
      <c r="K34" s="49" t="s">
        <v>137</v>
      </c>
      <c r="L34" s="2"/>
      <c r="M34" s="49">
        <v>7</v>
      </c>
      <c r="N34" s="49">
        <v>5</v>
      </c>
      <c r="O34" s="49" t="s">
        <v>192</v>
      </c>
      <c r="P34" s="49">
        <v>3.4299999999999997E-2</v>
      </c>
      <c r="Q34" s="49">
        <v>1.5015000000000001</v>
      </c>
      <c r="R34" s="49">
        <f t="shared" si="3"/>
        <v>1.5358</v>
      </c>
      <c r="S34" s="49" t="s">
        <v>193</v>
      </c>
      <c r="T34" s="49" t="s">
        <v>168</v>
      </c>
      <c r="U34" s="49" t="s">
        <v>194</v>
      </c>
      <c r="V34" s="49" t="s">
        <v>194</v>
      </c>
      <c r="W34" s="49" t="s">
        <v>137</v>
      </c>
    </row>
    <row r="35" spans="1:23">
      <c r="A35" s="49">
        <v>2</v>
      </c>
      <c r="B35" s="49">
        <v>6</v>
      </c>
      <c r="C35" s="49" t="s">
        <v>189</v>
      </c>
      <c r="D35" s="49">
        <v>1.89E-2</v>
      </c>
      <c r="E35" s="49">
        <v>1.5023</v>
      </c>
      <c r="F35" s="49">
        <f t="shared" si="2"/>
        <v>1.5212</v>
      </c>
      <c r="G35" s="49" t="s">
        <v>190</v>
      </c>
      <c r="H35" s="49" t="s">
        <v>168</v>
      </c>
      <c r="I35" s="49" t="s">
        <v>191</v>
      </c>
      <c r="J35" s="49" t="s">
        <v>191</v>
      </c>
      <c r="K35" s="49" t="s">
        <v>137</v>
      </c>
      <c r="L35" s="2"/>
      <c r="M35" s="49">
        <v>7</v>
      </c>
      <c r="N35" s="49">
        <v>6</v>
      </c>
      <c r="O35" s="49" t="s">
        <v>189</v>
      </c>
      <c r="P35" s="49">
        <v>8.9999999999999993E-3</v>
      </c>
      <c r="Q35" s="49">
        <v>1.5043</v>
      </c>
      <c r="R35" s="49">
        <f t="shared" si="3"/>
        <v>1.5133</v>
      </c>
      <c r="S35" s="49" t="s">
        <v>190</v>
      </c>
      <c r="T35" s="49" t="s">
        <v>168</v>
      </c>
      <c r="U35" s="49" t="s">
        <v>191</v>
      </c>
      <c r="V35" s="49" t="s">
        <v>191</v>
      </c>
      <c r="W35" s="49" t="s">
        <v>137</v>
      </c>
    </row>
    <row r="36" spans="1:23">
      <c r="A36" s="49">
        <v>2</v>
      </c>
      <c r="B36" s="49">
        <v>6</v>
      </c>
      <c r="C36" s="49" t="s">
        <v>192</v>
      </c>
      <c r="D36" s="49">
        <v>2.06E-2</v>
      </c>
      <c r="E36" s="49">
        <v>1.5024999999999999</v>
      </c>
      <c r="F36" s="49">
        <f t="shared" si="2"/>
        <v>1.5231</v>
      </c>
      <c r="G36" s="49" t="s">
        <v>193</v>
      </c>
      <c r="H36" s="49" t="s">
        <v>168</v>
      </c>
      <c r="I36" s="49" t="s">
        <v>194</v>
      </c>
      <c r="J36" s="49" t="s">
        <v>194</v>
      </c>
      <c r="K36" s="49" t="s">
        <v>137</v>
      </c>
      <c r="L36" s="2"/>
      <c r="M36" s="49">
        <v>7</v>
      </c>
      <c r="N36" s="49">
        <v>6</v>
      </c>
      <c r="O36" s="49" t="s">
        <v>192</v>
      </c>
      <c r="P36" s="49">
        <v>1.9599999999999999E-2</v>
      </c>
      <c r="Q36" s="49">
        <v>1.5018</v>
      </c>
      <c r="R36" s="49">
        <f t="shared" si="3"/>
        <v>1.5214</v>
      </c>
      <c r="S36" s="49" t="s">
        <v>193</v>
      </c>
      <c r="T36" s="49" t="s">
        <v>168</v>
      </c>
      <c r="U36" s="49" t="s">
        <v>194</v>
      </c>
      <c r="V36" s="49" t="s">
        <v>194</v>
      </c>
      <c r="W36" s="49" t="s">
        <v>137</v>
      </c>
    </row>
    <row r="37" spans="1:23">
      <c r="A37" s="49">
        <v>2</v>
      </c>
      <c r="B37" s="49">
        <v>7</v>
      </c>
      <c r="C37" s="49" t="s">
        <v>189</v>
      </c>
      <c r="D37" s="49">
        <v>1.3899999999999999E-2</v>
      </c>
      <c r="E37" s="49">
        <v>1.4997</v>
      </c>
      <c r="F37" s="49">
        <f t="shared" si="2"/>
        <v>1.5136</v>
      </c>
      <c r="G37" s="49" t="s">
        <v>190</v>
      </c>
      <c r="H37" s="49" t="s">
        <v>168</v>
      </c>
      <c r="I37" s="49" t="s">
        <v>191</v>
      </c>
      <c r="J37" s="49" t="s">
        <v>191</v>
      </c>
      <c r="K37" s="49" t="s">
        <v>137</v>
      </c>
      <c r="L37" s="2"/>
      <c r="M37" s="49">
        <v>7</v>
      </c>
      <c r="N37" s="49">
        <v>7</v>
      </c>
      <c r="O37" s="49" t="s">
        <v>189</v>
      </c>
      <c r="P37" s="49">
        <v>2.4500000000000001E-2</v>
      </c>
      <c r="Q37" s="49">
        <v>1.5015000000000001</v>
      </c>
      <c r="R37" s="49">
        <f t="shared" si="3"/>
        <v>1.526</v>
      </c>
      <c r="S37" s="49" t="s">
        <v>190</v>
      </c>
      <c r="T37" s="49" t="s">
        <v>168</v>
      </c>
      <c r="U37" s="49" t="s">
        <v>191</v>
      </c>
      <c r="V37" s="49" t="s">
        <v>191</v>
      </c>
      <c r="W37" s="49" t="s">
        <v>137</v>
      </c>
    </row>
    <row r="38" spans="1:23">
      <c r="A38" s="49">
        <v>2</v>
      </c>
      <c r="B38" s="49">
        <v>7</v>
      </c>
      <c r="C38" s="49" t="s">
        <v>192</v>
      </c>
      <c r="D38" s="49">
        <v>1.0200000000000001E-2</v>
      </c>
      <c r="E38" s="49">
        <v>1.498</v>
      </c>
      <c r="F38" s="49">
        <f t="shared" si="2"/>
        <v>1.5082</v>
      </c>
      <c r="G38" s="49" t="s">
        <v>193</v>
      </c>
      <c r="H38" s="49" t="s">
        <v>168</v>
      </c>
      <c r="I38" s="49" t="s">
        <v>194</v>
      </c>
      <c r="J38" s="49" t="s">
        <v>194</v>
      </c>
      <c r="K38" s="49" t="s">
        <v>137</v>
      </c>
      <c r="L38" s="2"/>
      <c r="M38" s="49">
        <v>7</v>
      </c>
      <c r="N38" s="49">
        <v>7</v>
      </c>
      <c r="O38" s="49" t="s">
        <v>192</v>
      </c>
      <c r="P38" s="49">
        <v>1.9E-2</v>
      </c>
      <c r="Q38" s="49">
        <v>1.502</v>
      </c>
      <c r="R38" s="49">
        <f t="shared" si="3"/>
        <v>1.521</v>
      </c>
      <c r="S38" s="49" t="s">
        <v>193</v>
      </c>
      <c r="T38" s="49" t="s">
        <v>168</v>
      </c>
      <c r="U38" s="49" t="s">
        <v>194</v>
      </c>
      <c r="V38" s="49" t="s">
        <v>194</v>
      </c>
      <c r="W38" s="49" t="s">
        <v>137</v>
      </c>
    </row>
    <row r="39" spans="1:23">
      <c r="A39" s="49">
        <v>2</v>
      </c>
      <c r="B39" s="49">
        <v>8</v>
      </c>
      <c r="C39" s="49" t="s">
        <v>189</v>
      </c>
      <c r="D39" s="49">
        <v>9.1999999999999998E-3</v>
      </c>
      <c r="E39" s="49">
        <v>1.5019</v>
      </c>
      <c r="F39" s="49">
        <f t="shared" si="2"/>
        <v>1.5111</v>
      </c>
      <c r="G39" s="49" t="s">
        <v>190</v>
      </c>
      <c r="H39" s="49" t="s">
        <v>168</v>
      </c>
      <c r="I39" s="49" t="s">
        <v>191</v>
      </c>
      <c r="J39" s="49" t="s">
        <v>191</v>
      </c>
      <c r="K39" s="49" t="s">
        <v>137</v>
      </c>
      <c r="L39" s="2"/>
      <c r="M39" s="49">
        <v>7</v>
      </c>
      <c r="N39" s="49">
        <v>8</v>
      </c>
      <c r="O39" s="49" t="s">
        <v>189</v>
      </c>
      <c r="P39" s="49">
        <v>2.7300000000000001E-2</v>
      </c>
      <c r="Q39" s="49">
        <v>1.5043</v>
      </c>
      <c r="R39" s="49">
        <f t="shared" si="3"/>
        <v>1.5316</v>
      </c>
      <c r="S39" s="49" t="s">
        <v>190</v>
      </c>
      <c r="T39" s="49" t="s">
        <v>168</v>
      </c>
      <c r="U39" s="49" t="s">
        <v>191</v>
      </c>
      <c r="V39" s="49" t="s">
        <v>191</v>
      </c>
      <c r="W39" s="49" t="s">
        <v>137</v>
      </c>
    </row>
    <row r="40" spans="1:23">
      <c r="A40" s="49">
        <v>2</v>
      </c>
      <c r="B40" s="49">
        <v>8</v>
      </c>
      <c r="C40" s="49" t="s">
        <v>192</v>
      </c>
      <c r="D40" s="49">
        <v>2.1399999999999999E-2</v>
      </c>
      <c r="E40" s="49">
        <v>1.5024</v>
      </c>
      <c r="F40" s="49">
        <f t="shared" si="2"/>
        <v>1.5238</v>
      </c>
      <c r="G40" s="49" t="s">
        <v>193</v>
      </c>
      <c r="H40" s="49" t="s">
        <v>168</v>
      </c>
      <c r="I40" s="49" t="s">
        <v>194</v>
      </c>
      <c r="J40" s="49" t="s">
        <v>194</v>
      </c>
      <c r="K40" s="49" t="s">
        <v>137</v>
      </c>
      <c r="L40" s="2"/>
      <c r="M40" s="49">
        <v>7</v>
      </c>
      <c r="N40" s="49">
        <v>8</v>
      </c>
      <c r="O40" s="49" t="s">
        <v>192</v>
      </c>
      <c r="P40" s="49">
        <v>1.9300000000000001E-2</v>
      </c>
      <c r="Q40" s="49">
        <v>1.5031000000000001</v>
      </c>
      <c r="R40" s="49">
        <f t="shared" si="3"/>
        <v>1.5224</v>
      </c>
      <c r="S40" s="49" t="s">
        <v>193</v>
      </c>
      <c r="T40" s="49" t="s">
        <v>168</v>
      </c>
      <c r="U40" s="49" t="s">
        <v>194</v>
      </c>
      <c r="V40" s="49" t="s">
        <v>194</v>
      </c>
      <c r="W40" s="49" t="s">
        <v>137</v>
      </c>
    </row>
    <row r="41" spans="1:23">
      <c r="A41" s="49">
        <v>2</v>
      </c>
      <c r="B41" s="49">
        <v>9</v>
      </c>
      <c r="C41" s="49" t="s">
        <v>189</v>
      </c>
      <c r="D41" s="49">
        <v>9.7999999999999997E-3</v>
      </c>
      <c r="E41" s="49">
        <v>1.5021</v>
      </c>
      <c r="F41" s="49">
        <f t="shared" si="2"/>
        <v>1.5119</v>
      </c>
      <c r="G41" s="49" t="s">
        <v>190</v>
      </c>
      <c r="H41" s="49" t="s">
        <v>168</v>
      </c>
      <c r="I41" s="49" t="s">
        <v>191</v>
      </c>
      <c r="J41" s="49" t="s">
        <v>191</v>
      </c>
      <c r="K41" s="49" t="s">
        <v>137</v>
      </c>
      <c r="L41" s="2"/>
      <c r="M41" s="49">
        <v>7</v>
      </c>
      <c r="N41" s="49">
        <v>9</v>
      </c>
      <c r="O41" s="49" t="s">
        <v>189</v>
      </c>
      <c r="P41" s="49">
        <v>9.7999999999999997E-3</v>
      </c>
      <c r="Q41" s="49">
        <v>1.5038</v>
      </c>
      <c r="R41" s="49">
        <f t="shared" si="3"/>
        <v>1.5136</v>
      </c>
      <c r="S41" s="49" t="s">
        <v>190</v>
      </c>
      <c r="T41" s="49" t="s">
        <v>168</v>
      </c>
      <c r="U41" s="49" t="s">
        <v>191</v>
      </c>
      <c r="V41" s="49" t="s">
        <v>191</v>
      </c>
      <c r="W41" s="49" t="s">
        <v>137</v>
      </c>
    </row>
    <row r="42" spans="1:23">
      <c r="A42" s="49">
        <v>2</v>
      </c>
      <c r="B42" s="49">
        <v>9</v>
      </c>
      <c r="C42" s="49" t="s">
        <v>192</v>
      </c>
      <c r="D42" s="49">
        <v>1.95E-2</v>
      </c>
      <c r="E42" s="49">
        <v>1.5017</v>
      </c>
      <c r="F42" s="49">
        <f t="shared" si="2"/>
        <v>1.5212</v>
      </c>
      <c r="G42" s="49" t="s">
        <v>193</v>
      </c>
      <c r="H42" s="49" t="s">
        <v>168</v>
      </c>
      <c r="I42" s="49" t="s">
        <v>194</v>
      </c>
      <c r="J42" s="49" t="s">
        <v>194</v>
      </c>
      <c r="K42" s="49" t="s">
        <v>137</v>
      </c>
      <c r="L42" s="2"/>
      <c r="M42" s="49">
        <v>7</v>
      </c>
      <c r="N42" s="49">
        <v>9</v>
      </c>
      <c r="O42" s="49" t="s">
        <v>192</v>
      </c>
      <c r="P42" s="49">
        <v>1.9599999999999999E-2</v>
      </c>
      <c r="Q42" s="49">
        <v>1.502</v>
      </c>
      <c r="R42" s="49">
        <f t="shared" si="3"/>
        <v>1.5216</v>
      </c>
      <c r="S42" s="49" t="s">
        <v>193</v>
      </c>
      <c r="T42" s="49" t="s">
        <v>168</v>
      </c>
      <c r="U42" s="49" t="s">
        <v>194</v>
      </c>
      <c r="V42" s="49" t="s">
        <v>194</v>
      </c>
      <c r="W42" s="49" t="s">
        <v>137</v>
      </c>
    </row>
    <row r="43" spans="1:23">
      <c r="A43" s="49">
        <v>2</v>
      </c>
      <c r="B43" s="49">
        <v>10</v>
      </c>
      <c r="C43" s="49" t="s">
        <v>189</v>
      </c>
      <c r="D43" s="49">
        <v>1.9099999999999999E-2</v>
      </c>
      <c r="E43" s="49">
        <v>1.5025999999999999</v>
      </c>
      <c r="F43" s="49">
        <f t="shared" si="2"/>
        <v>1.5217</v>
      </c>
      <c r="G43" s="49" t="s">
        <v>190</v>
      </c>
      <c r="H43" s="49" t="s">
        <v>168</v>
      </c>
      <c r="I43" s="49" t="s">
        <v>191</v>
      </c>
      <c r="J43" s="49" t="s">
        <v>191</v>
      </c>
      <c r="K43" s="49" t="s">
        <v>137</v>
      </c>
      <c r="L43" s="2"/>
      <c r="M43" s="49">
        <v>7</v>
      </c>
      <c r="N43" s="49">
        <v>10</v>
      </c>
      <c r="O43" s="49" t="s">
        <v>189</v>
      </c>
      <c r="P43" s="49">
        <v>2.24E-2</v>
      </c>
      <c r="Q43" s="49">
        <v>2.4184999999999999</v>
      </c>
      <c r="R43" s="49">
        <f t="shared" si="3"/>
        <v>2.4409</v>
      </c>
      <c r="S43" s="49" t="s">
        <v>190</v>
      </c>
      <c r="T43" s="49" t="s">
        <v>168</v>
      </c>
      <c r="U43" s="49" t="s">
        <v>191</v>
      </c>
      <c r="V43" s="49" t="s">
        <v>191</v>
      </c>
      <c r="W43" s="49" t="s">
        <v>137</v>
      </c>
    </row>
    <row r="44" spans="1:23">
      <c r="A44" s="49">
        <v>2</v>
      </c>
      <c r="B44" s="49">
        <v>10</v>
      </c>
      <c r="C44" s="49" t="s">
        <v>192</v>
      </c>
      <c r="D44" s="49">
        <v>1.9400000000000001E-2</v>
      </c>
      <c r="E44" s="49">
        <v>1.5025999999999999</v>
      </c>
      <c r="F44" s="49">
        <f t="shared" si="2"/>
        <v>1.522</v>
      </c>
      <c r="G44" s="49" t="s">
        <v>193</v>
      </c>
      <c r="H44" s="49" t="s">
        <v>168</v>
      </c>
      <c r="I44" s="49" t="s">
        <v>194</v>
      </c>
      <c r="J44" s="49" t="s">
        <v>194</v>
      </c>
      <c r="K44" s="49" t="s">
        <v>137</v>
      </c>
      <c r="L44" s="2"/>
      <c r="M44" s="49">
        <v>7</v>
      </c>
      <c r="N44" s="49">
        <v>10</v>
      </c>
      <c r="O44" s="49" t="s">
        <v>192</v>
      </c>
      <c r="P44" s="49">
        <v>2.06E-2</v>
      </c>
      <c r="Q44" s="49">
        <v>1.5015000000000001</v>
      </c>
      <c r="R44" s="49">
        <f t="shared" si="3"/>
        <v>1.5221</v>
      </c>
      <c r="S44" s="49" t="s">
        <v>193</v>
      </c>
      <c r="T44" s="49" t="s">
        <v>168</v>
      </c>
      <c r="U44" s="49" t="s">
        <v>194</v>
      </c>
      <c r="V44" s="49" t="s">
        <v>194</v>
      </c>
      <c r="W44" s="49" t="s">
        <v>137</v>
      </c>
    </row>
    <row r="45" spans="1:23">
      <c r="A45" s="2"/>
      <c r="B45" s="2"/>
      <c r="C45" s="15" t="s">
        <v>138</v>
      </c>
      <c r="D45" s="15">
        <f>AVERAGE(D25:D44)</f>
        <v>0.0161</v>
      </c>
      <c r="E45" s="15">
        <f>AVERAGE(E25:E44)</f>
        <v>1.50241</v>
      </c>
      <c r="F45" s="15">
        <f>AVERAGE(F25:F44)</f>
        <v>1.51851</v>
      </c>
      <c r="G45" s="2"/>
      <c r="H45" s="2"/>
      <c r="I45" s="2"/>
      <c r="J45" s="2"/>
      <c r="K45" s="2"/>
      <c r="L45" s="2"/>
      <c r="M45" s="2"/>
      <c r="N45" s="2"/>
      <c r="O45" s="15" t="s">
        <v>138</v>
      </c>
      <c r="P45" s="15">
        <f>AVERAGE(P25:P44)</f>
        <v>0.024995</v>
      </c>
      <c r="Q45" s="15">
        <f>AVERAGE(Q25:Q44)</f>
        <v>1.548465</v>
      </c>
      <c r="R45" s="15">
        <f>AVERAGE(R25:R44)</f>
        <v>1.57346</v>
      </c>
      <c r="S45" s="2"/>
      <c r="T45" s="2"/>
      <c r="U45" s="2"/>
      <c r="V45" s="2"/>
      <c r="W45" s="2"/>
    </row>
    <row r="46" spans="1:23" s="2" customFormat="1">
      <c r="A46" s="17" t="s">
        <v>9</v>
      </c>
      <c r="B46" s="17" t="s">
        <v>126</v>
      </c>
      <c r="C46" s="17" t="s">
        <v>183</v>
      </c>
      <c r="D46" s="17" t="s">
        <v>184</v>
      </c>
      <c r="E46" s="17" t="s">
        <v>185</v>
      </c>
      <c r="F46" s="17" t="s">
        <v>186</v>
      </c>
      <c r="G46" s="17" t="s">
        <v>187</v>
      </c>
      <c r="H46" s="17" t="s">
        <v>188</v>
      </c>
      <c r="I46" s="17" t="s">
        <v>13</v>
      </c>
      <c r="J46" s="17" t="s">
        <v>133</v>
      </c>
      <c r="K46" s="17" t="s">
        <v>134</v>
      </c>
      <c r="M46" s="17" t="s">
        <v>9</v>
      </c>
      <c r="N46" s="17" t="s">
        <v>126</v>
      </c>
      <c r="O46" s="17" t="s">
        <v>183</v>
      </c>
      <c r="P46" s="17" t="s">
        <v>184</v>
      </c>
      <c r="Q46" s="17" t="s">
        <v>185</v>
      </c>
      <c r="R46" s="17" t="s">
        <v>186</v>
      </c>
      <c r="S46" s="17" t="s">
        <v>187</v>
      </c>
      <c r="T46" s="17" t="s">
        <v>188</v>
      </c>
      <c r="U46" s="17" t="s">
        <v>13</v>
      </c>
      <c r="V46" s="17" t="s">
        <v>133</v>
      </c>
      <c r="W46" s="17" t="s">
        <v>134</v>
      </c>
    </row>
    <row r="47" spans="1:23">
      <c r="A47" s="49">
        <v>3</v>
      </c>
      <c r="B47" s="49">
        <v>1</v>
      </c>
      <c r="C47" s="49" t="s">
        <v>189</v>
      </c>
      <c r="D47" s="49">
        <v>9.5999999999999992E-3</v>
      </c>
      <c r="E47" s="49">
        <v>1.5021</v>
      </c>
      <c r="F47" s="49">
        <f t="shared" ref="F47:F66" si="4">E47+D47</f>
        <v>1.5117</v>
      </c>
      <c r="G47" s="49" t="s">
        <v>190</v>
      </c>
      <c r="H47" s="49" t="s">
        <v>168</v>
      </c>
      <c r="I47" s="49" t="s">
        <v>191</v>
      </c>
      <c r="J47" s="49" t="s">
        <v>191</v>
      </c>
      <c r="K47" s="49" t="s">
        <v>137</v>
      </c>
      <c r="L47" s="2"/>
      <c r="M47" s="49">
        <v>8</v>
      </c>
      <c r="N47" s="49">
        <v>1</v>
      </c>
      <c r="O47" s="49" t="s">
        <v>189</v>
      </c>
      <c r="P47" s="49">
        <v>1.9599999999999999E-2</v>
      </c>
      <c r="Q47" s="49">
        <v>1.5026999999999999</v>
      </c>
      <c r="R47" s="49">
        <f t="shared" ref="R47:R66" si="5">Q47+P47</f>
        <v>1.5223</v>
      </c>
      <c r="S47" s="49" t="s">
        <v>190</v>
      </c>
      <c r="T47" s="49" t="s">
        <v>168</v>
      </c>
      <c r="U47" s="49" t="s">
        <v>191</v>
      </c>
      <c r="V47" s="49" t="s">
        <v>191</v>
      </c>
      <c r="W47" s="49" t="s">
        <v>137</v>
      </c>
    </row>
    <row r="48" spans="1:23">
      <c r="A48" s="49">
        <v>3</v>
      </c>
      <c r="B48" s="49">
        <v>1</v>
      </c>
      <c r="C48" s="49" t="s">
        <v>192</v>
      </c>
      <c r="D48" s="49">
        <v>2.1100000000000001E-2</v>
      </c>
      <c r="E48" s="49">
        <v>1.5042</v>
      </c>
      <c r="F48" s="49">
        <f t="shared" si="4"/>
        <v>1.5253</v>
      </c>
      <c r="G48" s="49" t="s">
        <v>193</v>
      </c>
      <c r="H48" s="49" t="s">
        <v>168</v>
      </c>
      <c r="I48" s="49" t="s">
        <v>194</v>
      </c>
      <c r="J48" s="49" t="s">
        <v>194</v>
      </c>
      <c r="K48" s="49" t="s">
        <v>137</v>
      </c>
      <c r="L48" s="2"/>
      <c r="M48" s="49">
        <v>8</v>
      </c>
      <c r="N48" s="49">
        <v>1</v>
      </c>
      <c r="O48" s="49" t="s">
        <v>192</v>
      </c>
      <c r="P48" s="49">
        <v>2.1600000000000001E-2</v>
      </c>
      <c r="Q48" s="49">
        <v>1.5025999999999999</v>
      </c>
      <c r="R48" s="49">
        <f t="shared" si="5"/>
        <v>1.5242</v>
      </c>
      <c r="S48" s="49" t="s">
        <v>193</v>
      </c>
      <c r="T48" s="49" t="s">
        <v>168</v>
      </c>
      <c r="U48" s="49" t="s">
        <v>194</v>
      </c>
      <c r="V48" s="49" t="s">
        <v>194</v>
      </c>
      <c r="W48" s="49" t="s">
        <v>137</v>
      </c>
    </row>
    <row r="49" spans="1:23">
      <c r="A49" s="49">
        <v>3</v>
      </c>
      <c r="B49" s="49">
        <v>2</v>
      </c>
      <c r="C49" s="49" t="s">
        <v>189</v>
      </c>
      <c r="D49" s="49">
        <v>3.6900000000000002E-2</v>
      </c>
      <c r="E49" s="49">
        <v>1.5016</v>
      </c>
      <c r="F49" s="49">
        <f t="shared" si="4"/>
        <v>1.5385</v>
      </c>
      <c r="G49" s="49" t="s">
        <v>190</v>
      </c>
      <c r="H49" s="49" t="s">
        <v>168</v>
      </c>
      <c r="I49" s="49" t="s">
        <v>191</v>
      </c>
      <c r="J49" s="49" t="s">
        <v>191</v>
      </c>
      <c r="K49" s="49" t="s">
        <v>137</v>
      </c>
      <c r="L49" s="2"/>
      <c r="M49" s="49">
        <v>8</v>
      </c>
      <c r="N49" s="49">
        <v>2</v>
      </c>
      <c r="O49" s="49" t="s">
        <v>189</v>
      </c>
      <c r="P49" s="49">
        <v>2.0199999999999999E-2</v>
      </c>
      <c r="Q49" s="49">
        <v>1.502</v>
      </c>
      <c r="R49" s="49">
        <f t="shared" si="5"/>
        <v>1.5222</v>
      </c>
      <c r="S49" s="49" t="s">
        <v>190</v>
      </c>
      <c r="T49" s="49" t="s">
        <v>168</v>
      </c>
      <c r="U49" s="49" t="s">
        <v>191</v>
      </c>
      <c r="V49" s="49" t="s">
        <v>191</v>
      </c>
      <c r="W49" s="49" t="s">
        <v>137</v>
      </c>
    </row>
    <row r="50" spans="1:23">
      <c r="A50" s="49">
        <v>3</v>
      </c>
      <c r="B50" s="49">
        <v>2</v>
      </c>
      <c r="C50" s="49" t="s">
        <v>192</v>
      </c>
      <c r="D50" s="49">
        <v>1.5599999999999999E-2</v>
      </c>
      <c r="E50" s="49">
        <v>1.5054000000000001</v>
      </c>
      <c r="F50" s="49">
        <f t="shared" si="4"/>
        <v>1.521</v>
      </c>
      <c r="G50" s="49" t="s">
        <v>193</v>
      </c>
      <c r="H50" s="49" t="s">
        <v>168</v>
      </c>
      <c r="I50" s="49" t="s">
        <v>194</v>
      </c>
      <c r="J50" s="49" t="s">
        <v>194</v>
      </c>
      <c r="K50" s="49" t="s">
        <v>137</v>
      </c>
      <c r="L50" s="2"/>
      <c r="M50" s="49">
        <v>8</v>
      </c>
      <c r="N50" s="49">
        <v>2</v>
      </c>
      <c r="O50" s="49" t="s">
        <v>192</v>
      </c>
      <c r="P50" s="49">
        <v>1.9900000000000001E-2</v>
      </c>
      <c r="Q50" s="49">
        <v>1.5023</v>
      </c>
      <c r="R50" s="49">
        <f t="shared" si="5"/>
        <v>1.5222</v>
      </c>
      <c r="S50" s="49" t="s">
        <v>193</v>
      </c>
      <c r="T50" s="49" t="s">
        <v>168</v>
      </c>
      <c r="U50" s="49" t="s">
        <v>194</v>
      </c>
      <c r="V50" s="49" t="s">
        <v>194</v>
      </c>
      <c r="W50" s="49" t="s">
        <v>137</v>
      </c>
    </row>
    <row r="51" spans="1:23">
      <c r="A51" s="49">
        <v>3</v>
      </c>
      <c r="B51" s="49">
        <v>3</v>
      </c>
      <c r="C51" s="49" t="s">
        <v>189</v>
      </c>
      <c r="D51" s="49">
        <v>9.4000000000000004E-3</v>
      </c>
      <c r="E51" s="49">
        <v>1.5023</v>
      </c>
      <c r="F51" s="49">
        <f t="shared" si="4"/>
        <v>1.5117</v>
      </c>
      <c r="G51" s="49" t="s">
        <v>190</v>
      </c>
      <c r="H51" s="49" t="s">
        <v>168</v>
      </c>
      <c r="I51" s="49" t="s">
        <v>191</v>
      </c>
      <c r="J51" s="49" t="s">
        <v>191</v>
      </c>
      <c r="K51" s="49" t="s">
        <v>137</v>
      </c>
      <c r="L51" s="2"/>
      <c r="M51" s="49">
        <v>8</v>
      </c>
      <c r="N51" s="49">
        <v>3</v>
      </c>
      <c r="O51" s="49" t="s">
        <v>189</v>
      </c>
      <c r="P51" s="49">
        <v>3.1E-2</v>
      </c>
      <c r="Q51" s="49">
        <v>1.5019</v>
      </c>
      <c r="R51" s="49">
        <f t="shared" si="5"/>
        <v>1.5329</v>
      </c>
      <c r="S51" s="49" t="s">
        <v>190</v>
      </c>
      <c r="T51" s="49" t="s">
        <v>168</v>
      </c>
      <c r="U51" s="49" t="s">
        <v>191</v>
      </c>
      <c r="V51" s="49" t="s">
        <v>191</v>
      </c>
      <c r="W51" s="49" t="s">
        <v>137</v>
      </c>
    </row>
    <row r="52" spans="1:23">
      <c r="A52" s="49">
        <v>3</v>
      </c>
      <c r="B52" s="49">
        <v>3</v>
      </c>
      <c r="C52" s="49" t="s">
        <v>192</v>
      </c>
      <c r="D52" s="49">
        <v>2.2100000000000002E-2</v>
      </c>
      <c r="E52" s="49">
        <v>1.51</v>
      </c>
      <c r="F52" s="49">
        <f t="shared" si="4"/>
        <v>1.5321</v>
      </c>
      <c r="G52" s="49" t="s">
        <v>193</v>
      </c>
      <c r="H52" s="49" t="s">
        <v>168</v>
      </c>
      <c r="I52" s="49" t="s">
        <v>194</v>
      </c>
      <c r="J52" s="49" t="s">
        <v>194</v>
      </c>
      <c r="K52" s="49" t="s">
        <v>137</v>
      </c>
      <c r="L52" s="2"/>
      <c r="M52" s="49">
        <v>8</v>
      </c>
      <c r="N52" s="49">
        <v>3</v>
      </c>
      <c r="O52" s="49" t="s">
        <v>192</v>
      </c>
      <c r="P52" s="49">
        <v>2.0299999999999999E-2</v>
      </c>
      <c r="Q52" s="49">
        <v>1.5028999999999999</v>
      </c>
      <c r="R52" s="49">
        <f t="shared" si="5"/>
        <v>1.5232</v>
      </c>
      <c r="S52" s="49" t="s">
        <v>193</v>
      </c>
      <c r="T52" s="49" t="s">
        <v>168</v>
      </c>
      <c r="U52" s="49" t="s">
        <v>194</v>
      </c>
      <c r="V52" s="49" t="s">
        <v>194</v>
      </c>
      <c r="W52" s="49" t="s">
        <v>137</v>
      </c>
    </row>
    <row r="53" spans="1:23">
      <c r="A53" s="49">
        <v>3</v>
      </c>
      <c r="B53" s="49">
        <v>4</v>
      </c>
      <c r="C53" s="49" t="s">
        <v>189</v>
      </c>
      <c r="D53" s="49">
        <v>2.47E-2</v>
      </c>
      <c r="E53" s="49">
        <v>1.5044999999999999</v>
      </c>
      <c r="F53" s="49">
        <f t="shared" si="4"/>
        <v>1.5292</v>
      </c>
      <c r="G53" s="49" t="s">
        <v>190</v>
      </c>
      <c r="H53" s="49" t="s">
        <v>168</v>
      </c>
      <c r="I53" s="49" t="s">
        <v>191</v>
      </c>
      <c r="J53" s="49" t="s">
        <v>191</v>
      </c>
      <c r="K53" s="49" t="s">
        <v>137</v>
      </c>
      <c r="L53" s="2"/>
      <c r="M53" s="49">
        <v>8</v>
      </c>
      <c r="N53" s="49">
        <v>4</v>
      </c>
      <c r="O53" s="49" t="s">
        <v>189</v>
      </c>
      <c r="P53" s="49">
        <v>2.1899999999999999E-2</v>
      </c>
      <c r="Q53" s="49">
        <v>1.5034000000000001</v>
      </c>
      <c r="R53" s="49">
        <f t="shared" si="5"/>
        <v>1.5253</v>
      </c>
      <c r="S53" s="49" t="s">
        <v>190</v>
      </c>
      <c r="T53" s="49" t="s">
        <v>168</v>
      </c>
      <c r="U53" s="49" t="s">
        <v>191</v>
      </c>
      <c r="V53" s="49" t="s">
        <v>191</v>
      </c>
      <c r="W53" s="49" t="s">
        <v>137</v>
      </c>
    </row>
    <row r="54" spans="1:23">
      <c r="A54" s="49">
        <v>3</v>
      </c>
      <c r="B54" s="49">
        <v>4</v>
      </c>
      <c r="C54" s="49" t="s">
        <v>192</v>
      </c>
      <c r="D54" s="49">
        <v>9.4000000000000004E-3</v>
      </c>
      <c r="E54" s="49">
        <v>1.502</v>
      </c>
      <c r="F54" s="49">
        <f t="shared" si="4"/>
        <v>1.5114</v>
      </c>
      <c r="G54" s="49" t="s">
        <v>193</v>
      </c>
      <c r="H54" s="49" t="s">
        <v>168</v>
      </c>
      <c r="I54" s="49" t="s">
        <v>194</v>
      </c>
      <c r="J54" s="49" t="s">
        <v>194</v>
      </c>
      <c r="K54" s="49" t="s">
        <v>137</v>
      </c>
      <c r="L54" s="2"/>
      <c r="M54" s="49">
        <v>8</v>
      </c>
      <c r="N54" s="49">
        <v>4</v>
      </c>
      <c r="O54" s="49" t="s">
        <v>192</v>
      </c>
      <c r="P54" s="49">
        <v>1.12E-2</v>
      </c>
      <c r="Q54" s="49">
        <v>1.5031000000000001</v>
      </c>
      <c r="R54" s="49">
        <f t="shared" si="5"/>
        <v>1.5143</v>
      </c>
      <c r="S54" s="49" t="s">
        <v>193</v>
      </c>
      <c r="T54" s="49" t="s">
        <v>168</v>
      </c>
      <c r="U54" s="49" t="s">
        <v>194</v>
      </c>
      <c r="V54" s="49" t="s">
        <v>194</v>
      </c>
      <c r="W54" s="49" t="s">
        <v>137</v>
      </c>
    </row>
    <row r="55" spans="1:23">
      <c r="A55" s="49">
        <v>3</v>
      </c>
      <c r="B55" s="49">
        <v>5</v>
      </c>
      <c r="C55" s="49" t="s">
        <v>189</v>
      </c>
      <c r="D55" s="49">
        <v>7.6E-3</v>
      </c>
      <c r="E55" s="49">
        <v>1.5024999999999999</v>
      </c>
      <c r="F55" s="49">
        <f t="shared" si="4"/>
        <v>1.5101</v>
      </c>
      <c r="G55" s="49" t="s">
        <v>190</v>
      </c>
      <c r="H55" s="49" t="s">
        <v>168</v>
      </c>
      <c r="I55" s="49" t="s">
        <v>191</v>
      </c>
      <c r="J55" s="49" t="s">
        <v>191</v>
      </c>
      <c r="K55" s="49" t="s">
        <v>137</v>
      </c>
      <c r="L55" s="2"/>
      <c r="M55" s="49">
        <v>8</v>
      </c>
      <c r="N55" s="49">
        <v>5</v>
      </c>
      <c r="O55" s="49" t="s">
        <v>189</v>
      </c>
      <c r="P55" s="49">
        <v>2.1999999999999999E-2</v>
      </c>
      <c r="Q55" s="49">
        <v>1.5016</v>
      </c>
      <c r="R55" s="49">
        <f t="shared" si="5"/>
        <v>1.5236</v>
      </c>
      <c r="S55" s="49" t="s">
        <v>190</v>
      </c>
      <c r="T55" s="49" t="s">
        <v>168</v>
      </c>
      <c r="U55" s="49" t="s">
        <v>191</v>
      </c>
      <c r="V55" s="49" t="s">
        <v>191</v>
      </c>
      <c r="W55" s="49" t="s">
        <v>137</v>
      </c>
    </row>
    <row r="56" spans="1:23">
      <c r="A56" s="49">
        <v>3</v>
      </c>
      <c r="B56" s="49">
        <v>5</v>
      </c>
      <c r="C56" s="49" t="s">
        <v>192</v>
      </c>
      <c r="D56" s="49">
        <v>1.0699999999999999E-2</v>
      </c>
      <c r="E56" s="49">
        <v>1.5095000000000001</v>
      </c>
      <c r="F56" s="49">
        <f t="shared" si="4"/>
        <v>1.5202</v>
      </c>
      <c r="G56" s="49" t="s">
        <v>193</v>
      </c>
      <c r="H56" s="49" t="s">
        <v>168</v>
      </c>
      <c r="I56" s="49" t="s">
        <v>194</v>
      </c>
      <c r="J56" s="49" t="s">
        <v>194</v>
      </c>
      <c r="K56" s="49" t="s">
        <v>137</v>
      </c>
      <c r="L56" s="2"/>
      <c r="M56" s="49">
        <v>8</v>
      </c>
      <c r="N56" s="49">
        <v>5</v>
      </c>
      <c r="O56" s="49" t="s">
        <v>192</v>
      </c>
      <c r="P56" s="49">
        <v>0.1237</v>
      </c>
      <c r="Q56" s="49">
        <v>1.5022</v>
      </c>
      <c r="R56" s="49">
        <f t="shared" si="5"/>
        <v>1.6259</v>
      </c>
      <c r="S56" s="49" t="s">
        <v>193</v>
      </c>
      <c r="T56" s="49" t="s">
        <v>168</v>
      </c>
      <c r="U56" s="49" t="s">
        <v>194</v>
      </c>
      <c r="V56" s="49" t="s">
        <v>194</v>
      </c>
      <c r="W56" s="49" t="s">
        <v>137</v>
      </c>
    </row>
    <row r="57" spans="1:23">
      <c r="A57" s="49">
        <v>3</v>
      </c>
      <c r="B57" s="49">
        <v>6</v>
      </c>
      <c r="C57" s="49" t="s">
        <v>189</v>
      </c>
      <c r="D57" s="49">
        <v>2.06E-2</v>
      </c>
      <c r="E57" s="49">
        <v>1.5024999999999999</v>
      </c>
      <c r="F57" s="49">
        <f t="shared" si="4"/>
        <v>1.5231</v>
      </c>
      <c r="G57" s="49" t="s">
        <v>190</v>
      </c>
      <c r="H57" s="49" t="s">
        <v>168</v>
      </c>
      <c r="I57" s="49" t="s">
        <v>191</v>
      </c>
      <c r="J57" s="49" t="s">
        <v>191</v>
      </c>
      <c r="K57" s="49" t="s">
        <v>137</v>
      </c>
      <c r="L57" s="2"/>
      <c r="M57" s="49">
        <v>8</v>
      </c>
      <c r="N57" s="49">
        <v>6</v>
      </c>
      <c r="O57" s="49" t="s">
        <v>189</v>
      </c>
      <c r="P57" s="49">
        <v>1.12E-2</v>
      </c>
      <c r="Q57" s="49">
        <v>1.5031000000000001</v>
      </c>
      <c r="R57" s="49">
        <f t="shared" si="5"/>
        <v>1.5143</v>
      </c>
      <c r="S57" s="49" t="s">
        <v>190</v>
      </c>
      <c r="T57" s="49" t="s">
        <v>168</v>
      </c>
      <c r="U57" s="49" t="s">
        <v>191</v>
      </c>
      <c r="V57" s="49" t="s">
        <v>191</v>
      </c>
      <c r="W57" s="49" t="s">
        <v>137</v>
      </c>
    </row>
    <row r="58" spans="1:23">
      <c r="A58" s="49">
        <v>3</v>
      </c>
      <c r="B58" s="49">
        <v>6</v>
      </c>
      <c r="C58" s="49" t="s">
        <v>192</v>
      </c>
      <c r="D58" s="49">
        <v>2.3199999999999998E-2</v>
      </c>
      <c r="E58" s="49">
        <v>1.5023</v>
      </c>
      <c r="F58" s="49">
        <f t="shared" si="4"/>
        <v>1.5255</v>
      </c>
      <c r="G58" s="49" t="s">
        <v>193</v>
      </c>
      <c r="H58" s="49" t="s">
        <v>168</v>
      </c>
      <c r="I58" s="49" t="s">
        <v>194</v>
      </c>
      <c r="J58" s="49" t="s">
        <v>194</v>
      </c>
      <c r="K58" s="49" t="s">
        <v>137</v>
      </c>
      <c r="L58" s="2"/>
      <c r="M58" s="49">
        <v>8</v>
      </c>
      <c r="N58" s="49">
        <v>6</v>
      </c>
      <c r="O58" s="49" t="s">
        <v>192</v>
      </c>
      <c r="P58" s="49">
        <v>3.09E-2</v>
      </c>
      <c r="Q58" s="49">
        <v>1.5082</v>
      </c>
      <c r="R58" s="49">
        <f t="shared" si="5"/>
        <v>1.5391</v>
      </c>
      <c r="S58" s="49" t="s">
        <v>193</v>
      </c>
      <c r="T58" s="49" t="s">
        <v>168</v>
      </c>
      <c r="U58" s="49" t="s">
        <v>194</v>
      </c>
      <c r="V58" s="49" t="s">
        <v>194</v>
      </c>
      <c r="W58" s="49" t="s">
        <v>137</v>
      </c>
    </row>
    <row r="59" spans="1:23">
      <c r="A59" s="49">
        <v>3</v>
      </c>
      <c r="B59" s="49">
        <v>7</v>
      </c>
      <c r="C59" s="49" t="s">
        <v>189</v>
      </c>
      <c r="D59" s="49">
        <v>1.4999999999999999E-2</v>
      </c>
      <c r="E59" s="49">
        <v>1.4983</v>
      </c>
      <c r="F59" s="49">
        <f t="shared" si="4"/>
        <v>1.5133</v>
      </c>
      <c r="G59" s="49" t="s">
        <v>190</v>
      </c>
      <c r="H59" s="49" t="s">
        <v>168</v>
      </c>
      <c r="I59" s="49" t="s">
        <v>191</v>
      </c>
      <c r="J59" s="49" t="s">
        <v>191</v>
      </c>
      <c r="K59" s="49" t="s">
        <v>137</v>
      </c>
      <c r="L59" s="2"/>
      <c r="M59" s="49">
        <v>8</v>
      </c>
      <c r="N59" s="49">
        <v>7</v>
      </c>
      <c r="O59" s="49" t="s">
        <v>189</v>
      </c>
      <c r="P59" s="49">
        <v>1.09E-2</v>
      </c>
      <c r="Q59" s="49">
        <v>1.5016</v>
      </c>
      <c r="R59" s="49">
        <f t="shared" si="5"/>
        <v>1.5125</v>
      </c>
      <c r="S59" s="49" t="s">
        <v>190</v>
      </c>
      <c r="T59" s="49" t="s">
        <v>168</v>
      </c>
      <c r="U59" s="49" t="s">
        <v>191</v>
      </c>
      <c r="V59" s="49" t="s">
        <v>191</v>
      </c>
      <c r="W59" s="49" t="s">
        <v>137</v>
      </c>
    </row>
    <row r="60" spans="1:23">
      <c r="A60" s="49">
        <v>3</v>
      </c>
      <c r="B60" s="49">
        <v>7</v>
      </c>
      <c r="C60" s="49" t="s">
        <v>192</v>
      </c>
      <c r="D60" s="49">
        <v>3.1E-2</v>
      </c>
      <c r="E60" s="49">
        <v>1.5025999999999999</v>
      </c>
      <c r="F60" s="49">
        <f t="shared" si="4"/>
        <v>1.5336</v>
      </c>
      <c r="G60" s="49" t="s">
        <v>193</v>
      </c>
      <c r="H60" s="49" t="s">
        <v>168</v>
      </c>
      <c r="I60" s="49" t="s">
        <v>194</v>
      </c>
      <c r="J60" s="49" t="s">
        <v>194</v>
      </c>
      <c r="K60" s="49" t="s">
        <v>137</v>
      </c>
      <c r="L60" s="2"/>
      <c r="M60" s="49">
        <v>8</v>
      </c>
      <c r="N60" s="49">
        <v>7</v>
      </c>
      <c r="O60" s="49" t="s">
        <v>192</v>
      </c>
      <c r="P60" s="49">
        <v>2.0199999999999999E-2</v>
      </c>
      <c r="Q60" s="49">
        <v>1.5022</v>
      </c>
      <c r="R60" s="49">
        <f t="shared" si="5"/>
        <v>1.5224</v>
      </c>
      <c r="S60" s="49" t="s">
        <v>193</v>
      </c>
      <c r="T60" s="49" t="s">
        <v>168</v>
      </c>
      <c r="U60" s="49" t="s">
        <v>194</v>
      </c>
      <c r="V60" s="49" t="s">
        <v>194</v>
      </c>
      <c r="W60" s="49" t="s">
        <v>137</v>
      </c>
    </row>
    <row r="61" spans="1:23">
      <c r="A61" s="49">
        <v>3</v>
      </c>
      <c r="B61" s="49">
        <v>8</v>
      </c>
      <c r="C61" s="49" t="s">
        <v>189</v>
      </c>
      <c r="D61" s="49">
        <v>2.1100000000000001E-2</v>
      </c>
      <c r="E61" s="49">
        <v>1.5021</v>
      </c>
      <c r="F61" s="49">
        <f t="shared" si="4"/>
        <v>1.5232</v>
      </c>
      <c r="G61" s="49" t="s">
        <v>190</v>
      </c>
      <c r="H61" s="49" t="s">
        <v>168</v>
      </c>
      <c r="I61" s="49" t="s">
        <v>191</v>
      </c>
      <c r="J61" s="49" t="s">
        <v>191</v>
      </c>
      <c r="K61" s="49" t="s">
        <v>137</v>
      </c>
      <c r="L61" s="2"/>
      <c r="M61" s="49">
        <v>8</v>
      </c>
      <c r="N61" s="49">
        <v>8</v>
      </c>
      <c r="O61" s="49" t="s">
        <v>189</v>
      </c>
      <c r="P61" s="49">
        <v>2.23E-2</v>
      </c>
      <c r="Q61" s="49">
        <v>1.5024999999999999</v>
      </c>
      <c r="R61" s="49">
        <f t="shared" si="5"/>
        <v>1.5248</v>
      </c>
      <c r="S61" s="49" t="s">
        <v>190</v>
      </c>
      <c r="T61" s="49" t="s">
        <v>168</v>
      </c>
      <c r="U61" s="49" t="s">
        <v>191</v>
      </c>
      <c r="V61" s="49" t="s">
        <v>191</v>
      </c>
      <c r="W61" s="49" t="s">
        <v>137</v>
      </c>
    </row>
    <row r="62" spans="1:23">
      <c r="A62" s="49">
        <v>3</v>
      </c>
      <c r="B62" s="49">
        <v>8</v>
      </c>
      <c r="C62" s="49" t="s">
        <v>192</v>
      </c>
      <c r="D62" s="49">
        <v>2.53E-2</v>
      </c>
      <c r="E62" s="49">
        <v>1.5061</v>
      </c>
      <c r="F62" s="49">
        <f t="shared" si="4"/>
        <v>1.5314</v>
      </c>
      <c r="G62" s="49" t="s">
        <v>193</v>
      </c>
      <c r="H62" s="49" t="s">
        <v>168</v>
      </c>
      <c r="I62" s="49" t="s">
        <v>194</v>
      </c>
      <c r="J62" s="49" t="s">
        <v>194</v>
      </c>
      <c r="K62" s="49" t="s">
        <v>137</v>
      </c>
      <c r="L62" s="2"/>
      <c r="M62" s="49">
        <v>8</v>
      </c>
      <c r="N62" s="49">
        <v>8</v>
      </c>
      <c r="O62" s="49" t="s">
        <v>192</v>
      </c>
      <c r="P62" s="49">
        <v>2.1899999999999999E-2</v>
      </c>
      <c r="Q62" s="49">
        <v>1.502</v>
      </c>
      <c r="R62" s="49">
        <f t="shared" si="5"/>
        <v>1.5239</v>
      </c>
      <c r="S62" s="49" t="s">
        <v>193</v>
      </c>
      <c r="T62" s="49" t="s">
        <v>168</v>
      </c>
      <c r="U62" s="49" t="s">
        <v>194</v>
      </c>
      <c r="V62" s="49" t="s">
        <v>194</v>
      </c>
      <c r="W62" s="49" t="s">
        <v>137</v>
      </c>
    </row>
    <row r="63" spans="1:23">
      <c r="A63" s="49">
        <v>3</v>
      </c>
      <c r="B63" s="49">
        <v>9</v>
      </c>
      <c r="C63" s="49" t="s">
        <v>189</v>
      </c>
      <c r="D63" s="49">
        <v>1.9E-2</v>
      </c>
      <c r="E63" s="49">
        <v>1.5024</v>
      </c>
      <c r="F63" s="49">
        <f t="shared" si="4"/>
        <v>1.5214</v>
      </c>
      <c r="G63" s="49" t="s">
        <v>190</v>
      </c>
      <c r="H63" s="49" t="s">
        <v>168</v>
      </c>
      <c r="I63" s="49" t="s">
        <v>191</v>
      </c>
      <c r="J63" s="49" t="s">
        <v>191</v>
      </c>
      <c r="K63" s="49" t="s">
        <v>137</v>
      </c>
      <c r="L63" s="2"/>
      <c r="M63" s="49">
        <v>8</v>
      </c>
      <c r="N63" s="49">
        <v>9</v>
      </c>
      <c r="O63" s="49" t="s">
        <v>189</v>
      </c>
      <c r="P63" s="49">
        <v>2.12E-2</v>
      </c>
      <c r="Q63" s="49">
        <v>1.5025999999999999</v>
      </c>
      <c r="R63" s="49">
        <f t="shared" si="5"/>
        <v>1.5238</v>
      </c>
      <c r="S63" s="49" t="s">
        <v>190</v>
      </c>
      <c r="T63" s="49" t="s">
        <v>168</v>
      </c>
      <c r="U63" s="49" t="s">
        <v>191</v>
      </c>
      <c r="V63" s="49" t="s">
        <v>191</v>
      </c>
      <c r="W63" s="49" t="s">
        <v>137</v>
      </c>
    </row>
    <row r="64" spans="1:23">
      <c r="A64" s="49">
        <v>3</v>
      </c>
      <c r="B64" s="49">
        <v>9</v>
      </c>
      <c r="C64" s="49" t="s">
        <v>192</v>
      </c>
      <c r="D64" s="49">
        <v>2.0500000000000001E-2</v>
      </c>
      <c r="E64" s="49">
        <v>1.5048999999999999</v>
      </c>
      <c r="F64" s="49">
        <f t="shared" si="4"/>
        <v>1.5254</v>
      </c>
      <c r="G64" s="49" t="s">
        <v>193</v>
      </c>
      <c r="H64" s="49" t="s">
        <v>168</v>
      </c>
      <c r="I64" s="49" t="s">
        <v>194</v>
      </c>
      <c r="J64" s="49" t="s">
        <v>194</v>
      </c>
      <c r="K64" s="49" t="s">
        <v>137</v>
      </c>
      <c r="L64" s="2"/>
      <c r="M64" s="49">
        <v>8</v>
      </c>
      <c r="N64" s="49">
        <v>9</v>
      </c>
      <c r="O64" s="49" t="s">
        <v>192</v>
      </c>
      <c r="P64" s="49">
        <v>2.1999999999999999E-2</v>
      </c>
      <c r="Q64" s="49">
        <v>1.5026999999999999</v>
      </c>
      <c r="R64" s="49">
        <f t="shared" si="5"/>
        <v>1.5247</v>
      </c>
      <c r="S64" s="49" t="s">
        <v>193</v>
      </c>
      <c r="T64" s="49" t="s">
        <v>168</v>
      </c>
      <c r="U64" s="49" t="s">
        <v>194</v>
      </c>
      <c r="V64" s="49" t="s">
        <v>194</v>
      </c>
      <c r="W64" s="49" t="s">
        <v>137</v>
      </c>
    </row>
    <row r="65" spans="1:23">
      <c r="A65" s="49">
        <v>3</v>
      </c>
      <c r="B65" s="49">
        <v>10</v>
      </c>
      <c r="C65" s="49" t="s">
        <v>189</v>
      </c>
      <c r="D65" s="49">
        <v>1.9300000000000001E-2</v>
      </c>
      <c r="E65" s="49">
        <v>1.5026999999999999</v>
      </c>
      <c r="F65" s="49">
        <f t="shared" si="4"/>
        <v>1.522</v>
      </c>
      <c r="G65" s="49" t="s">
        <v>190</v>
      </c>
      <c r="H65" s="49" t="s">
        <v>168</v>
      </c>
      <c r="I65" s="49" t="s">
        <v>191</v>
      </c>
      <c r="J65" s="49" t="s">
        <v>191</v>
      </c>
      <c r="K65" s="49" t="s">
        <v>137</v>
      </c>
      <c r="L65" s="2"/>
      <c r="M65" s="49">
        <v>8</v>
      </c>
      <c r="N65" s="49">
        <v>10</v>
      </c>
      <c r="O65" s="49" t="s">
        <v>189</v>
      </c>
      <c r="P65" s="49">
        <v>2.6200000000000001E-2</v>
      </c>
      <c r="Q65" s="49">
        <v>1.5029999999999999</v>
      </c>
      <c r="R65" s="49">
        <f t="shared" si="5"/>
        <v>1.5292</v>
      </c>
      <c r="S65" s="49" t="s">
        <v>190</v>
      </c>
      <c r="T65" s="49" t="s">
        <v>168</v>
      </c>
      <c r="U65" s="49" t="s">
        <v>191</v>
      </c>
      <c r="V65" s="49" t="s">
        <v>191</v>
      </c>
      <c r="W65" s="49" t="s">
        <v>137</v>
      </c>
    </row>
    <row r="66" spans="1:23">
      <c r="A66" s="49">
        <v>3</v>
      </c>
      <c r="B66" s="49">
        <v>10</v>
      </c>
      <c r="C66" s="49" t="s">
        <v>192</v>
      </c>
      <c r="D66" s="49">
        <v>3.1800000000000002E-2</v>
      </c>
      <c r="E66" s="49">
        <v>1.5019</v>
      </c>
      <c r="F66" s="49">
        <f t="shared" si="4"/>
        <v>1.5337</v>
      </c>
      <c r="G66" s="49" t="s">
        <v>193</v>
      </c>
      <c r="H66" s="49" t="s">
        <v>168</v>
      </c>
      <c r="I66" s="49" t="s">
        <v>194</v>
      </c>
      <c r="J66" s="49" t="s">
        <v>194</v>
      </c>
      <c r="K66" s="49" t="s">
        <v>137</v>
      </c>
      <c r="L66" s="2"/>
      <c r="M66" s="49">
        <v>8</v>
      </c>
      <c r="N66" s="49">
        <v>10</v>
      </c>
      <c r="O66" s="49" t="s">
        <v>192</v>
      </c>
      <c r="P66" s="49">
        <v>2.1600000000000001E-2</v>
      </c>
      <c r="Q66" s="49">
        <v>1.5052000000000001</v>
      </c>
      <c r="R66" s="49">
        <f t="shared" si="5"/>
        <v>1.5268</v>
      </c>
      <c r="S66" s="49" t="s">
        <v>193</v>
      </c>
      <c r="T66" s="49" t="s">
        <v>168</v>
      </c>
      <c r="U66" s="49" t="s">
        <v>194</v>
      </c>
      <c r="V66" s="49" t="s">
        <v>194</v>
      </c>
      <c r="W66" s="49" t="s">
        <v>137</v>
      </c>
    </row>
    <row r="67" spans="1:23">
      <c r="A67" s="2"/>
      <c r="B67" s="2"/>
      <c r="C67" s="15" t="s">
        <v>138</v>
      </c>
      <c r="D67" s="15">
        <f>AVERAGE(D47:D66)</f>
        <v>0.019695</v>
      </c>
      <c r="E67" s="15">
        <f>AVERAGE(E47:E66)</f>
        <v>1.503495</v>
      </c>
      <c r="F67" s="15">
        <f>AVERAGE(F47:F66)</f>
        <v>1.52319</v>
      </c>
      <c r="G67" s="2"/>
      <c r="H67" s="2"/>
      <c r="I67" s="2"/>
      <c r="J67" s="2"/>
      <c r="K67" s="2"/>
      <c r="L67" s="2"/>
      <c r="M67" s="2"/>
      <c r="N67" s="2"/>
      <c r="O67" s="15" t="s">
        <v>138</v>
      </c>
      <c r="P67" s="15">
        <f>AVERAGE(P47:P66)</f>
        <v>0.02599</v>
      </c>
      <c r="Q67" s="15">
        <f>AVERAGE(Q47:Q66)</f>
        <v>1.50289</v>
      </c>
      <c r="R67" s="15">
        <f>AVERAGE(R47:R66)</f>
        <v>1.52888</v>
      </c>
      <c r="S67" s="2"/>
      <c r="T67" s="2"/>
      <c r="U67" s="2"/>
      <c r="V67" s="2"/>
      <c r="W67" s="2"/>
    </row>
    <row r="68" spans="1:23" s="2" customFormat="1">
      <c r="A68" s="17" t="s">
        <v>9</v>
      </c>
      <c r="B68" s="17" t="s">
        <v>126</v>
      </c>
      <c r="C68" s="17" t="s">
        <v>183</v>
      </c>
      <c r="D68" s="17" t="s">
        <v>184</v>
      </c>
      <c r="E68" s="17" t="s">
        <v>185</v>
      </c>
      <c r="F68" s="17" t="s">
        <v>186</v>
      </c>
      <c r="G68" s="17" t="s">
        <v>187</v>
      </c>
      <c r="H68" s="17" t="s">
        <v>188</v>
      </c>
      <c r="I68" s="17" t="s">
        <v>13</v>
      </c>
      <c r="J68" s="17" t="s">
        <v>133</v>
      </c>
      <c r="K68" s="17" t="s">
        <v>134</v>
      </c>
      <c r="M68" s="17" t="s">
        <v>9</v>
      </c>
      <c r="N68" s="17" t="s">
        <v>126</v>
      </c>
      <c r="O68" s="17" t="s">
        <v>183</v>
      </c>
      <c r="P68" s="17" t="s">
        <v>184</v>
      </c>
      <c r="Q68" s="17" t="s">
        <v>185</v>
      </c>
      <c r="R68" s="17" t="s">
        <v>186</v>
      </c>
      <c r="S68" s="17" t="s">
        <v>187</v>
      </c>
      <c r="T68" s="17" t="s">
        <v>188</v>
      </c>
      <c r="U68" s="17" t="s">
        <v>13</v>
      </c>
      <c r="V68" s="17" t="s">
        <v>133</v>
      </c>
      <c r="W68" s="17" t="s">
        <v>134</v>
      </c>
    </row>
    <row r="69" spans="1:23">
      <c r="A69" s="49">
        <v>4</v>
      </c>
      <c r="B69" s="49">
        <v>1</v>
      </c>
      <c r="C69" s="49" t="s">
        <v>189</v>
      </c>
      <c r="D69" s="49">
        <v>2.1700000000000001E-2</v>
      </c>
      <c r="E69" s="49">
        <v>1.5024</v>
      </c>
      <c r="F69" s="49">
        <f t="shared" ref="F69:F88" si="6">E69+D69</f>
        <v>1.5241</v>
      </c>
      <c r="G69" s="49" t="s">
        <v>190</v>
      </c>
      <c r="H69" s="49" t="s">
        <v>168</v>
      </c>
      <c r="I69" s="49" t="s">
        <v>191</v>
      </c>
      <c r="J69" s="49" t="s">
        <v>191</v>
      </c>
      <c r="K69" s="49" t="s">
        <v>137</v>
      </c>
      <c r="L69" s="2"/>
      <c r="M69" s="49">
        <v>9</v>
      </c>
      <c r="N69" s="49">
        <v>1</v>
      </c>
      <c r="O69" s="49" t="s">
        <v>189</v>
      </c>
      <c r="P69" s="49">
        <v>1.01E-2</v>
      </c>
      <c r="Q69" s="49">
        <v>1.5028999999999999</v>
      </c>
      <c r="R69" s="49">
        <f t="shared" ref="R69:R88" si="7">Q69+P69</f>
        <v>1.513</v>
      </c>
      <c r="S69" s="49" t="s">
        <v>190</v>
      </c>
      <c r="T69" s="49" t="s">
        <v>168</v>
      </c>
      <c r="U69" s="49" t="s">
        <v>191</v>
      </c>
      <c r="V69" s="49" t="s">
        <v>191</v>
      </c>
      <c r="W69" s="49" t="s">
        <v>137</v>
      </c>
    </row>
    <row r="70" spans="1:23">
      <c r="A70" s="49">
        <v>4</v>
      </c>
      <c r="B70" s="49">
        <v>1</v>
      </c>
      <c r="C70" s="49" t="s">
        <v>192</v>
      </c>
      <c r="D70" s="49">
        <v>2.01E-2</v>
      </c>
      <c r="E70" s="49">
        <v>1.5053000000000001</v>
      </c>
      <c r="F70" s="49">
        <f t="shared" si="6"/>
        <v>1.5254</v>
      </c>
      <c r="G70" s="49" t="s">
        <v>193</v>
      </c>
      <c r="H70" s="49" t="s">
        <v>168</v>
      </c>
      <c r="I70" s="49" t="s">
        <v>194</v>
      </c>
      <c r="J70" s="49" t="s">
        <v>194</v>
      </c>
      <c r="K70" s="49" t="s">
        <v>137</v>
      </c>
      <c r="L70" s="2"/>
      <c r="M70" s="49">
        <v>9</v>
      </c>
      <c r="N70" s="49">
        <v>1</v>
      </c>
      <c r="O70" s="49" t="s">
        <v>192</v>
      </c>
      <c r="P70" s="49">
        <v>3.56E-2</v>
      </c>
      <c r="Q70" s="49">
        <v>1.5125</v>
      </c>
      <c r="R70" s="49">
        <f t="shared" si="7"/>
        <v>1.5481</v>
      </c>
      <c r="S70" s="49" t="s">
        <v>193</v>
      </c>
      <c r="T70" s="49" t="s">
        <v>168</v>
      </c>
      <c r="U70" s="49" t="s">
        <v>194</v>
      </c>
      <c r="V70" s="49" t="s">
        <v>194</v>
      </c>
      <c r="W70" s="49" t="s">
        <v>137</v>
      </c>
    </row>
    <row r="71" spans="1:23">
      <c r="A71" s="49">
        <v>4</v>
      </c>
      <c r="B71" s="49">
        <v>2</v>
      </c>
      <c r="C71" s="49" t="s">
        <v>189</v>
      </c>
      <c r="D71" s="49">
        <v>0.01</v>
      </c>
      <c r="E71" s="49">
        <v>1.504</v>
      </c>
      <c r="F71" s="49">
        <f t="shared" si="6"/>
        <v>1.514</v>
      </c>
      <c r="G71" s="49" t="s">
        <v>190</v>
      </c>
      <c r="H71" s="49" t="s">
        <v>168</v>
      </c>
      <c r="I71" s="49" t="s">
        <v>191</v>
      </c>
      <c r="J71" s="49" t="s">
        <v>191</v>
      </c>
      <c r="K71" s="49" t="s">
        <v>137</v>
      </c>
      <c r="L71" s="2"/>
      <c r="M71" s="49">
        <v>9</v>
      </c>
      <c r="N71" s="49">
        <v>2</v>
      </c>
      <c r="O71" s="49" t="s">
        <v>189</v>
      </c>
      <c r="P71" s="49">
        <v>2.9100000000000001E-2</v>
      </c>
      <c r="Q71" s="49">
        <v>1.5024</v>
      </c>
      <c r="R71" s="49">
        <f t="shared" si="7"/>
        <v>1.5315</v>
      </c>
      <c r="S71" s="49" t="s">
        <v>190</v>
      </c>
      <c r="T71" s="49" t="s">
        <v>168</v>
      </c>
      <c r="U71" s="49" t="s">
        <v>191</v>
      </c>
      <c r="V71" s="49" t="s">
        <v>191</v>
      </c>
      <c r="W71" s="49" t="s">
        <v>137</v>
      </c>
    </row>
    <row r="72" spans="1:23">
      <c r="A72" s="49">
        <v>4</v>
      </c>
      <c r="B72" s="49">
        <v>2</v>
      </c>
      <c r="C72" s="49" t="s">
        <v>192</v>
      </c>
      <c r="D72" s="49">
        <v>1.9699999999999999E-2</v>
      </c>
      <c r="E72" s="49">
        <v>1.5024999999999999</v>
      </c>
      <c r="F72" s="49">
        <f t="shared" si="6"/>
        <v>1.5222</v>
      </c>
      <c r="G72" s="49" t="s">
        <v>193</v>
      </c>
      <c r="H72" s="49" t="s">
        <v>168</v>
      </c>
      <c r="I72" s="49" t="s">
        <v>194</v>
      </c>
      <c r="J72" s="49" t="s">
        <v>194</v>
      </c>
      <c r="K72" s="49" t="s">
        <v>137</v>
      </c>
      <c r="L72" s="2"/>
      <c r="M72" s="49">
        <v>9</v>
      </c>
      <c r="N72" s="49">
        <v>2</v>
      </c>
      <c r="O72" s="49" t="s">
        <v>192</v>
      </c>
      <c r="P72" s="49">
        <v>2.0199999999999999E-2</v>
      </c>
      <c r="Q72" s="49">
        <v>1.5023</v>
      </c>
      <c r="R72" s="49">
        <f t="shared" si="7"/>
        <v>1.5225</v>
      </c>
      <c r="S72" s="49" t="s">
        <v>193</v>
      </c>
      <c r="T72" s="49" t="s">
        <v>168</v>
      </c>
      <c r="U72" s="49" t="s">
        <v>194</v>
      </c>
      <c r="V72" s="49" t="s">
        <v>194</v>
      </c>
      <c r="W72" s="49" t="s">
        <v>137</v>
      </c>
    </row>
    <row r="73" spans="1:23">
      <c r="A73" s="49">
        <v>4</v>
      </c>
      <c r="B73" s="49">
        <v>3</v>
      </c>
      <c r="C73" s="49" t="s">
        <v>189</v>
      </c>
      <c r="D73" s="49">
        <v>1.21E-2</v>
      </c>
      <c r="E73" s="49">
        <v>1.5022</v>
      </c>
      <c r="F73" s="49">
        <f t="shared" si="6"/>
        <v>1.5143</v>
      </c>
      <c r="G73" s="49" t="s">
        <v>190</v>
      </c>
      <c r="H73" s="49" t="s">
        <v>168</v>
      </c>
      <c r="I73" s="49" t="s">
        <v>191</v>
      </c>
      <c r="J73" s="49" t="s">
        <v>191</v>
      </c>
      <c r="K73" s="49" t="s">
        <v>137</v>
      </c>
      <c r="L73" s="2"/>
      <c r="M73" s="49">
        <v>9</v>
      </c>
      <c r="N73" s="49">
        <v>3</v>
      </c>
      <c r="O73" s="49" t="s">
        <v>189</v>
      </c>
      <c r="P73" s="49">
        <v>2.1100000000000001E-2</v>
      </c>
      <c r="Q73" s="49">
        <v>1.5022</v>
      </c>
      <c r="R73" s="49">
        <f t="shared" si="7"/>
        <v>1.5233</v>
      </c>
      <c r="S73" s="49" t="s">
        <v>190</v>
      </c>
      <c r="T73" s="49" t="s">
        <v>168</v>
      </c>
      <c r="U73" s="49" t="s">
        <v>191</v>
      </c>
      <c r="V73" s="49" t="s">
        <v>191</v>
      </c>
      <c r="W73" s="49" t="s">
        <v>137</v>
      </c>
    </row>
    <row r="74" spans="1:23">
      <c r="A74" s="49">
        <v>4</v>
      </c>
      <c r="B74" s="49">
        <v>3</v>
      </c>
      <c r="C74" s="49" t="s">
        <v>192</v>
      </c>
      <c r="D74" s="49">
        <v>2.1299999999999999E-2</v>
      </c>
      <c r="E74" s="49">
        <v>1.5033000000000001</v>
      </c>
      <c r="F74" s="49">
        <f t="shared" si="6"/>
        <v>1.5246</v>
      </c>
      <c r="G74" s="49" t="s">
        <v>193</v>
      </c>
      <c r="H74" s="49" t="s">
        <v>168</v>
      </c>
      <c r="I74" s="49" t="s">
        <v>194</v>
      </c>
      <c r="J74" s="49" t="s">
        <v>194</v>
      </c>
      <c r="K74" s="49" t="s">
        <v>137</v>
      </c>
      <c r="L74" s="2"/>
      <c r="M74" s="49">
        <v>9</v>
      </c>
      <c r="N74" s="49">
        <v>3</v>
      </c>
      <c r="O74" s="49" t="s">
        <v>192</v>
      </c>
      <c r="P74" s="49">
        <v>2.1899999999999999E-2</v>
      </c>
      <c r="Q74" s="49">
        <v>1.5027999999999999</v>
      </c>
      <c r="R74" s="49">
        <f t="shared" si="7"/>
        <v>1.5247</v>
      </c>
      <c r="S74" s="49" t="s">
        <v>193</v>
      </c>
      <c r="T74" s="49" t="s">
        <v>168</v>
      </c>
      <c r="U74" s="49" t="s">
        <v>194</v>
      </c>
      <c r="V74" s="49" t="s">
        <v>194</v>
      </c>
      <c r="W74" s="49" t="s">
        <v>137</v>
      </c>
    </row>
    <row r="75" spans="1:23">
      <c r="A75" s="49">
        <v>4</v>
      </c>
      <c r="B75" s="49">
        <v>4</v>
      </c>
      <c r="C75" s="49" t="s">
        <v>189</v>
      </c>
      <c r="D75" s="49">
        <v>1.0500000000000001E-2</v>
      </c>
      <c r="E75" s="49">
        <v>1.5017</v>
      </c>
      <c r="F75" s="49">
        <f t="shared" si="6"/>
        <v>1.5122</v>
      </c>
      <c r="G75" s="49" t="s">
        <v>190</v>
      </c>
      <c r="H75" s="49" t="s">
        <v>168</v>
      </c>
      <c r="I75" s="49" t="s">
        <v>191</v>
      </c>
      <c r="J75" s="49" t="s">
        <v>191</v>
      </c>
      <c r="K75" s="49" t="s">
        <v>137</v>
      </c>
      <c r="L75" s="2"/>
      <c r="M75" s="49">
        <v>9</v>
      </c>
      <c r="N75" s="49">
        <v>4</v>
      </c>
      <c r="O75" s="49" t="s">
        <v>189</v>
      </c>
      <c r="P75" s="49">
        <v>2.07E-2</v>
      </c>
      <c r="Q75" s="49">
        <v>1.5021</v>
      </c>
      <c r="R75" s="49">
        <f t="shared" si="7"/>
        <v>1.5228</v>
      </c>
      <c r="S75" s="49" t="s">
        <v>190</v>
      </c>
      <c r="T75" s="49" t="s">
        <v>168</v>
      </c>
      <c r="U75" s="49" t="s">
        <v>191</v>
      </c>
      <c r="V75" s="49" t="s">
        <v>191</v>
      </c>
      <c r="W75" s="49" t="s">
        <v>137</v>
      </c>
    </row>
    <row r="76" spans="1:23">
      <c r="A76" s="49">
        <v>4</v>
      </c>
      <c r="B76" s="49">
        <v>4</v>
      </c>
      <c r="C76" s="49" t="s">
        <v>192</v>
      </c>
      <c r="D76" s="49">
        <v>1.15E-2</v>
      </c>
      <c r="E76" s="49">
        <v>1.5016</v>
      </c>
      <c r="F76" s="49">
        <f t="shared" si="6"/>
        <v>1.5131</v>
      </c>
      <c r="G76" s="49" t="s">
        <v>193</v>
      </c>
      <c r="H76" s="49" t="s">
        <v>168</v>
      </c>
      <c r="I76" s="49" t="s">
        <v>194</v>
      </c>
      <c r="J76" s="49" t="s">
        <v>194</v>
      </c>
      <c r="K76" s="49" t="s">
        <v>137</v>
      </c>
      <c r="L76" s="2"/>
      <c r="M76" s="49">
        <v>9</v>
      </c>
      <c r="N76" s="49">
        <v>4</v>
      </c>
      <c r="O76" s="49" t="s">
        <v>192</v>
      </c>
      <c r="P76" s="49">
        <v>2.6200000000000001E-2</v>
      </c>
      <c r="Q76" s="49">
        <v>1.508</v>
      </c>
      <c r="R76" s="49">
        <f t="shared" si="7"/>
        <v>1.5342</v>
      </c>
      <c r="S76" s="49" t="s">
        <v>193</v>
      </c>
      <c r="T76" s="49" t="s">
        <v>168</v>
      </c>
      <c r="U76" s="49" t="s">
        <v>194</v>
      </c>
      <c r="V76" s="49" t="s">
        <v>194</v>
      </c>
      <c r="W76" s="49" t="s">
        <v>137</v>
      </c>
    </row>
    <row r="77" spans="1:23">
      <c r="A77" s="49">
        <v>4</v>
      </c>
      <c r="B77" s="49">
        <v>5</v>
      </c>
      <c r="C77" s="49" t="s">
        <v>189</v>
      </c>
      <c r="D77" s="49">
        <v>7.1999999999999998E-3</v>
      </c>
      <c r="E77" s="49">
        <v>1.5016</v>
      </c>
      <c r="F77" s="49">
        <f t="shared" si="6"/>
        <v>1.5088</v>
      </c>
      <c r="G77" s="49" t="s">
        <v>190</v>
      </c>
      <c r="H77" s="49" t="s">
        <v>168</v>
      </c>
      <c r="I77" s="49" t="s">
        <v>191</v>
      </c>
      <c r="J77" s="49" t="s">
        <v>191</v>
      </c>
      <c r="K77" s="49" t="s">
        <v>137</v>
      </c>
      <c r="L77" s="2"/>
      <c r="M77" s="49">
        <v>9</v>
      </c>
      <c r="N77" s="49">
        <v>5</v>
      </c>
      <c r="O77" s="49" t="s">
        <v>189</v>
      </c>
      <c r="P77" s="49">
        <v>9.2999999999999992E-3</v>
      </c>
      <c r="Q77" s="49">
        <v>1.5021</v>
      </c>
      <c r="R77" s="49">
        <f t="shared" si="7"/>
        <v>1.5114</v>
      </c>
      <c r="S77" s="49" t="s">
        <v>190</v>
      </c>
      <c r="T77" s="49" t="s">
        <v>168</v>
      </c>
      <c r="U77" s="49" t="s">
        <v>191</v>
      </c>
      <c r="V77" s="49" t="s">
        <v>191</v>
      </c>
      <c r="W77" s="49" t="s">
        <v>137</v>
      </c>
    </row>
    <row r="78" spans="1:23">
      <c r="A78" s="49">
        <v>4</v>
      </c>
      <c r="B78" s="49">
        <v>5</v>
      </c>
      <c r="C78" s="49" t="s">
        <v>192</v>
      </c>
      <c r="D78" s="49">
        <v>2.9899999999999999E-2</v>
      </c>
      <c r="E78" s="49">
        <v>1.4937</v>
      </c>
      <c r="F78" s="49">
        <f t="shared" si="6"/>
        <v>1.5236</v>
      </c>
      <c r="G78" s="49" t="s">
        <v>193</v>
      </c>
      <c r="H78" s="49" t="s">
        <v>168</v>
      </c>
      <c r="I78" s="49" t="s">
        <v>194</v>
      </c>
      <c r="J78" s="49" t="s">
        <v>194</v>
      </c>
      <c r="K78" s="49" t="s">
        <v>137</v>
      </c>
      <c r="L78" s="2"/>
      <c r="M78" s="49">
        <v>9</v>
      </c>
      <c r="N78" s="49">
        <v>5</v>
      </c>
      <c r="O78" s="49" t="s">
        <v>192</v>
      </c>
      <c r="P78" s="49">
        <v>1.09E-2</v>
      </c>
      <c r="Q78" s="49">
        <v>1.5022</v>
      </c>
      <c r="R78" s="49">
        <f t="shared" si="7"/>
        <v>1.5131</v>
      </c>
      <c r="S78" s="49" t="s">
        <v>193</v>
      </c>
      <c r="T78" s="49" t="s">
        <v>168</v>
      </c>
      <c r="U78" s="49" t="s">
        <v>194</v>
      </c>
      <c r="V78" s="49" t="s">
        <v>194</v>
      </c>
      <c r="W78" s="49" t="s">
        <v>137</v>
      </c>
    </row>
    <row r="79" spans="1:23">
      <c r="A79" s="49">
        <v>4</v>
      </c>
      <c r="B79" s="49">
        <v>6</v>
      </c>
      <c r="C79" s="49" t="s">
        <v>189</v>
      </c>
      <c r="D79" s="49">
        <v>1.9300000000000001E-2</v>
      </c>
      <c r="E79" s="49">
        <v>1.5024</v>
      </c>
      <c r="F79" s="49">
        <f t="shared" si="6"/>
        <v>1.5217</v>
      </c>
      <c r="G79" s="49" t="s">
        <v>190</v>
      </c>
      <c r="H79" s="49" t="s">
        <v>168</v>
      </c>
      <c r="I79" s="49" t="s">
        <v>191</v>
      </c>
      <c r="J79" s="49" t="s">
        <v>191</v>
      </c>
      <c r="K79" s="49" t="s">
        <v>137</v>
      </c>
      <c r="L79" s="2"/>
      <c r="M79" s="49">
        <v>9</v>
      </c>
      <c r="N79" s="49">
        <v>6</v>
      </c>
      <c r="O79" s="49" t="s">
        <v>189</v>
      </c>
      <c r="P79" s="49">
        <v>1.9900000000000001E-2</v>
      </c>
      <c r="Q79" s="49">
        <v>1.5024999999999999</v>
      </c>
      <c r="R79" s="49">
        <f t="shared" si="7"/>
        <v>1.5224</v>
      </c>
      <c r="S79" s="49" t="s">
        <v>190</v>
      </c>
      <c r="T79" s="49" t="s">
        <v>168</v>
      </c>
      <c r="U79" s="49" t="s">
        <v>191</v>
      </c>
      <c r="V79" s="49" t="s">
        <v>191</v>
      </c>
      <c r="W79" s="49" t="s">
        <v>137</v>
      </c>
    </row>
    <row r="80" spans="1:23">
      <c r="A80" s="49">
        <v>4</v>
      </c>
      <c r="B80" s="49">
        <v>6</v>
      </c>
      <c r="C80" s="49" t="s">
        <v>192</v>
      </c>
      <c r="D80" s="49">
        <v>9.9000000000000008E-3</v>
      </c>
      <c r="E80" s="49">
        <v>1.5018</v>
      </c>
      <c r="F80" s="49">
        <f t="shared" si="6"/>
        <v>1.5117</v>
      </c>
      <c r="G80" s="49" t="s">
        <v>193</v>
      </c>
      <c r="H80" s="49" t="s">
        <v>168</v>
      </c>
      <c r="I80" s="49" t="s">
        <v>194</v>
      </c>
      <c r="J80" s="49" t="s">
        <v>194</v>
      </c>
      <c r="K80" s="49" t="s">
        <v>137</v>
      </c>
      <c r="L80" s="2"/>
      <c r="M80" s="49">
        <v>9</v>
      </c>
      <c r="N80" s="49">
        <v>6</v>
      </c>
      <c r="O80" s="49" t="s">
        <v>192</v>
      </c>
      <c r="P80" s="49">
        <v>1.95E-2</v>
      </c>
      <c r="Q80" s="49">
        <v>1.502</v>
      </c>
      <c r="R80" s="49">
        <f t="shared" si="7"/>
        <v>1.5215</v>
      </c>
      <c r="S80" s="49" t="s">
        <v>193</v>
      </c>
      <c r="T80" s="49" t="s">
        <v>168</v>
      </c>
      <c r="U80" s="49" t="s">
        <v>194</v>
      </c>
      <c r="V80" s="49" t="s">
        <v>194</v>
      </c>
      <c r="W80" s="49" t="s">
        <v>137</v>
      </c>
    </row>
    <row r="81" spans="1:23">
      <c r="A81" s="49">
        <v>4</v>
      </c>
      <c r="B81" s="49">
        <v>7</v>
      </c>
      <c r="C81" s="49" t="s">
        <v>189</v>
      </c>
      <c r="D81" s="49">
        <v>8.8999999999999999E-3</v>
      </c>
      <c r="E81" s="49">
        <v>1.5013000000000001</v>
      </c>
      <c r="F81" s="49">
        <f t="shared" si="6"/>
        <v>1.5102</v>
      </c>
      <c r="G81" s="49" t="s">
        <v>190</v>
      </c>
      <c r="H81" s="49" t="s">
        <v>168</v>
      </c>
      <c r="I81" s="49" t="s">
        <v>191</v>
      </c>
      <c r="J81" s="49" t="s">
        <v>191</v>
      </c>
      <c r="K81" s="49" t="s">
        <v>137</v>
      </c>
      <c r="L81" s="2"/>
      <c r="M81" s="49">
        <v>9</v>
      </c>
      <c r="N81" s="49">
        <v>7</v>
      </c>
      <c r="O81" s="49" t="s">
        <v>189</v>
      </c>
      <c r="P81" s="49">
        <v>2.1299999999999999E-2</v>
      </c>
      <c r="Q81" s="49">
        <v>1.502</v>
      </c>
      <c r="R81" s="49">
        <f t="shared" si="7"/>
        <v>1.5233</v>
      </c>
      <c r="S81" s="49" t="s">
        <v>190</v>
      </c>
      <c r="T81" s="49" t="s">
        <v>168</v>
      </c>
      <c r="U81" s="49" t="s">
        <v>191</v>
      </c>
      <c r="V81" s="49" t="s">
        <v>191</v>
      </c>
      <c r="W81" s="49" t="s">
        <v>137</v>
      </c>
    </row>
    <row r="82" spans="1:23">
      <c r="A82" s="49">
        <v>4</v>
      </c>
      <c r="B82" s="49">
        <v>7</v>
      </c>
      <c r="C82" s="49" t="s">
        <v>192</v>
      </c>
      <c r="D82" s="49">
        <v>1.9699999999999999E-2</v>
      </c>
      <c r="E82" s="49">
        <v>1.5053000000000001</v>
      </c>
      <c r="F82" s="49">
        <f t="shared" si="6"/>
        <v>1.525</v>
      </c>
      <c r="G82" s="49" t="s">
        <v>193</v>
      </c>
      <c r="H82" s="49" t="s">
        <v>168</v>
      </c>
      <c r="I82" s="49" t="s">
        <v>194</v>
      </c>
      <c r="J82" s="49" t="s">
        <v>194</v>
      </c>
      <c r="K82" s="49" t="s">
        <v>137</v>
      </c>
      <c r="L82" s="2"/>
      <c r="M82" s="49">
        <v>9</v>
      </c>
      <c r="N82" s="49">
        <v>7</v>
      </c>
      <c r="O82" s="49" t="s">
        <v>192</v>
      </c>
      <c r="P82" s="49">
        <v>1.15E-2</v>
      </c>
      <c r="Q82" s="49">
        <v>1.5022</v>
      </c>
      <c r="R82" s="49">
        <f t="shared" si="7"/>
        <v>1.5137</v>
      </c>
      <c r="S82" s="49" t="s">
        <v>193</v>
      </c>
      <c r="T82" s="49" t="s">
        <v>168</v>
      </c>
      <c r="U82" s="49" t="s">
        <v>194</v>
      </c>
      <c r="V82" s="49" t="s">
        <v>194</v>
      </c>
      <c r="W82" s="49" t="s">
        <v>137</v>
      </c>
    </row>
    <row r="83" spans="1:23">
      <c r="A83" s="49">
        <v>4</v>
      </c>
      <c r="B83" s="49">
        <v>8</v>
      </c>
      <c r="C83" s="49" t="s">
        <v>189</v>
      </c>
      <c r="D83" s="49">
        <v>1.9900000000000001E-2</v>
      </c>
      <c r="E83" s="49">
        <v>1.5031000000000001</v>
      </c>
      <c r="F83" s="49">
        <f t="shared" si="6"/>
        <v>1.523</v>
      </c>
      <c r="G83" s="49" t="s">
        <v>190</v>
      </c>
      <c r="H83" s="49" t="s">
        <v>168</v>
      </c>
      <c r="I83" s="49" t="s">
        <v>191</v>
      </c>
      <c r="J83" s="49" t="s">
        <v>191</v>
      </c>
      <c r="K83" s="49" t="s">
        <v>137</v>
      </c>
      <c r="L83" s="2"/>
      <c r="M83" s="49">
        <v>9</v>
      </c>
      <c r="N83" s="49">
        <v>8</v>
      </c>
      <c r="O83" s="49" t="s">
        <v>189</v>
      </c>
      <c r="P83" s="49">
        <v>2.9100000000000001E-2</v>
      </c>
      <c r="Q83" s="49">
        <v>1.5024</v>
      </c>
      <c r="R83" s="49">
        <f t="shared" si="7"/>
        <v>1.5315</v>
      </c>
      <c r="S83" s="49" t="s">
        <v>190</v>
      </c>
      <c r="T83" s="49" t="s">
        <v>168</v>
      </c>
      <c r="U83" s="49" t="s">
        <v>191</v>
      </c>
      <c r="V83" s="49" t="s">
        <v>191</v>
      </c>
      <c r="W83" s="49" t="s">
        <v>137</v>
      </c>
    </row>
    <row r="84" spans="1:23">
      <c r="A84" s="49">
        <v>4</v>
      </c>
      <c r="B84" s="49">
        <v>8</v>
      </c>
      <c r="C84" s="49" t="s">
        <v>192</v>
      </c>
      <c r="D84" s="49">
        <v>3.2099999999999997E-2</v>
      </c>
      <c r="E84" s="49">
        <v>1.5022</v>
      </c>
      <c r="F84" s="49">
        <f t="shared" si="6"/>
        <v>1.5343</v>
      </c>
      <c r="G84" s="49" t="s">
        <v>193</v>
      </c>
      <c r="H84" s="49" t="s">
        <v>168</v>
      </c>
      <c r="I84" s="49" t="s">
        <v>194</v>
      </c>
      <c r="J84" s="49" t="s">
        <v>194</v>
      </c>
      <c r="K84" s="49" t="s">
        <v>137</v>
      </c>
      <c r="L84" s="2"/>
      <c r="M84" s="49">
        <v>9</v>
      </c>
      <c r="N84" s="49">
        <v>8</v>
      </c>
      <c r="O84" s="49" t="s">
        <v>192</v>
      </c>
      <c r="P84" s="49">
        <v>2.1399999999999999E-2</v>
      </c>
      <c r="Q84" s="49">
        <v>1.5024</v>
      </c>
      <c r="R84" s="49">
        <f t="shared" si="7"/>
        <v>1.5238</v>
      </c>
      <c r="S84" s="49" t="s">
        <v>193</v>
      </c>
      <c r="T84" s="49" t="s">
        <v>168</v>
      </c>
      <c r="U84" s="49" t="s">
        <v>194</v>
      </c>
      <c r="V84" s="49" t="s">
        <v>194</v>
      </c>
      <c r="W84" s="49" t="s">
        <v>137</v>
      </c>
    </row>
    <row r="85" spans="1:23">
      <c r="A85" s="49">
        <v>4</v>
      </c>
      <c r="B85" s="49">
        <v>9</v>
      </c>
      <c r="C85" s="49" t="s">
        <v>189</v>
      </c>
      <c r="D85" s="49">
        <v>1.3899999999999999E-2</v>
      </c>
      <c r="E85" s="49">
        <v>1.5019</v>
      </c>
      <c r="F85" s="49">
        <f t="shared" si="6"/>
        <v>1.5158</v>
      </c>
      <c r="G85" s="49" t="s">
        <v>190</v>
      </c>
      <c r="H85" s="49" t="s">
        <v>168</v>
      </c>
      <c r="I85" s="49" t="s">
        <v>191</v>
      </c>
      <c r="J85" s="49" t="s">
        <v>191</v>
      </c>
      <c r="K85" s="49" t="s">
        <v>137</v>
      </c>
      <c r="L85" s="2"/>
      <c r="M85" s="49">
        <v>9</v>
      </c>
      <c r="N85" s="49">
        <v>9</v>
      </c>
      <c r="O85" s="49" t="s">
        <v>189</v>
      </c>
      <c r="P85" s="49">
        <v>2.0199999999999999E-2</v>
      </c>
      <c r="Q85" s="49">
        <v>1.5021</v>
      </c>
      <c r="R85" s="49">
        <f t="shared" si="7"/>
        <v>1.5223</v>
      </c>
      <c r="S85" s="49" t="s">
        <v>190</v>
      </c>
      <c r="T85" s="49" t="s">
        <v>168</v>
      </c>
      <c r="U85" s="49" t="s">
        <v>191</v>
      </c>
      <c r="V85" s="49" t="s">
        <v>191</v>
      </c>
      <c r="W85" s="49" t="s">
        <v>137</v>
      </c>
    </row>
    <row r="86" spans="1:23">
      <c r="A86" s="49">
        <v>4</v>
      </c>
      <c r="B86" s="49">
        <v>9</v>
      </c>
      <c r="C86" s="49" t="s">
        <v>192</v>
      </c>
      <c r="D86" s="49">
        <v>1.9900000000000001E-2</v>
      </c>
      <c r="E86" s="49">
        <v>1.5069999999999999</v>
      </c>
      <c r="F86" s="49">
        <f t="shared" si="6"/>
        <v>1.5269</v>
      </c>
      <c r="G86" s="49" t="s">
        <v>193</v>
      </c>
      <c r="H86" s="49" t="s">
        <v>168</v>
      </c>
      <c r="I86" s="49" t="s">
        <v>194</v>
      </c>
      <c r="J86" s="49" t="s">
        <v>194</v>
      </c>
      <c r="K86" s="49" t="s">
        <v>137</v>
      </c>
      <c r="L86" s="2"/>
      <c r="M86" s="49">
        <v>9</v>
      </c>
      <c r="N86" s="49">
        <v>9</v>
      </c>
      <c r="O86" s="49" t="s">
        <v>192</v>
      </c>
      <c r="P86" s="49">
        <v>2.3099999999999999E-2</v>
      </c>
      <c r="Q86" s="49">
        <v>1.5022</v>
      </c>
      <c r="R86" s="49">
        <f t="shared" si="7"/>
        <v>1.5253</v>
      </c>
      <c r="S86" s="49" t="s">
        <v>193</v>
      </c>
      <c r="T86" s="49" t="s">
        <v>168</v>
      </c>
      <c r="U86" s="49" t="s">
        <v>194</v>
      </c>
      <c r="V86" s="49" t="s">
        <v>194</v>
      </c>
      <c r="W86" s="49" t="s">
        <v>137</v>
      </c>
    </row>
    <row r="87" spans="1:23">
      <c r="A87" s="49">
        <v>4</v>
      </c>
      <c r="B87" s="49">
        <v>10</v>
      </c>
      <c r="C87" s="49" t="s">
        <v>189</v>
      </c>
      <c r="D87" s="49">
        <v>1.9599999999999999E-2</v>
      </c>
      <c r="E87" s="49">
        <v>1.5022</v>
      </c>
      <c r="F87" s="49">
        <f t="shared" si="6"/>
        <v>1.5218</v>
      </c>
      <c r="G87" s="49" t="s">
        <v>190</v>
      </c>
      <c r="H87" s="49" t="s">
        <v>168</v>
      </c>
      <c r="I87" s="49" t="s">
        <v>191</v>
      </c>
      <c r="J87" s="49" t="s">
        <v>191</v>
      </c>
      <c r="K87" s="49" t="s">
        <v>137</v>
      </c>
      <c r="L87" s="2"/>
      <c r="M87" s="49">
        <v>9</v>
      </c>
      <c r="N87" s="49">
        <v>10</v>
      </c>
      <c r="O87" s="49" t="s">
        <v>189</v>
      </c>
      <c r="P87" s="49">
        <v>2.0400000000000001E-2</v>
      </c>
      <c r="Q87" s="49">
        <v>1.5022</v>
      </c>
      <c r="R87" s="49">
        <f t="shared" si="7"/>
        <v>1.5226</v>
      </c>
      <c r="S87" s="49" t="s">
        <v>190</v>
      </c>
      <c r="T87" s="49" t="s">
        <v>168</v>
      </c>
      <c r="U87" s="49" t="s">
        <v>191</v>
      </c>
      <c r="V87" s="49" t="s">
        <v>191</v>
      </c>
      <c r="W87" s="49" t="s">
        <v>137</v>
      </c>
    </row>
    <row r="88" spans="1:23">
      <c r="A88" s="49">
        <v>4</v>
      </c>
      <c r="B88" s="49">
        <v>10</v>
      </c>
      <c r="C88" s="49" t="s">
        <v>192</v>
      </c>
      <c r="D88" s="49">
        <v>1.8699999999999999E-3</v>
      </c>
      <c r="E88" s="49">
        <v>1.5003</v>
      </c>
      <c r="F88" s="49">
        <f t="shared" si="6"/>
        <v>1.50217</v>
      </c>
      <c r="G88" s="49" t="s">
        <v>193</v>
      </c>
      <c r="H88" s="49" t="s">
        <v>168</v>
      </c>
      <c r="I88" s="49" t="s">
        <v>194</v>
      </c>
      <c r="J88" s="49" t="s">
        <v>194</v>
      </c>
      <c r="K88" s="49" t="s">
        <v>137</v>
      </c>
      <c r="L88" s="2"/>
      <c r="M88" s="49">
        <v>9</v>
      </c>
      <c r="N88" s="49">
        <v>10</v>
      </c>
      <c r="O88" s="49" t="s">
        <v>192</v>
      </c>
      <c r="P88" s="49">
        <v>2.1100000000000001E-2</v>
      </c>
      <c r="Q88" s="49">
        <v>1.5022</v>
      </c>
      <c r="R88" s="49">
        <f t="shared" si="7"/>
        <v>1.5233</v>
      </c>
      <c r="S88" s="49" t="s">
        <v>193</v>
      </c>
      <c r="T88" s="49" t="s">
        <v>168</v>
      </c>
      <c r="U88" s="49" t="s">
        <v>194</v>
      </c>
      <c r="V88" s="49" t="s">
        <v>194</v>
      </c>
      <c r="W88" s="49" t="s">
        <v>137</v>
      </c>
    </row>
    <row r="89" spans="1:23">
      <c r="A89" s="2"/>
      <c r="B89" s="2"/>
      <c r="C89" s="15" t="s">
        <v>138</v>
      </c>
      <c r="D89" s="15">
        <f>AVERAGE(D69:D88)</f>
        <v>0.0164535</v>
      </c>
      <c r="E89" s="15">
        <f>AVERAGE(E69:E88)</f>
        <v>1.50229</v>
      </c>
      <c r="F89" s="15">
        <f>AVERAGE(F69:F88)</f>
        <v>1.5187435</v>
      </c>
      <c r="G89" s="2"/>
      <c r="H89" s="2"/>
      <c r="I89" s="2"/>
      <c r="J89" s="2"/>
      <c r="K89" s="2"/>
      <c r="L89" s="2"/>
      <c r="M89" s="2"/>
      <c r="N89" s="2"/>
      <c r="O89" s="15" t="s">
        <v>138</v>
      </c>
      <c r="P89" s="15">
        <f>AVERAGE(P69:P88)</f>
        <v>0.02063</v>
      </c>
      <c r="Q89" s="15">
        <f>AVERAGE(Q69:Q88)</f>
        <v>1.503085</v>
      </c>
      <c r="R89" s="15">
        <f>AVERAGE(R69:R88)</f>
        <v>1.523715</v>
      </c>
      <c r="S89" s="2"/>
      <c r="T89" s="2"/>
      <c r="U89" s="2"/>
      <c r="V89" s="2"/>
      <c r="W89" s="2"/>
    </row>
    <row r="90" spans="1:23" s="2" customFormat="1">
      <c r="A90" s="17" t="s">
        <v>9</v>
      </c>
      <c r="B90" s="17" t="s">
        <v>126</v>
      </c>
      <c r="C90" s="17" t="s">
        <v>183</v>
      </c>
      <c r="D90" s="17" t="s">
        <v>184</v>
      </c>
      <c r="E90" s="17" t="s">
        <v>185</v>
      </c>
      <c r="F90" s="17" t="s">
        <v>186</v>
      </c>
      <c r="G90" s="17" t="s">
        <v>187</v>
      </c>
      <c r="H90" s="17" t="s">
        <v>188</v>
      </c>
      <c r="I90" s="17" t="s">
        <v>13</v>
      </c>
      <c r="J90" s="17" t="s">
        <v>133</v>
      </c>
      <c r="K90" s="17" t="s">
        <v>134</v>
      </c>
      <c r="M90" s="17" t="s">
        <v>9</v>
      </c>
      <c r="N90" s="17" t="s">
        <v>126</v>
      </c>
      <c r="O90" s="17" t="s">
        <v>183</v>
      </c>
      <c r="P90" s="17" t="s">
        <v>184</v>
      </c>
      <c r="Q90" s="17" t="s">
        <v>185</v>
      </c>
      <c r="R90" s="17" t="s">
        <v>186</v>
      </c>
      <c r="S90" s="17" t="s">
        <v>187</v>
      </c>
      <c r="T90" s="17" t="s">
        <v>188</v>
      </c>
      <c r="U90" s="17" t="s">
        <v>13</v>
      </c>
      <c r="V90" s="17" t="s">
        <v>133</v>
      </c>
      <c r="W90" s="17" t="s">
        <v>134</v>
      </c>
    </row>
    <row r="91" spans="1:23">
      <c r="A91" s="49">
        <v>5</v>
      </c>
      <c r="B91" s="49">
        <v>1</v>
      </c>
      <c r="C91" s="49" t="s">
        <v>189</v>
      </c>
      <c r="D91" s="49">
        <v>1.9800000000000002E-2</v>
      </c>
      <c r="E91" s="49">
        <v>1.5042</v>
      </c>
      <c r="F91" s="49">
        <f t="shared" ref="F91:F110" si="8">E91+D91</f>
        <v>1.524</v>
      </c>
      <c r="G91" s="49" t="s">
        <v>190</v>
      </c>
      <c r="H91" s="49" t="s">
        <v>168</v>
      </c>
      <c r="I91" s="49" t="s">
        <v>191</v>
      </c>
      <c r="J91" s="49" t="s">
        <v>191</v>
      </c>
      <c r="K91" s="49" t="s">
        <v>137</v>
      </c>
      <c r="L91" s="2"/>
      <c r="M91" s="49">
        <v>10</v>
      </c>
      <c r="N91" s="49">
        <v>1</v>
      </c>
      <c r="O91" s="49" t="s">
        <v>189</v>
      </c>
      <c r="P91" s="49">
        <v>3.1199999999999999E-2</v>
      </c>
      <c r="Q91" s="49">
        <v>1.5047999999999999</v>
      </c>
      <c r="R91" s="49">
        <f t="shared" ref="R91:R110" si="9">Q91+P91</f>
        <v>1.536</v>
      </c>
      <c r="S91" s="49" t="s">
        <v>190</v>
      </c>
      <c r="T91" s="49" t="s">
        <v>168</v>
      </c>
      <c r="U91" s="49" t="s">
        <v>191</v>
      </c>
      <c r="V91" s="49" t="s">
        <v>191</v>
      </c>
      <c r="W91" s="49" t="s">
        <v>137</v>
      </c>
    </row>
    <row r="92" spans="1:23">
      <c r="A92" s="49">
        <v>5</v>
      </c>
      <c r="B92" s="49">
        <v>1</v>
      </c>
      <c r="C92" s="49" t="s">
        <v>192</v>
      </c>
      <c r="D92" s="49">
        <v>0.02</v>
      </c>
      <c r="E92" s="49">
        <v>1.5017</v>
      </c>
      <c r="F92" s="49">
        <f t="shared" si="8"/>
        <v>1.5217</v>
      </c>
      <c r="G92" s="49" t="s">
        <v>193</v>
      </c>
      <c r="H92" s="49" t="s">
        <v>168</v>
      </c>
      <c r="I92" s="49" t="s">
        <v>194</v>
      </c>
      <c r="J92" s="49" t="s">
        <v>194</v>
      </c>
      <c r="K92" s="49" t="s">
        <v>137</v>
      </c>
      <c r="L92" s="2"/>
      <c r="M92" s="49">
        <v>10</v>
      </c>
      <c r="N92" s="49">
        <v>1</v>
      </c>
      <c r="O92" s="49" t="s">
        <v>192</v>
      </c>
      <c r="P92" s="49">
        <v>2.3300000000000001E-2</v>
      </c>
      <c r="Q92" s="49">
        <v>1.5025999999999999</v>
      </c>
      <c r="R92" s="49">
        <f t="shared" si="9"/>
        <v>1.5259</v>
      </c>
      <c r="S92" s="49" t="s">
        <v>193</v>
      </c>
      <c r="T92" s="49" t="s">
        <v>168</v>
      </c>
      <c r="U92" s="49" t="s">
        <v>194</v>
      </c>
      <c r="V92" s="49" t="s">
        <v>194</v>
      </c>
      <c r="W92" s="49" t="s">
        <v>137</v>
      </c>
    </row>
    <row r="93" spans="1:23">
      <c r="A93" s="49">
        <v>5</v>
      </c>
      <c r="B93" s="49">
        <v>2</v>
      </c>
      <c r="C93" s="49" t="s">
        <v>189</v>
      </c>
      <c r="D93" s="49">
        <v>2.0999999999999999E-3</v>
      </c>
      <c r="E93" s="49">
        <v>1.5034000000000001</v>
      </c>
      <c r="F93" s="49">
        <f t="shared" si="8"/>
        <v>1.5055</v>
      </c>
      <c r="G93" s="49" t="s">
        <v>190</v>
      </c>
      <c r="H93" s="49" t="s">
        <v>168</v>
      </c>
      <c r="I93" s="49" t="s">
        <v>191</v>
      </c>
      <c r="J93" s="49" t="s">
        <v>191</v>
      </c>
      <c r="K93" s="49" t="s">
        <v>137</v>
      </c>
      <c r="L93" s="2"/>
      <c r="M93" s="49">
        <v>10</v>
      </c>
      <c r="N93" s="49">
        <v>2</v>
      </c>
      <c r="O93" s="49" t="s">
        <v>189</v>
      </c>
      <c r="P93" s="49">
        <v>0.02</v>
      </c>
      <c r="Q93" s="49">
        <v>1.5021</v>
      </c>
      <c r="R93" s="49">
        <f t="shared" si="9"/>
        <v>1.5221</v>
      </c>
      <c r="S93" s="49" t="s">
        <v>190</v>
      </c>
      <c r="T93" s="49" t="s">
        <v>168</v>
      </c>
      <c r="U93" s="49" t="s">
        <v>191</v>
      </c>
      <c r="V93" s="49" t="s">
        <v>191</v>
      </c>
      <c r="W93" s="49" t="s">
        <v>137</v>
      </c>
    </row>
    <row r="94" spans="1:23">
      <c r="A94" s="49">
        <v>5</v>
      </c>
      <c r="B94" s="49">
        <v>2</v>
      </c>
      <c r="C94" s="49" t="s">
        <v>192</v>
      </c>
      <c r="D94" s="49">
        <v>2.6599999999999999E-2</v>
      </c>
      <c r="E94" s="49">
        <v>1.5015000000000001</v>
      </c>
      <c r="F94" s="49">
        <f t="shared" si="8"/>
        <v>1.5281</v>
      </c>
      <c r="G94" s="49" t="s">
        <v>193</v>
      </c>
      <c r="H94" s="49" t="s">
        <v>168</v>
      </c>
      <c r="I94" s="49" t="s">
        <v>194</v>
      </c>
      <c r="J94" s="49" t="s">
        <v>194</v>
      </c>
      <c r="K94" s="49" t="s">
        <v>137</v>
      </c>
      <c r="L94" s="2"/>
      <c r="M94" s="49">
        <v>10</v>
      </c>
      <c r="N94" s="49">
        <v>2</v>
      </c>
      <c r="O94" s="49" t="s">
        <v>192</v>
      </c>
      <c r="P94" s="49">
        <v>2.1299999999999999E-2</v>
      </c>
      <c r="Q94" s="49">
        <v>1.5023</v>
      </c>
      <c r="R94" s="49">
        <f t="shared" si="9"/>
        <v>1.5236</v>
      </c>
      <c r="S94" s="49" t="s">
        <v>193</v>
      </c>
      <c r="T94" s="49" t="s">
        <v>168</v>
      </c>
      <c r="U94" s="49" t="s">
        <v>194</v>
      </c>
      <c r="V94" s="49" t="s">
        <v>194</v>
      </c>
      <c r="W94" s="49" t="s">
        <v>137</v>
      </c>
    </row>
    <row r="95" spans="1:23">
      <c r="A95" s="49">
        <v>5</v>
      </c>
      <c r="B95" s="49">
        <v>3</v>
      </c>
      <c r="C95" s="49" t="s">
        <v>189</v>
      </c>
      <c r="D95" s="49">
        <v>1.95E-2</v>
      </c>
      <c r="E95" s="49">
        <v>1.5024999999999999</v>
      </c>
      <c r="F95" s="49">
        <f t="shared" si="8"/>
        <v>1.522</v>
      </c>
      <c r="G95" s="49" t="s">
        <v>190</v>
      </c>
      <c r="H95" s="49" t="s">
        <v>168</v>
      </c>
      <c r="I95" s="49" t="s">
        <v>191</v>
      </c>
      <c r="J95" s="49" t="s">
        <v>191</v>
      </c>
      <c r="K95" s="49" t="s">
        <v>137</v>
      </c>
      <c r="L95" s="2"/>
      <c r="M95" s="49">
        <v>10</v>
      </c>
      <c r="N95" s="49">
        <v>3</v>
      </c>
      <c r="O95" s="49" t="s">
        <v>189</v>
      </c>
      <c r="P95" s="49">
        <v>1.23E-2</v>
      </c>
      <c r="Q95" s="49">
        <v>1.5023</v>
      </c>
      <c r="R95" s="49">
        <f t="shared" si="9"/>
        <v>1.5146</v>
      </c>
      <c r="S95" s="49" t="s">
        <v>190</v>
      </c>
      <c r="T95" s="49" t="s">
        <v>168</v>
      </c>
      <c r="U95" s="49" t="s">
        <v>191</v>
      </c>
      <c r="V95" s="49" t="s">
        <v>191</v>
      </c>
      <c r="W95" s="49" t="s">
        <v>137</v>
      </c>
    </row>
    <row r="96" spans="1:23">
      <c r="A96" s="49">
        <v>5</v>
      </c>
      <c r="B96" s="49">
        <v>3</v>
      </c>
      <c r="C96" s="49" t="s">
        <v>192</v>
      </c>
      <c r="D96" s="49">
        <v>2.24E-2</v>
      </c>
      <c r="E96" s="49">
        <v>1.5021</v>
      </c>
      <c r="F96" s="49">
        <f t="shared" si="8"/>
        <v>1.5245</v>
      </c>
      <c r="G96" s="49" t="s">
        <v>193</v>
      </c>
      <c r="H96" s="49" t="s">
        <v>168</v>
      </c>
      <c r="I96" s="49" t="s">
        <v>194</v>
      </c>
      <c r="J96" s="49" t="s">
        <v>194</v>
      </c>
      <c r="K96" s="49" t="s">
        <v>137</v>
      </c>
      <c r="L96" s="2"/>
      <c r="M96" s="49">
        <v>10</v>
      </c>
      <c r="N96" s="49">
        <v>3</v>
      </c>
      <c r="O96" s="49" t="s">
        <v>192</v>
      </c>
      <c r="P96" s="49">
        <v>1.3299999999999999E-2</v>
      </c>
      <c r="Q96" s="49">
        <v>1.502</v>
      </c>
      <c r="R96" s="49">
        <f t="shared" si="9"/>
        <v>1.5153</v>
      </c>
      <c r="S96" s="49" t="s">
        <v>193</v>
      </c>
      <c r="T96" s="49" t="s">
        <v>168</v>
      </c>
      <c r="U96" s="49" t="s">
        <v>194</v>
      </c>
      <c r="V96" s="49" t="s">
        <v>194</v>
      </c>
      <c r="W96" s="49" t="s">
        <v>137</v>
      </c>
    </row>
    <row r="97" spans="1:23">
      <c r="A97" s="49">
        <v>5</v>
      </c>
      <c r="B97" s="49">
        <v>4</v>
      </c>
      <c r="C97" s="49" t="s">
        <v>189</v>
      </c>
      <c r="D97" s="49">
        <v>1.9400000000000001E-2</v>
      </c>
      <c r="E97" s="49">
        <v>1.5018</v>
      </c>
      <c r="F97" s="49">
        <f t="shared" si="8"/>
        <v>1.5212</v>
      </c>
      <c r="G97" s="49" t="s">
        <v>190</v>
      </c>
      <c r="H97" s="49" t="s">
        <v>168</v>
      </c>
      <c r="I97" s="49" t="s">
        <v>191</v>
      </c>
      <c r="J97" s="49" t="s">
        <v>191</v>
      </c>
      <c r="K97" s="49" t="s">
        <v>137</v>
      </c>
      <c r="L97" s="2"/>
      <c r="M97" s="49">
        <v>10</v>
      </c>
      <c r="N97" s="49">
        <v>4</v>
      </c>
      <c r="O97" s="49" t="s">
        <v>189</v>
      </c>
      <c r="P97" s="49">
        <v>1.09E-2</v>
      </c>
      <c r="Q97" s="49">
        <v>1.5023</v>
      </c>
      <c r="R97" s="49">
        <f t="shared" si="9"/>
        <v>1.5132</v>
      </c>
      <c r="S97" s="49" t="s">
        <v>190</v>
      </c>
      <c r="T97" s="49" t="s">
        <v>168</v>
      </c>
      <c r="U97" s="49" t="s">
        <v>191</v>
      </c>
      <c r="V97" s="49" t="s">
        <v>191</v>
      </c>
      <c r="W97" s="49" t="s">
        <v>137</v>
      </c>
    </row>
    <row r="98" spans="1:23">
      <c r="A98" s="49">
        <v>5</v>
      </c>
      <c r="B98" s="49">
        <v>4</v>
      </c>
      <c r="C98" s="49" t="s">
        <v>192</v>
      </c>
      <c r="D98" s="49">
        <v>2.0299999999999999E-2</v>
      </c>
      <c r="E98" s="49">
        <v>1.5041</v>
      </c>
      <c r="F98" s="49">
        <f t="shared" si="8"/>
        <v>1.5244</v>
      </c>
      <c r="G98" s="49" t="s">
        <v>193</v>
      </c>
      <c r="H98" s="49" t="s">
        <v>168</v>
      </c>
      <c r="I98" s="49" t="s">
        <v>194</v>
      </c>
      <c r="J98" s="49" t="s">
        <v>194</v>
      </c>
      <c r="K98" s="49" t="s">
        <v>137</v>
      </c>
      <c r="L98" s="2"/>
      <c r="M98" s="49">
        <v>10</v>
      </c>
      <c r="N98" s="49">
        <v>4</v>
      </c>
      <c r="O98" s="49" t="s">
        <v>192</v>
      </c>
      <c r="P98" s="49">
        <v>1.2800000000000001E-2</v>
      </c>
      <c r="Q98" s="49">
        <v>1.5008999999999999</v>
      </c>
      <c r="R98" s="49">
        <f t="shared" si="9"/>
        <v>1.5137</v>
      </c>
      <c r="S98" s="49" t="s">
        <v>193</v>
      </c>
      <c r="T98" s="49" t="s">
        <v>168</v>
      </c>
      <c r="U98" s="49" t="s">
        <v>194</v>
      </c>
      <c r="V98" s="49" t="s">
        <v>194</v>
      </c>
      <c r="W98" s="49" t="s">
        <v>137</v>
      </c>
    </row>
    <row r="99" spans="1:23">
      <c r="A99" s="49">
        <v>5</v>
      </c>
      <c r="B99" s="49">
        <v>5</v>
      </c>
      <c r="C99" s="49" t="s">
        <v>189</v>
      </c>
      <c r="D99" s="49">
        <v>3.3799999999999997E-2</v>
      </c>
      <c r="E99" s="49">
        <v>1.502</v>
      </c>
      <c r="F99" s="49">
        <f t="shared" si="8"/>
        <v>1.5358</v>
      </c>
      <c r="G99" s="49" t="s">
        <v>190</v>
      </c>
      <c r="H99" s="49" t="s">
        <v>168</v>
      </c>
      <c r="I99" s="49" t="s">
        <v>191</v>
      </c>
      <c r="J99" s="49" t="s">
        <v>191</v>
      </c>
      <c r="K99" s="49" t="s">
        <v>137</v>
      </c>
      <c r="L99" s="2"/>
      <c r="M99" s="49">
        <v>10</v>
      </c>
      <c r="N99" s="49">
        <v>5</v>
      </c>
      <c r="O99" s="49" t="s">
        <v>189</v>
      </c>
      <c r="P99" s="49">
        <v>1.24E-2</v>
      </c>
      <c r="Q99" s="49">
        <v>1.5004999999999999</v>
      </c>
      <c r="R99" s="49">
        <f t="shared" si="9"/>
        <v>1.5129</v>
      </c>
      <c r="S99" s="49" t="s">
        <v>190</v>
      </c>
      <c r="T99" s="49" t="s">
        <v>168</v>
      </c>
      <c r="U99" s="49" t="s">
        <v>191</v>
      </c>
      <c r="V99" s="49" t="s">
        <v>191</v>
      </c>
      <c r="W99" s="49" t="s">
        <v>137</v>
      </c>
    </row>
    <row r="100" spans="1:23">
      <c r="A100" s="49">
        <v>5</v>
      </c>
      <c r="B100" s="49">
        <v>5</v>
      </c>
      <c r="C100" s="49" t="s">
        <v>192</v>
      </c>
      <c r="D100" s="49">
        <v>1.9800000000000002E-2</v>
      </c>
      <c r="E100" s="49">
        <v>1.502</v>
      </c>
      <c r="F100" s="49">
        <f t="shared" si="8"/>
        <v>1.5218</v>
      </c>
      <c r="G100" s="49" t="s">
        <v>193</v>
      </c>
      <c r="H100" s="49" t="s">
        <v>168</v>
      </c>
      <c r="I100" s="49" t="s">
        <v>194</v>
      </c>
      <c r="J100" s="49" t="s">
        <v>194</v>
      </c>
      <c r="K100" s="49" t="s">
        <v>137</v>
      </c>
      <c r="L100" s="2"/>
      <c r="M100" s="49">
        <v>10</v>
      </c>
      <c r="N100" s="49">
        <v>5</v>
      </c>
      <c r="O100" s="49" t="s">
        <v>192</v>
      </c>
      <c r="P100" s="49">
        <v>1.1999999999999999E-3</v>
      </c>
      <c r="Q100" s="49">
        <v>0.77429999999999999</v>
      </c>
      <c r="R100" s="49">
        <f t="shared" si="9"/>
        <v>0.7755</v>
      </c>
      <c r="S100" s="49" t="s">
        <v>193</v>
      </c>
      <c r="T100" s="49" t="s">
        <v>168</v>
      </c>
      <c r="U100" s="49" t="s">
        <v>194</v>
      </c>
      <c r="V100" s="49" t="s">
        <v>194</v>
      </c>
      <c r="W100" s="49" t="s">
        <v>137</v>
      </c>
    </row>
    <row r="101" spans="1:23">
      <c r="A101" s="49">
        <v>5</v>
      </c>
      <c r="B101" s="49">
        <v>6</v>
      </c>
      <c r="C101" s="49" t="s">
        <v>189</v>
      </c>
      <c r="D101" s="49">
        <v>2.01E-2</v>
      </c>
      <c r="E101" s="49">
        <v>1.5021</v>
      </c>
      <c r="F101" s="49">
        <f t="shared" si="8"/>
        <v>1.5222</v>
      </c>
      <c r="G101" s="49" t="s">
        <v>190</v>
      </c>
      <c r="H101" s="49" t="s">
        <v>168</v>
      </c>
      <c r="I101" s="49" t="s">
        <v>191</v>
      </c>
      <c r="J101" s="49" t="s">
        <v>191</v>
      </c>
      <c r="K101" s="49" t="s">
        <v>137</v>
      </c>
      <c r="L101" s="2"/>
      <c r="M101" s="49">
        <v>10</v>
      </c>
      <c r="N101" s="49">
        <v>6</v>
      </c>
      <c r="O101" s="49" t="s">
        <v>189</v>
      </c>
      <c r="P101" s="49">
        <v>2.1499999999999998E-2</v>
      </c>
      <c r="Q101" s="49">
        <v>1.5024999999999999</v>
      </c>
      <c r="R101" s="49">
        <f t="shared" si="9"/>
        <v>1.524</v>
      </c>
      <c r="S101" s="49" t="s">
        <v>190</v>
      </c>
      <c r="T101" s="49" t="s">
        <v>168</v>
      </c>
      <c r="U101" s="49" t="s">
        <v>191</v>
      </c>
      <c r="V101" s="49" t="s">
        <v>191</v>
      </c>
      <c r="W101" s="49" t="s">
        <v>137</v>
      </c>
    </row>
    <row r="102" spans="1:23">
      <c r="A102" s="49">
        <v>5</v>
      </c>
      <c r="B102" s="49">
        <v>6</v>
      </c>
      <c r="C102" s="49" t="s">
        <v>192</v>
      </c>
      <c r="D102" s="49">
        <v>2.2499999999999999E-2</v>
      </c>
      <c r="E102" s="49">
        <v>1.5046999999999999</v>
      </c>
      <c r="F102" s="49">
        <f t="shared" si="8"/>
        <v>1.5272</v>
      </c>
      <c r="G102" s="49" t="s">
        <v>193</v>
      </c>
      <c r="H102" s="49" t="s">
        <v>168</v>
      </c>
      <c r="I102" s="49" t="s">
        <v>194</v>
      </c>
      <c r="J102" s="49" t="s">
        <v>194</v>
      </c>
      <c r="K102" s="49" t="s">
        <v>137</v>
      </c>
      <c r="L102" s="2"/>
      <c r="M102" s="49">
        <v>10</v>
      </c>
      <c r="N102" s="49">
        <v>6</v>
      </c>
      <c r="O102" s="49" t="s">
        <v>192</v>
      </c>
      <c r="P102" s="49">
        <v>2.9499999999999998E-2</v>
      </c>
      <c r="Q102" s="49">
        <v>1.5025999999999999</v>
      </c>
      <c r="R102" s="49">
        <f t="shared" si="9"/>
        <v>1.5321</v>
      </c>
      <c r="S102" s="49" t="s">
        <v>193</v>
      </c>
      <c r="T102" s="49" t="s">
        <v>168</v>
      </c>
      <c r="U102" s="49" t="s">
        <v>194</v>
      </c>
      <c r="V102" s="49" t="s">
        <v>194</v>
      </c>
      <c r="W102" s="49" t="s">
        <v>137</v>
      </c>
    </row>
    <row r="103" spans="1:23">
      <c r="A103" s="49">
        <v>5</v>
      </c>
      <c r="B103" s="49">
        <v>7</v>
      </c>
      <c r="C103" s="49" t="s">
        <v>189</v>
      </c>
      <c r="D103" s="49">
        <v>2.06E-2</v>
      </c>
      <c r="E103" s="49">
        <v>1.5023</v>
      </c>
      <c r="F103" s="49">
        <f t="shared" si="8"/>
        <v>1.5229</v>
      </c>
      <c r="G103" s="49" t="s">
        <v>190</v>
      </c>
      <c r="H103" s="49" t="s">
        <v>168</v>
      </c>
      <c r="I103" s="49" t="s">
        <v>191</v>
      </c>
      <c r="J103" s="49" t="s">
        <v>191</v>
      </c>
      <c r="K103" s="49" t="s">
        <v>137</v>
      </c>
      <c r="L103" s="2"/>
      <c r="M103" s="49">
        <v>10</v>
      </c>
      <c r="N103" s="49">
        <v>7</v>
      </c>
      <c r="O103" s="49" t="s">
        <v>189</v>
      </c>
      <c r="P103" s="49">
        <v>1.0999999999999999E-2</v>
      </c>
      <c r="Q103" s="49">
        <v>1.5018</v>
      </c>
      <c r="R103" s="49">
        <f t="shared" si="9"/>
        <v>1.5128</v>
      </c>
      <c r="S103" s="49" t="s">
        <v>190</v>
      </c>
      <c r="T103" s="49" t="s">
        <v>168</v>
      </c>
      <c r="U103" s="49" t="s">
        <v>191</v>
      </c>
      <c r="V103" s="49" t="s">
        <v>191</v>
      </c>
      <c r="W103" s="49" t="s">
        <v>137</v>
      </c>
    </row>
    <row r="104" spans="1:23">
      <c r="A104" s="49">
        <v>5</v>
      </c>
      <c r="B104" s="49">
        <v>7</v>
      </c>
      <c r="C104" s="49" t="s">
        <v>192</v>
      </c>
      <c r="D104" s="49">
        <v>2.2200000000000001E-2</v>
      </c>
      <c r="E104" s="49">
        <v>1.5024</v>
      </c>
      <c r="F104" s="49">
        <f t="shared" si="8"/>
        <v>1.5246</v>
      </c>
      <c r="G104" s="49" t="s">
        <v>193</v>
      </c>
      <c r="H104" s="49" t="s">
        <v>168</v>
      </c>
      <c r="I104" s="49" t="s">
        <v>194</v>
      </c>
      <c r="J104" s="49" t="s">
        <v>194</v>
      </c>
      <c r="K104" s="49" t="s">
        <v>137</v>
      </c>
      <c r="L104" s="2"/>
      <c r="M104" s="49">
        <v>10</v>
      </c>
      <c r="N104" s="49">
        <v>7</v>
      </c>
      <c r="O104" s="49" t="s">
        <v>192</v>
      </c>
      <c r="P104" s="49">
        <v>2.3199999999999998E-2</v>
      </c>
      <c r="Q104" s="49">
        <v>1.5019</v>
      </c>
      <c r="R104" s="49">
        <f t="shared" si="9"/>
        <v>1.5251</v>
      </c>
      <c r="S104" s="49" t="s">
        <v>193</v>
      </c>
      <c r="T104" s="49" t="s">
        <v>168</v>
      </c>
      <c r="U104" s="49" t="s">
        <v>194</v>
      </c>
      <c r="V104" s="49" t="s">
        <v>194</v>
      </c>
      <c r="W104" s="49" t="s">
        <v>137</v>
      </c>
    </row>
    <row r="105" spans="1:23">
      <c r="A105" s="49">
        <v>5</v>
      </c>
      <c r="B105" s="49">
        <v>8</v>
      </c>
      <c r="C105" s="49" t="s">
        <v>189</v>
      </c>
      <c r="D105" s="49">
        <v>1.18E-2</v>
      </c>
      <c r="E105" s="49">
        <v>1.5027999999999999</v>
      </c>
      <c r="F105" s="49">
        <f t="shared" si="8"/>
        <v>1.5146</v>
      </c>
      <c r="G105" s="49" t="s">
        <v>190</v>
      </c>
      <c r="H105" s="49" t="s">
        <v>168</v>
      </c>
      <c r="I105" s="49" t="s">
        <v>191</v>
      </c>
      <c r="J105" s="49" t="s">
        <v>191</v>
      </c>
      <c r="K105" s="49" t="s">
        <v>137</v>
      </c>
      <c r="L105" s="2"/>
      <c r="M105" s="49">
        <v>10</v>
      </c>
      <c r="N105" s="49">
        <v>8</v>
      </c>
      <c r="O105" s="49" t="s">
        <v>189</v>
      </c>
      <c r="P105" s="49">
        <v>1.24E-2</v>
      </c>
      <c r="Q105" s="49">
        <v>1.5004999999999999</v>
      </c>
      <c r="R105" s="49">
        <f t="shared" si="9"/>
        <v>1.5129</v>
      </c>
      <c r="S105" s="49" t="s">
        <v>190</v>
      </c>
      <c r="T105" s="49" t="s">
        <v>168</v>
      </c>
      <c r="U105" s="49" t="s">
        <v>191</v>
      </c>
      <c r="V105" s="49" t="s">
        <v>191</v>
      </c>
      <c r="W105" s="49" t="s">
        <v>137</v>
      </c>
    </row>
    <row r="106" spans="1:23">
      <c r="A106" s="49">
        <v>5</v>
      </c>
      <c r="B106" s="49">
        <v>8</v>
      </c>
      <c r="C106" s="49" t="s">
        <v>192</v>
      </c>
      <c r="D106" s="49">
        <v>1.0800000000000001E-2</v>
      </c>
      <c r="E106" s="49">
        <v>1.5043</v>
      </c>
      <c r="F106" s="49">
        <f t="shared" si="8"/>
        <v>1.5151</v>
      </c>
      <c r="G106" s="49" t="s">
        <v>193</v>
      </c>
      <c r="H106" s="49" t="s">
        <v>168</v>
      </c>
      <c r="I106" s="49" t="s">
        <v>194</v>
      </c>
      <c r="J106" s="49" t="s">
        <v>194</v>
      </c>
      <c r="K106" s="49" t="s">
        <v>137</v>
      </c>
      <c r="L106" s="2"/>
      <c r="M106" s="49">
        <v>10</v>
      </c>
      <c r="N106" s="49">
        <v>8</v>
      </c>
      <c r="O106" s="49" t="s">
        <v>192</v>
      </c>
      <c r="P106" s="49">
        <v>2.29E-2</v>
      </c>
      <c r="Q106" s="49">
        <v>1.5027999999999999</v>
      </c>
      <c r="R106" s="49">
        <f t="shared" si="9"/>
        <v>1.5257</v>
      </c>
      <c r="S106" s="49" t="s">
        <v>193</v>
      </c>
      <c r="T106" s="49" t="s">
        <v>168</v>
      </c>
      <c r="U106" s="49" t="s">
        <v>194</v>
      </c>
      <c r="V106" s="49" t="s">
        <v>194</v>
      </c>
      <c r="W106" s="49" t="s">
        <v>137</v>
      </c>
    </row>
    <row r="107" spans="1:23">
      <c r="A107" s="49">
        <v>5</v>
      </c>
      <c r="B107" s="49">
        <v>9</v>
      </c>
      <c r="C107" s="49" t="s">
        <v>189</v>
      </c>
      <c r="D107" s="49">
        <v>1.06E-2</v>
      </c>
      <c r="E107" s="49">
        <v>1.5022</v>
      </c>
      <c r="F107" s="49">
        <f t="shared" si="8"/>
        <v>1.5128</v>
      </c>
      <c r="G107" s="49" t="s">
        <v>190</v>
      </c>
      <c r="H107" s="49" t="s">
        <v>168</v>
      </c>
      <c r="I107" s="49" t="s">
        <v>191</v>
      </c>
      <c r="J107" s="49" t="s">
        <v>191</v>
      </c>
      <c r="K107" s="49" t="s">
        <v>137</v>
      </c>
      <c r="L107" s="2"/>
      <c r="M107" s="49">
        <v>10</v>
      </c>
      <c r="N107" s="49">
        <v>9</v>
      </c>
      <c r="O107" s="49" t="s">
        <v>189</v>
      </c>
      <c r="P107" s="49">
        <v>1.23E-2</v>
      </c>
      <c r="Q107" s="49">
        <v>1.5023</v>
      </c>
      <c r="R107" s="49">
        <f t="shared" si="9"/>
        <v>1.5146</v>
      </c>
      <c r="S107" s="49" t="s">
        <v>190</v>
      </c>
      <c r="T107" s="49" t="s">
        <v>168</v>
      </c>
      <c r="U107" s="49" t="s">
        <v>191</v>
      </c>
      <c r="V107" s="49" t="s">
        <v>191</v>
      </c>
      <c r="W107" s="49" t="s">
        <v>137</v>
      </c>
    </row>
    <row r="108" spans="1:23">
      <c r="A108" s="49">
        <v>5</v>
      </c>
      <c r="B108" s="49">
        <v>9</v>
      </c>
      <c r="C108" s="49" t="s">
        <v>192</v>
      </c>
      <c r="D108" s="49">
        <v>2.81E-2</v>
      </c>
      <c r="E108" s="49">
        <v>1.5045999999999999</v>
      </c>
      <c r="F108" s="49">
        <f t="shared" si="8"/>
        <v>1.5327</v>
      </c>
      <c r="G108" s="49" t="s">
        <v>193</v>
      </c>
      <c r="H108" s="49" t="s">
        <v>168</v>
      </c>
      <c r="I108" s="49" t="s">
        <v>194</v>
      </c>
      <c r="J108" s="49" t="s">
        <v>194</v>
      </c>
      <c r="K108" s="49" t="s">
        <v>137</v>
      </c>
      <c r="L108" s="2"/>
      <c r="M108" s="49">
        <v>10</v>
      </c>
      <c r="N108" s="49">
        <v>9</v>
      </c>
      <c r="O108" s="49" t="s">
        <v>192</v>
      </c>
      <c r="P108" s="49">
        <v>2.29E-2</v>
      </c>
      <c r="Q108" s="49">
        <v>1.502</v>
      </c>
      <c r="R108" s="49">
        <f t="shared" si="9"/>
        <v>1.5249</v>
      </c>
      <c r="S108" s="49" t="s">
        <v>193</v>
      </c>
      <c r="T108" s="49" t="s">
        <v>168</v>
      </c>
      <c r="U108" s="49" t="s">
        <v>194</v>
      </c>
      <c r="V108" s="49" t="s">
        <v>194</v>
      </c>
      <c r="W108" s="49" t="s">
        <v>137</v>
      </c>
    </row>
    <row r="109" spans="1:23">
      <c r="A109" s="49">
        <v>5</v>
      </c>
      <c r="B109" s="49">
        <v>10</v>
      </c>
      <c r="C109" s="49" t="s">
        <v>189</v>
      </c>
      <c r="D109" s="49">
        <v>0.1205</v>
      </c>
      <c r="E109" s="49">
        <v>1.5023</v>
      </c>
      <c r="F109" s="49">
        <f t="shared" si="8"/>
        <v>1.6228</v>
      </c>
      <c r="G109" s="49" t="s">
        <v>190</v>
      </c>
      <c r="H109" s="49" t="s">
        <v>168</v>
      </c>
      <c r="I109" s="49" t="s">
        <v>191</v>
      </c>
      <c r="J109" s="49" t="s">
        <v>191</v>
      </c>
      <c r="K109" s="49" t="s">
        <v>137</v>
      </c>
      <c r="L109" s="2"/>
      <c r="M109" s="49">
        <v>10</v>
      </c>
      <c r="N109" s="49">
        <v>10</v>
      </c>
      <c r="O109" s="49" t="s">
        <v>189</v>
      </c>
      <c r="P109" s="49">
        <v>1.9599999999999999E-2</v>
      </c>
      <c r="Q109" s="49">
        <v>1.5027999999999999</v>
      </c>
      <c r="R109" s="49">
        <f t="shared" si="9"/>
        <v>1.5224</v>
      </c>
      <c r="S109" s="49" t="s">
        <v>190</v>
      </c>
      <c r="T109" s="49" t="s">
        <v>168</v>
      </c>
      <c r="U109" s="49" t="s">
        <v>191</v>
      </c>
      <c r="V109" s="49" t="s">
        <v>191</v>
      </c>
      <c r="W109" s="49" t="s">
        <v>137</v>
      </c>
    </row>
    <row r="110" spans="1:23">
      <c r="A110" s="49">
        <v>5</v>
      </c>
      <c r="B110" s="49">
        <v>10</v>
      </c>
      <c r="C110" s="49" t="s">
        <v>192</v>
      </c>
      <c r="D110" s="49">
        <v>1.11E-2</v>
      </c>
      <c r="E110" s="49">
        <v>1.5024999999999999</v>
      </c>
      <c r="F110" s="49">
        <f t="shared" si="8"/>
        <v>1.5136</v>
      </c>
      <c r="G110" s="49" t="s">
        <v>193</v>
      </c>
      <c r="H110" s="49" t="s">
        <v>168</v>
      </c>
      <c r="I110" s="49" t="s">
        <v>194</v>
      </c>
      <c r="J110" s="49" t="s">
        <v>194</v>
      </c>
      <c r="K110" s="49" t="s">
        <v>137</v>
      </c>
      <c r="L110" s="2"/>
      <c r="M110" s="49">
        <v>10</v>
      </c>
      <c r="N110" s="49">
        <v>10</v>
      </c>
      <c r="O110" s="49" t="s">
        <v>192</v>
      </c>
      <c r="P110" s="49">
        <v>2.9499999999999998E-2</v>
      </c>
      <c r="Q110" s="49">
        <v>1.5025999999999999</v>
      </c>
      <c r="R110" s="49">
        <f t="shared" si="9"/>
        <v>1.5321</v>
      </c>
      <c r="S110" s="49" t="s">
        <v>193</v>
      </c>
      <c r="T110" s="49" t="s">
        <v>168</v>
      </c>
      <c r="U110" s="49" t="s">
        <v>194</v>
      </c>
      <c r="V110" s="49" t="s">
        <v>194</v>
      </c>
      <c r="W110" s="49" t="s">
        <v>137</v>
      </c>
    </row>
    <row r="111" spans="1:23">
      <c r="A111" s="2"/>
      <c r="B111" s="2"/>
      <c r="C111" s="15" t="s">
        <v>138</v>
      </c>
      <c r="D111" s="15">
        <f>AVERAGE(D91:D110)</f>
        <v>0.0241</v>
      </c>
      <c r="E111" s="15">
        <f>AVERAGE(E91:E110)</f>
        <v>1.502775</v>
      </c>
      <c r="F111" s="15">
        <f>AVERAGE(F91:F110)</f>
        <v>1.526875</v>
      </c>
      <c r="G111" s="2"/>
      <c r="H111" s="2"/>
      <c r="I111" s="2"/>
      <c r="J111" s="2"/>
      <c r="K111" s="2"/>
      <c r="L111" s="2"/>
      <c r="M111" s="2"/>
      <c r="N111" s="2"/>
      <c r="O111" s="15" t="s">
        <v>138</v>
      </c>
      <c r="P111" s="15">
        <f>AVERAGE(P91:P110)</f>
        <v>0.018175</v>
      </c>
      <c r="Q111" s="15">
        <f>AVERAGE(Q91:Q110)</f>
        <v>1.465795</v>
      </c>
      <c r="R111" s="15">
        <f>AVERAGE(R91:R110)</f>
        <v>1.48397</v>
      </c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</sheetData>
  <mergeCells count="1">
    <mergeCell ref="A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5"/>
  <sheetViews>
    <sheetView workbookViewId="0">
      <selection sqref="A1:A2"/>
    </sheetView>
  </sheetViews>
  <sheetFormatPr defaultRowHeight="13.8"/>
  <cols>
    <col min="2" max="2" width="7.8984375" customWidth="1"/>
    <col min="3" max="3" width="18.69921875" customWidth="1"/>
    <col min="4" max="4" width="19.09765625" customWidth="1"/>
    <col min="5" max="5" width="19.69921875" customWidth="1"/>
    <col min="6" max="6" width="28.69921875" customWidth="1"/>
    <col min="7" max="7" width="19.19921875" customWidth="1"/>
    <col min="8" max="8" width="18.3984375" customWidth="1"/>
    <col min="9" max="9" width="19.19921875" customWidth="1"/>
    <col min="10" max="10" width="18.3984375" customWidth="1"/>
    <col min="11" max="11" width="19.19921875" customWidth="1"/>
    <col min="12" max="12" width="18.3984375" customWidth="1"/>
    <col min="13" max="13" width="19.69921875" customWidth="1"/>
    <col min="14" max="15" width="16.5" customWidth="1"/>
    <col min="16" max="16" width="9.19921875" customWidth="1"/>
    <col min="20" max="20" width="22.69921875" customWidth="1"/>
    <col min="21" max="21" width="19.09765625" customWidth="1"/>
    <col min="22" max="22" width="19.69921875" customWidth="1"/>
    <col min="23" max="23" width="29.09765625" customWidth="1"/>
    <col min="24" max="24" width="9.09765625" customWidth="1"/>
    <col min="25" max="25" width="16.5" customWidth="1"/>
    <col min="26" max="26" width="19.69921875" customWidth="1"/>
    <col min="27" max="27" width="16.5" customWidth="1"/>
    <col min="28" max="28" width="12.59765625" customWidth="1"/>
    <col min="30" max="30" width="19.69921875" customWidth="1"/>
    <col min="31" max="32" width="16.5" customWidth="1"/>
  </cols>
  <sheetData>
    <row r="1" spans="1:33">
      <c r="A1" s="128" t="s">
        <v>9</v>
      </c>
      <c r="B1" s="128" t="s">
        <v>126</v>
      </c>
      <c r="C1" s="128" t="s">
        <v>195</v>
      </c>
      <c r="D1" s="128" t="s">
        <v>196</v>
      </c>
      <c r="E1" s="128" t="s">
        <v>197</v>
      </c>
      <c r="F1" s="128" t="s">
        <v>198</v>
      </c>
      <c r="G1" s="128" t="s">
        <v>199</v>
      </c>
      <c r="H1" s="106"/>
      <c r="I1" s="128" t="s">
        <v>200</v>
      </c>
      <c r="J1" s="106"/>
      <c r="K1" s="128" t="s">
        <v>201</v>
      </c>
      <c r="L1" s="106"/>
      <c r="M1" s="128" t="s">
        <v>202</v>
      </c>
      <c r="N1" s="128" t="s">
        <v>13</v>
      </c>
      <c r="O1" s="128" t="s">
        <v>133</v>
      </c>
      <c r="P1" s="128" t="s">
        <v>134</v>
      </c>
      <c r="Q1" s="2"/>
      <c r="R1" s="128" t="s">
        <v>9</v>
      </c>
      <c r="S1" s="128" t="s">
        <v>126</v>
      </c>
      <c r="T1" s="128" t="s">
        <v>195</v>
      </c>
      <c r="U1" s="128" t="s">
        <v>196</v>
      </c>
      <c r="V1" s="128" t="s">
        <v>197</v>
      </c>
      <c r="W1" s="128" t="s">
        <v>198</v>
      </c>
      <c r="X1" s="128" t="s">
        <v>199</v>
      </c>
      <c r="Y1" s="106"/>
      <c r="Z1" s="128" t="s">
        <v>200</v>
      </c>
      <c r="AA1" s="106"/>
      <c r="AB1" s="128" t="s">
        <v>201</v>
      </c>
      <c r="AC1" s="106"/>
      <c r="AD1" s="128" t="s">
        <v>202</v>
      </c>
      <c r="AE1" s="128" t="s">
        <v>13</v>
      </c>
      <c r="AF1" s="128" t="s">
        <v>133</v>
      </c>
      <c r="AG1" s="128" t="s">
        <v>134</v>
      </c>
    </row>
    <row r="2" spans="1:33">
      <c r="A2" s="111"/>
      <c r="B2" s="111"/>
      <c r="C2" s="111"/>
      <c r="D2" s="111"/>
      <c r="E2" s="111"/>
      <c r="F2" s="111"/>
      <c r="G2" s="18" t="s">
        <v>165</v>
      </c>
      <c r="H2" s="51" t="s">
        <v>164</v>
      </c>
      <c r="I2" s="18" t="s">
        <v>165</v>
      </c>
      <c r="J2" s="51" t="s">
        <v>164</v>
      </c>
      <c r="K2" s="18" t="s">
        <v>165</v>
      </c>
      <c r="L2" s="51" t="s">
        <v>164</v>
      </c>
      <c r="M2" s="111"/>
      <c r="N2" s="111"/>
      <c r="O2" s="111"/>
      <c r="P2" s="111"/>
      <c r="Q2" s="2"/>
      <c r="R2" s="111"/>
      <c r="S2" s="111"/>
      <c r="T2" s="111"/>
      <c r="U2" s="111"/>
      <c r="V2" s="111"/>
      <c r="W2" s="111"/>
      <c r="X2" s="18" t="s">
        <v>165</v>
      </c>
      <c r="Y2" s="51" t="s">
        <v>164</v>
      </c>
      <c r="Z2" s="18" t="s">
        <v>165</v>
      </c>
      <c r="AA2" s="51" t="s">
        <v>164</v>
      </c>
      <c r="AB2" s="18" t="s">
        <v>165</v>
      </c>
      <c r="AC2" s="51" t="s">
        <v>164</v>
      </c>
      <c r="AD2" s="111"/>
      <c r="AE2" s="111"/>
      <c r="AF2" s="111"/>
      <c r="AG2" s="111"/>
    </row>
    <row r="3" spans="1:33">
      <c r="A3" s="49">
        <v>1</v>
      </c>
      <c r="B3" s="49">
        <v>1</v>
      </c>
      <c r="C3" s="49" t="s">
        <v>135</v>
      </c>
      <c r="D3" s="49" t="s">
        <v>135</v>
      </c>
      <c r="E3" s="49" t="s">
        <v>135</v>
      </c>
      <c r="F3" s="49" t="s">
        <v>135</v>
      </c>
      <c r="G3" s="49">
        <v>1.2E-2</v>
      </c>
      <c r="H3" s="49">
        <v>1.11E-2</v>
      </c>
      <c r="I3" s="49">
        <v>7.0720999999999998</v>
      </c>
      <c r="J3" s="49">
        <v>7.4333999999999998</v>
      </c>
      <c r="K3" s="49">
        <f t="shared" ref="K3:K12" si="0">G3+I3</f>
        <v>7.0841</v>
      </c>
      <c r="L3" s="49">
        <f t="shared" ref="L3:L12" si="1">H3+J3</f>
        <v>7.4445</v>
      </c>
      <c r="M3" s="49" t="s">
        <v>135</v>
      </c>
      <c r="N3" s="49" t="s">
        <v>203</v>
      </c>
      <c r="O3" s="49" t="s">
        <v>203</v>
      </c>
      <c r="P3" s="49" t="s">
        <v>137</v>
      </c>
      <c r="Q3" s="2"/>
      <c r="R3" s="49">
        <v>6</v>
      </c>
      <c r="S3" s="49">
        <v>1</v>
      </c>
      <c r="T3" s="49" t="s">
        <v>135</v>
      </c>
      <c r="U3" s="49" t="s">
        <v>135</v>
      </c>
      <c r="V3" s="49" t="s">
        <v>135</v>
      </c>
      <c r="W3" s="49" t="s">
        <v>135</v>
      </c>
      <c r="X3" s="49">
        <v>1.8200000000000001E-2</v>
      </c>
      <c r="Y3" s="49">
        <v>2.2700000000000001E-2</v>
      </c>
      <c r="Z3" s="49">
        <v>7.6642999999999999</v>
      </c>
      <c r="AA3" s="49">
        <v>8.2471999999999994</v>
      </c>
      <c r="AB3" s="49">
        <f t="shared" ref="AB3:AB12" si="2">X3+Z3</f>
        <v>7.6825</v>
      </c>
      <c r="AC3" s="49">
        <f t="shared" ref="AC3:AC12" si="3">Y3+AA3</f>
        <v>8.2699</v>
      </c>
      <c r="AD3" s="49" t="s">
        <v>135</v>
      </c>
      <c r="AE3" s="49" t="s">
        <v>203</v>
      </c>
      <c r="AF3" s="49" t="s">
        <v>203</v>
      </c>
      <c r="AG3" s="49" t="s">
        <v>137</v>
      </c>
    </row>
    <row r="4" spans="1:33">
      <c r="A4" s="49">
        <v>1</v>
      </c>
      <c r="B4" s="49">
        <v>2</v>
      </c>
      <c r="C4" s="49" t="s">
        <v>135</v>
      </c>
      <c r="D4" s="49" t="s">
        <v>135</v>
      </c>
      <c r="E4" s="49" t="s">
        <v>135</v>
      </c>
      <c r="F4" s="49" t="s">
        <v>135</v>
      </c>
      <c r="G4" s="49">
        <v>2.0199999999999999E-2</v>
      </c>
      <c r="H4" s="49">
        <v>8.8000000000000005E-3</v>
      </c>
      <c r="I4" s="49">
        <v>7.0843999999999996</v>
      </c>
      <c r="J4" s="49">
        <v>7.444</v>
      </c>
      <c r="K4" s="49">
        <f t="shared" si="0"/>
        <v>7.1046</v>
      </c>
      <c r="L4" s="49">
        <f t="shared" si="1"/>
        <v>7.4528</v>
      </c>
      <c r="M4" s="49" t="s">
        <v>135</v>
      </c>
      <c r="N4" s="49" t="s">
        <v>203</v>
      </c>
      <c r="O4" s="49" t="s">
        <v>203</v>
      </c>
      <c r="P4" s="49" t="s">
        <v>137</v>
      </c>
      <c r="Q4" s="2"/>
      <c r="R4" s="49">
        <v>6</v>
      </c>
      <c r="S4" s="49">
        <v>2</v>
      </c>
      <c r="T4" s="49" t="s">
        <v>135</v>
      </c>
      <c r="U4" s="49" t="s">
        <v>135</v>
      </c>
      <c r="V4" s="49" t="s">
        <v>135</v>
      </c>
      <c r="W4" s="49" t="s">
        <v>135</v>
      </c>
      <c r="X4" s="49">
        <v>2.0299999999999999E-2</v>
      </c>
      <c r="Y4" s="49">
        <v>1.54E-2</v>
      </c>
      <c r="Z4" s="49">
        <v>7.0664999999999996</v>
      </c>
      <c r="AA4" s="49">
        <v>8.2764000000000006</v>
      </c>
      <c r="AB4" s="49">
        <f t="shared" si="2"/>
        <v>7.0868</v>
      </c>
      <c r="AC4" s="49">
        <f t="shared" si="3"/>
        <v>8.2918</v>
      </c>
      <c r="AD4" s="49" t="s">
        <v>135</v>
      </c>
      <c r="AE4" s="49" t="s">
        <v>203</v>
      </c>
      <c r="AF4" s="49" t="s">
        <v>203</v>
      </c>
      <c r="AG4" s="49" t="s">
        <v>137</v>
      </c>
    </row>
    <row r="5" spans="1:33">
      <c r="A5" s="49">
        <v>1</v>
      </c>
      <c r="B5" s="49">
        <v>3</v>
      </c>
      <c r="C5" s="49" t="s">
        <v>135</v>
      </c>
      <c r="D5" s="49" t="s">
        <v>135</v>
      </c>
      <c r="E5" s="49" t="s">
        <v>135</v>
      </c>
      <c r="F5" s="49" t="s">
        <v>135</v>
      </c>
      <c r="G5" s="49">
        <v>1.4576</v>
      </c>
      <c r="H5" s="49">
        <v>2.0299999999999999E-2</v>
      </c>
      <c r="I5" s="49">
        <v>5.5254000000000003</v>
      </c>
      <c r="J5" s="49">
        <v>7.4493999999999998</v>
      </c>
      <c r="K5" s="49">
        <f t="shared" si="0"/>
        <v>6.983</v>
      </c>
      <c r="L5" s="49">
        <f t="shared" si="1"/>
        <v>7.4697</v>
      </c>
      <c r="M5" s="49" t="s">
        <v>135</v>
      </c>
      <c r="N5" s="49" t="s">
        <v>203</v>
      </c>
      <c r="O5" s="49" t="s">
        <v>203</v>
      </c>
      <c r="P5" s="49" t="s">
        <v>137</v>
      </c>
      <c r="Q5" s="2"/>
      <c r="R5" s="49">
        <v>6</v>
      </c>
      <c r="S5" s="49">
        <v>3</v>
      </c>
      <c r="T5" s="49" t="s">
        <v>135</v>
      </c>
      <c r="U5" s="49" t="s">
        <v>135</v>
      </c>
      <c r="V5" s="49" t="s">
        <v>135</v>
      </c>
      <c r="W5" s="49" t="s">
        <v>135</v>
      </c>
      <c r="X5" s="49">
        <v>1.8599999999999998E-2</v>
      </c>
      <c r="Y5" s="49">
        <v>2.24E-2</v>
      </c>
      <c r="Z5" s="49">
        <v>7.0548000000000002</v>
      </c>
      <c r="AA5" s="49">
        <v>8.3260000000000005</v>
      </c>
      <c r="AB5" s="49">
        <f t="shared" si="2"/>
        <v>7.0734</v>
      </c>
      <c r="AC5" s="49">
        <f t="shared" si="3"/>
        <v>8.3484</v>
      </c>
      <c r="AD5" s="49" t="s">
        <v>135</v>
      </c>
      <c r="AE5" s="49" t="s">
        <v>203</v>
      </c>
      <c r="AF5" s="49" t="s">
        <v>203</v>
      </c>
      <c r="AG5" s="49" t="s">
        <v>137</v>
      </c>
    </row>
    <row r="6" spans="1:33">
      <c r="A6" s="49">
        <v>1</v>
      </c>
      <c r="B6" s="49">
        <v>4</v>
      </c>
      <c r="C6" s="49" t="s">
        <v>135</v>
      </c>
      <c r="D6" s="49" t="s">
        <v>135</v>
      </c>
      <c r="E6" s="49" t="s">
        <v>135</v>
      </c>
      <c r="F6" s="49" t="s">
        <v>135</v>
      </c>
      <c r="G6" s="49">
        <v>1.8800000000000001E-2</v>
      </c>
      <c r="H6" s="49">
        <v>1.14E-2</v>
      </c>
      <c r="I6" s="49">
        <v>7.0635000000000003</v>
      </c>
      <c r="J6" s="49">
        <v>9.4669000000000008</v>
      </c>
      <c r="K6" s="49">
        <f t="shared" si="0"/>
        <v>7.0823</v>
      </c>
      <c r="L6" s="49">
        <f t="shared" si="1"/>
        <v>9.4783</v>
      </c>
      <c r="M6" s="49" t="s">
        <v>135</v>
      </c>
      <c r="N6" s="49" t="s">
        <v>203</v>
      </c>
      <c r="O6" s="49" t="s">
        <v>203</v>
      </c>
      <c r="P6" s="49" t="s">
        <v>137</v>
      </c>
      <c r="Q6" s="2"/>
      <c r="R6" s="49">
        <v>6</v>
      </c>
      <c r="S6" s="49">
        <v>4</v>
      </c>
      <c r="T6" s="49" t="s">
        <v>135</v>
      </c>
      <c r="U6" s="49" t="s">
        <v>135</v>
      </c>
      <c r="V6" s="49" t="s">
        <v>135</v>
      </c>
      <c r="W6" s="49" t="s">
        <v>135</v>
      </c>
      <c r="X6" s="49">
        <v>1.9300000000000001E-2</v>
      </c>
      <c r="Y6" s="49">
        <v>2.24E-2</v>
      </c>
      <c r="Z6" s="49">
        <v>7.0627000000000004</v>
      </c>
      <c r="AA6" s="49">
        <v>8.2026000000000003</v>
      </c>
      <c r="AB6" s="49">
        <f t="shared" si="2"/>
        <v>7.082</v>
      </c>
      <c r="AC6" s="49">
        <f t="shared" si="3"/>
        <v>8.225</v>
      </c>
      <c r="AD6" s="49" t="s">
        <v>135</v>
      </c>
      <c r="AE6" s="49" t="s">
        <v>203</v>
      </c>
      <c r="AF6" s="49" t="s">
        <v>203</v>
      </c>
      <c r="AG6" s="49" t="s">
        <v>137</v>
      </c>
    </row>
    <row r="7" spans="1:33">
      <c r="A7" s="49">
        <v>1</v>
      </c>
      <c r="B7" s="49">
        <v>5</v>
      </c>
      <c r="C7" s="49" t="s">
        <v>135</v>
      </c>
      <c r="D7" s="49" t="s">
        <v>135</v>
      </c>
      <c r="E7" s="49" t="s">
        <v>135</v>
      </c>
      <c r="F7" s="49" t="s">
        <v>135</v>
      </c>
      <c r="G7" s="49">
        <v>1.66E-2</v>
      </c>
      <c r="H7" s="49">
        <v>1.9699999999999999E-2</v>
      </c>
      <c r="I7" s="49">
        <v>7.0831999999999997</v>
      </c>
      <c r="J7" s="49">
        <v>7.4484000000000004</v>
      </c>
      <c r="K7" s="49">
        <f t="shared" si="0"/>
        <v>7.0998</v>
      </c>
      <c r="L7" s="49">
        <f t="shared" si="1"/>
        <v>7.4681</v>
      </c>
      <c r="M7" s="49" t="s">
        <v>135</v>
      </c>
      <c r="N7" s="49" t="s">
        <v>203</v>
      </c>
      <c r="O7" s="49" t="s">
        <v>203</v>
      </c>
      <c r="P7" s="49" t="s">
        <v>137</v>
      </c>
      <c r="Q7" s="2"/>
      <c r="R7" s="49">
        <v>6</v>
      </c>
      <c r="S7" s="49">
        <v>5</v>
      </c>
      <c r="T7" s="49" t="s">
        <v>135</v>
      </c>
      <c r="U7" s="49" t="s">
        <v>135</v>
      </c>
      <c r="V7" s="49" t="s">
        <v>135</v>
      </c>
      <c r="W7" s="49" t="s">
        <v>135</v>
      </c>
      <c r="X7" s="49">
        <v>2.2700000000000001E-2</v>
      </c>
      <c r="Y7" s="49">
        <v>2.52E-2</v>
      </c>
      <c r="Z7" s="49">
        <v>7.0736999999999997</v>
      </c>
      <c r="AA7" s="49">
        <v>8.2484999999999999</v>
      </c>
      <c r="AB7" s="49">
        <f t="shared" si="2"/>
        <v>7.0964</v>
      </c>
      <c r="AC7" s="49">
        <f t="shared" si="3"/>
        <v>8.2737</v>
      </c>
      <c r="AD7" s="49" t="s">
        <v>135</v>
      </c>
      <c r="AE7" s="49" t="s">
        <v>203</v>
      </c>
      <c r="AF7" s="49" t="s">
        <v>203</v>
      </c>
      <c r="AG7" s="49" t="s">
        <v>137</v>
      </c>
    </row>
    <row r="8" spans="1:33">
      <c r="A8" s="49">
        <v>1</v>
      </c>
      <c r="B8" s="49">
        <v>6</v>
      </c>
      <c r="C8" s="49" t="s">
        <v>135</v>
      </c>
      <c r="D8" s="49" t="s">
        <v>135</v>
      </c>
      <c r="E8" s="49" t="s">
        <v>135</v>
      </c>
      <c r="F8" s="49" t="s">
        <v>135</v>
      </c>
      <c r="G8" s="49">
        <v>9.1000000000000004E-3</v>
      </c>
      <c r="H8" s="49">
        <v>3.0599999999999999E-2</v>
      </c>
      <c r="I8" s="49">
        <v>7.0683999999999996</v>
      </c>
      <c r="J8" s="49">
        <v>7.4021999999999997</v>
      </c>
      <c r="K8" s="49">
        <f t="shared" si="0"/>
        <v>7.0775</v>
      </c>
      <c r="L8" s="49">
        <f t="shared" si="1"/>
        <v>7.4328</v>
      </c>
      <c r="M8" s="49" t="s">
        <v>135</v>
      </c>
      <c r="N8" s="49" t="s">
        <v>203</v>
      </c>
      <c r="O8" s="49" t="s">
        <v>203</v>
      </c>
      <c r="P8" s="49" t="s">
        <v>137</v>
      </c>
      <c r="Q8" s="2"/>
      <c r="R8" s="49">
        <v>6</v>
      </c>
      <c r="S8" s="49">
        <v>6</v>
      </c>
      <c r="T8" s="49" t="s">
        <v>135</v>
      </c>
      <c r="U8" s="49" t="s">
        <v>135</v>
      </c>
      <c r="V8" s="49" t="s">
        <v>135</v>
      </c>
      <c r="W8" s="49" t="s">
        <v>135</v>
      </c>
      <c r="X8" s="49">
        <v>2.0500000000000001E-2</v>
      </c>
      <c r="Y8" s="49">
        <v>2.6499999999999999E-2</v>
      </c>
      <c r="Z8" s="49">
        <v>7.0715000000000003</v>
      </c>
      <c r="AA8" s="49">
        <v>8.2767999999999997</v>
      </c>
      <c r="AB8" s="49">
        <f t="shared" si="2"/>
        <v>7.092</v>
      </c>
      <c r="AC8" s="49">
        <f t="shared" si="3"/>
        <v>8.3033</v>
      </c>
      <c r="AD8" s="49" t="s">
        <v>135</v>
      </c>
      <c r="AE8" s="49" t="s">
        <v>203</v>
      </c>
      <c r="AF8" s="49" t="s">
        <v>203</v>
      </c>
      <c r="AG8" s="49" t="s">
        <v>137</v>
      </c>
    </row>
    <row r="9" spans="1:33">
      <c r="A9" s="49">
        <v>1</v>
      </c>
      <c r="B9" s="49">
        <v>7</v>
      </c>
      <c r="C9" s="49" t="s">
        <v>135</v>
      </c>
      <c r="D9" s="49" t="s">
        <v>135</v>
      </c>
      <c r="E9" s="49" t="s">
        <v>135</v>
      </c>
      <c r="F9" s="49" t="s">
        <v>135</v>
      </c>
      <c r="G9" s="49">
        <v>1.0200000000000001E-2</v>
      </c>
      <c r="H9" s="49">
        <v>0.54790000000000005</v>
      </c>
      <c r="I9" s="49">
        <v>7.0673000000000004</v>
      </c>
      <c r="J9" s="49">
        <v>6.8460999999999999</v>
      </c>
      <c r="K9" s="49">
        <f t="shared" si="0"/>
        <v>7.0775</v>
      </c>
      <c r="L9" s="49">
        <f t="shared" si="1"/>
        <v>7.394</v>
      </c>
      <c r="M9" s="49" t="s">
        <v>135</v>
      </c>
      <c r="N9" s="49" t="s">
        <v>203</v>
      </c>
      <c r="O9" s="49" t="s">
        <v>203</v>
      </c>
      <c r="P9" s="49" t="s">
        <v>137</v>
      </c>
      <c r="Q9" s="2"/>
      <c r="R9" s="49">
        <v>6</v>
      </c>
      <c r="S9" s="49">
        <v>7</v>
      </c>
      <c r="T9" s="49" t="s">
        <v>135</v>
      </c>
      <c r="U9" s="49" t="s">
        <v>135</v>
      </c>
      <c r="V9" s="49" t="s">
        <v>135</v>
      </c>
      <c r="W9" s="49" t="s">
        <v>135</v>
      </c>
      <c r="X9" s="49">
        <v>2.01E-2</v>
      </c>
      <c r="Y9" s="49">
        <v>0.55289999999999995</v>
      </c>
      <c r="Z9" s="49">
        <v>7.0750000000000002</v>
      </c>
      <c r="AA9" s="49">
        <v>7.5915999999999997</v>
      </c>
      <c r="AB9" s="49">
        <f t="shared" si="2"/>
        <v>7.0951</v>
      </c>
      <c r="AC9" s="49">
        <f t="shared" si="3"/>
        <v>8.1445</v>
      </c>
      <c r="AD9" s="49" t="s">
        <v>135</v>
      </c>
      <c r="AE9" s="49" t="s">
        <v>203</v>
      </c>
      <c r="AF9" s="49" t="s">
        <v>203</v>
      </c>
      <c r="AG9" s="49" t="s">
        <v>137</v>
      </c>
    </row>
    <row r="10" spans="1:33">
      <c r="A10" s="49">
        <v>1</v>
      </c>
      <c r="B10" s="49">
        <v>8</v>
      </c>
      <c r="C10" s="49" t="s">
        <v>135</v>
      </c>
      <c r="D10" s="49" t="s">
        <v>135</v>
      </c>
      <c r="E10" s="49" t="s">
        <v>135</v>
      </c>
      <c r="F10" s="49" t="s">
        <v>135</v>
      </c>
      <c r="G10" s="49">
        <v>1.09E-2</v>
      </c>
      <c r="H10" s="49">
        <v>1.1900000000000001E-2</v>
      </c>
      <c r="I10" s="49">
        <v>7.0571999999999999</v>
      </c>
      <c r="J10" s="49">
        <v>7.4484000000000004</v>
      </c>
      <c r="K10" s="49">
        <f t="shared" si="0"/>
        <v>7.0681</v>
      </c>
      <c r="L10" s="49">
        <f t="shared" si="1"/>
        <v>7.4603</v>
      </c>
      <c r="M10" s="49" t="s">
        <v>135</v>
      </c>
      <c r="N10" s="49" t="s">
        <v>203</v>
      </c>
      <c r="O10" s="49" t="s">
        <v>203</v>
      </c>
      <c r="P10" s="49" t="s">
        <v>137</v>
      </c>
      <c r="Q10" s="2"/>
      <c r="R10" s="49">
        <v>6</v>
      </c>
      <c r="S10" s="49">
        <v>8</v>
      </c>
      <c r="T10" s="49" t="s">
        <v>135</v>
      </c>
      <c r="U10" s="49" t="s">
        <v>135</v>
      </c>
      <c r="V10" s="49" t="s">
        <v>135</v>
      </c>
      <c r="W10" s="49" t="s">
        <v>135</v>
      </c>
      <c r="X10" s="49">
        <v>3.4200000000000001E-2</v>
      </c>
      <c r="Y10" s="49">
        <v>2.2800000000000001E-2</v>
      </c>
      <c r="Z10" s="49">
        <v>7.085</v>
      </c>
      <c r="AA10" s="49">
        <v>7.3617999999999997</v>
      </c>
      <c r="AB10" s="49">
        <f t="shared" si="2"/>
        <v>7.1192</v>
      </c>
      <c r="AC10" s="49">
        <f t="shared" si="3"/>
        <v>7.3846</v>
      </c>
      <c r="AD10" s="49" t="s">
        <v>135</v>
      </c>
      <c r="AE10" s="49" t="s">
        <v>203</v>
      </c>
      <c r="AF10" s="49" t="s">
        <v>203</v>
      </c>
      <c r="AG10" s="49" t="s">
        <v>137</v>
      </c>
    </row>
    <row r="11" spans="1:33">
      <c r="A11" s="49">
        <v>1</v>
      </c>
      <c r="B11" s="49">
        <v>9</v>
      </c>
      <c r="C11" s="49" t="s">
        <v>135</v>
      </c>
      <c r="D11" s="49" t="s">
        <v>135</v>
      </c>
      <c r="E11" s="49" t="s">
        <v>135</v>
      </c>
      <c r="F11" s="49" t="s">
        <v>135</v>
      </c>
      <c r="G11" s="49">
        <v>8.6999999999999994E-3</v>
      </c>
      <c r="H11" s="49">
        <v>0.1241</v>
      </c>
      <c r="I11" s="49">
        <v>7.0667999999999997</v>
      </c>
      <c r="J11" s="49">
        <v>6.8794000000000004</v>
      </c>
      <c r="K11" s="49">
        <f t="shared" si="0"/>
        <v>7.0755</v>
      </c>
      <c r="L11" s="49">
        <f t="shared" si="1"/>
        <v>7.0035</v>
      </c>
      <c r="M11" s="49" t="s">
        <v>135</v>
      </c>
      <c r="N11" s="49" t="s">
        <v>203</v>
      </c>
      <c r="O11" s="49" t="s">
        <v>203</v>
      </c>
      <c r="P11" s="49" t="s">
        <v>137</v>
      </c>
      <c r="Q11" s="2"/>
      <c r="R11" s="49">
        <v>6</v>
      </c>
      <c r="S11" s="49">
        <v>9</v>
      </c>
      <c r="T11" s="49" t="s">
        <v>135</v>
      </c>
      <c r="U11" s="49" t="s">
        <v>135</v>
      </c>
      <c r="V11" s="49" t="s">
        <v>135</v>
      </c>
      <c r="W11" s="49" t="s">
        <v>135</v>
      </c>
      <c r="X11" s="49">
        <v>1.0200000000000001E-2</v>
      </c>
      <c r="Y11" s="49">
        <v>2.1999999999999999E-2</v>
      </c>
      <c r="Z11" s="49">
        <v>7.0648</v>
      </c>
      <c r="AA11" s="49">
        <v>8.2667000000000002</v>
      </c>
      <c r="AB11" s="49">
        <f t="shared" si="2"/>
        <v>7.075</v>
      </c>
      <c r="AC11" s="49">
        <f t="shared" si="3"/>
        <v>8.2887</v>
      </c>
      <c r="AD11" s="49" t="s">
        <v>135</v>
      </c>
      <c r="AE11" s="49" t="s">
        <v>203</v>
      </c>
      <c r="AF11" s="49" t="s">
        <v>203</v>
      </c>
      <c r="AG11" s="49" t="s">
        <v>137</v>
      </c>
    </row>
    <row r="12" spans="1:33">
      <c r="A12" s="49">
        <v>1</v>
      </c>
      <c r="B12" s="49">
        <v>10</v>
      </c>
      <c r="C12" s="49" t="s">
        <v>135</v>
      </c>
      <c r="D12" s="49" t="s">
        <v>135</v>
      </c>
      <c r="E12" s="49" t="s">
        <v>135</v>
      </c>
      <c r="F12" s="49" t="s">
        <v>135</v>
      </c>
      <c r="G12" s="49">
        <v>9.7999999999999997E-3</v>
      </c>
      <c r="H12" s="49">
        <v>1.18E-2</v>
      </c>
      <c r="I12" s="49">
        <v>7.0720999999999998</v>
      </c>
      <c r="J12" s="49">
        <v>7.3822000000000001</v>
      </c>
      <c r="K12" s="49">
        <f t="shared" si="0"/>
        <v>7.0819</v>
      </c>
      <c r="L12" s="49">
        <f t="shared" si="1"/>
        <v>7.394</v>
      </c>
      <c r="M12" s="49" t="s">
        <v>135</v>
      </c>
      <c r="N12" s="49" t="s">
        <v>203</v>
      </c>
      <c r="O12" s="49" t="s">
        <v>203</v>
      </c>
      <c r="P12" s="49" t="s">
        <v>137</v>
      </c>
      <c r="Q12" s="2"/>
      <c r="R12" s="49">
        <v>6</v>
      </c>
      <c r="S12" s="49">
        <v>10</v>
      </c>
      <c r="T12" s="49" t="s">
        <v>135</v>
      </c>
      <c r="U12" s="49" t="s">
        <v>135</v>
      </c>
      <c r="V12" s="49" t="s">
        <v>135</v>
      </c>
      <c r="W12" s="49" t="s">
        <v>135</v>
      </c>
      <c r="X12" s="49">
        <v>1.9699999999999999E-2</v>
      </c>
      <c r="Y12" s="49">
        <v>2.1000000000000001E-2</v>
      </c>
      <c r="Z12" s="49">
        <v>7.0811999999999999</v>
      </c>
      <c r="AA12" s="49">
        <v>7.3569000000000004</v>
      </c>
      <c r="AB12" s="49">
        <f t="shared" si="2"/>
        <v>7.1009</v>
      </c>
      <c r="AC12" s="49">
        <f t="shared" si="3"/>
        <v>7.3779</v>
      </c>
      <c r="AD12" s="49" t="s">
        <v>135</v>
      </c>
      <c r="AE12" s="49" t="s">
        <v>203</v>
      </c>
      <c r="AF12" s="49" t="s">
        <v>203</v>
      </c>
      <c r="AG12" s="49" t="s">
        <v>137</v>
      </c>
    </row>
    <row r="13" spans="1:33">
      <c r="A13" s="2"/>
      <c r="B13" s="2"/>
      <c r="C13" s="2"/>
      <c r="D13" s="2"/>
      <c r="E13" s="2"/>
      <c r="F13" s="50" t="s">
        <v>204</v>
      </c>
      <c r="G13" s="129">
        <f>AVERAGE(H3:H12)-AVERAGE(G3:G12)</f>
        <v>-0.07763</v>
      </c>
      <c r="H13" s="127"/>
      <c r="I13" s="129">
        <f>AVERAGE(J3:J12)-AVERAGE(I3:I12)</f>
        <v>0.604</v>
      </c>
      <c r="J13" s="127"/>
      <c r="K13" s="129">
        <f>AVERAGE(L3:L12)-AVERAGE(K3:K12)</f>
        <v>0.52637</v>
      </c>
      <c r="L13" s="127"/>
      <c r="M13" s="2"/>
      <c r="N13" s="2"/>
      <c r="O13" s="2"/>
      <c r="P13" s="2"/>
      <c r="Q13" s="2"/>
      <c r="R13" s="2"/>
      <c r="S13" s="2"/>
      <c r="T13" s="2"/>
      <c r="U13" s="2"/>
      <c r="V13" s="2"/>
      <c r="W13" s="50" t="s">
        <v>204</v>
      </c>
      <c r="X13" s="129">
        <f>AVERAGE(Y3:Y12)-AVERAGE(X3:X12)</f>
        <v>0.05495</v>
      </c>
      <c r="Y13" s="127"/>
      <c r="Z13" s="129">
        <f>AVERAGE(AA3:AA12)-AVERAGE(Z3:Z12)</f>
        <v>0.8855</v>
      </c>
      <c r="AA13" s="127"/>
      <c r="AB13" s="129">
        <f>AVERAGE(AC3:AC12)-AVERAGE(AB3:AB12)</f>
        <v>0.940449999999999</v>
      </c>
      <c r="AC13" s="127"/>
      <c r="AD13" s="2"/>
      <c r="AE13" s="2"/>
      <c r="AF13" s="2"/>
      <c r="AG13" s="2"/>
    </row>
    <row r="14" spans="1:33">
      <c r="A14" s="128" t="s">
        <v>9</v>
      </c>
      <c r="B14" s="128" t="s">
        <v>126</v>
      </c>
      <c r="C14" s="128" t="s">
        <v>195</v>
      </c>
      <c r="D14" s="128" t="s">
        <v>196</v>
      </c>
      <c r="E14" s="128" t="s">
        <v>197</v>
      </c>
      <c r="F14" s="128" t="s">
        <v>198</v>
      </c>
      <c r="G14" s="128" t="s">
        <v>199</v>
      </c>
      <c r="H14" s="106"/>
      <c r="I14" s="128" t="s">
        <v>200</v>
      </c>
      <c r="J14" s="106"/>
      <c r="K14" s="128" t="s">
        <v>205</v>
      </c>
      <c r="L14" s="106"/>
      <c r="M14" s="128" t="s">
        <v>202</v>
      </c>
      <c r="N14" s="128" t="s">
        <v>13</v>
      </c>
      <c r="O14" s="128" t="s">
        <v>133</v>
      </c>
      <c r="P14" s="128" t="s">
        <v>134</v>
      </c>
      <c r="Q14" s="2"/>
      <c r="R14" s="128" t="s">
        <v>9</v>
      </c>
      <c r="S14" s="128" t="s">
        <v>126</v>
      </c>
      <c r="T14" s="128" t="s">
        <v>195</v>
      </c>
      <c r="U14" s="128" t="s">
        <v>196</v>
      </c>
      <c r="V14" s="128" t="s">
        <v>197</v>
      </c>
      <c r="W14" s="128" t="s">
        <v>198</v>
      </c>
      <c r="X14" s="128" t="s">
        <v>199</v>
      </c>
      <c r="Y14" s="106"/>
      <c r="Z14" s="128" t="s">
        <v>200</v>
      </c>
      <c r="AA14" s="106"/>
      <c r="AB14" s="128" t="s">
        <v>205</v>
      </c>
      <c r="AC14" s="106"/>
      <c r="AD14" s="128" t="s">
        <v>202</v>
      </c>
      <c r="AE14" s="128" t="s">
        <v>13</v>
      </c>
      <c r="AF14" s="128" t="s">
        <v>133</v>
      </c>
      <c r="AG14" s="128" t="s">
        <v>134</v>
      </c>
    </row>
    <row r="15" spans="1:33">
      <c r="A15" s="111"/>
      <c r="B15" s="111"/>
      <c r="C15" s="111"/>
      <c r="D15" s="111"/>
      <c r="E15" s="111"/>
      <c r="F15" s="111"/>
      <c r="G15" s="18" t="s">
        <v>165</v>
      </c>
      <c r="H15" s="51" t="s">
        <v>164</v>
      </c>
      <c r="I15" s="18" t="s">
        <v>165</v>
      </c>
      <c r="J15" s="51" t="s">
        <v>164</v>
      </c>
      <c r="K15" s="18" t="s">
        <v>165</v>
      </c>
      <c r="L15" s="51" t="s">
        <v>164</v>
      </c>
      <c r="M15" s="111"/>
      <c r="N15" s="111"/>
      <c r="O15" s="111"/>
      <c r="P15" s="111"/>
      <c r="Q15" s="2"/>
      <c r="R15" s="111"/>
      <c r="S15" s="111"/>
      <c r="T15" s="111"/>
      <c r="U15" s="111"/>
      <c r="V15" s="111"/>
      <c r="W15" s="111"/>
      <c r="X15" s="18" t="s">
        <v>165</v>
      </c>
      <c r="Y15" s="51" t="s">
        <v>164</v>
      </c>
      <c r="Z15" s="18" t="s">
        <v>165</v>
      </c>
      <c r="AA15" s="51" t="s">
        <v>164</v>
      </c>
      <c r="AB15" s="18" t="s">
        <v>165</v>
      </c>
      <c r="AC15" s="51" t="s">
        <v>164</v>
      </c>
      <c r="AD15" s="111"/>
      <c r="AE15" s="111"/>
      <c r="AF15" s="111"/>
      <c r="AG15" s="111"/>
    </row>
    <row r="16" spans="1:33">
      <c r="A16" s="49">
        <v>2</v>
      </c>
      <c r="B16" s="49">
        <v>1</v>
      </c>
      <c r="C16" s="49" t="s">
        <v>135</v>
      </c>
      <c r="D16" s="49" t="s">
        <v>135</v>
      </c>
      <c r="E16" s="49" t="s">
        <v>135</v>
      </c>
      <c r="F16" s="49" t="s">
        <v>135</v>
      </c>
      <c r="G16" s="49">
        <v>4.3400000000000001E-2</v>
      </c>
      <c r="H16" s="49">
        <v>2.24E-2</v>
      </c>
      <c r="I16" s="49">
        <v>7.0780000000000003</v>
      </c>
      <c r="J16" s="49">
        <v>8.3071999999999999</v>
      </c>
      <c r="K16" s="49">
        <f t="shared" ref="K16:K25" si="4">G16+I16</f>
        <v>7.1214</v>
      </c>
      <c r="L16" s="49">
        <f t="shared" ref="L16:L25" si="5">H16+J16</f>
        <v>8.3296</v>
      </c>
      <c r="M16" s="49" t="s">
        <v>135</v>
      </c>
      <c r="N16" s="49" t="s">
        <v>203</v>
      </c>
      <c r="O16" s="49" t="s">
        <v>203</v>
      </c>
      <c r="P16" s="49" t="s">
        <v>137</v>
      </c>
      <c r="Q16" s="2"/>
      <c r="R16" s="49">
        <v>7</v>
      </c>
      <c r="S16" s="49">
        <v>1</v>
      </c>
      <c r="T16" s="49" t="s">
        <v>135</v>
      </c>
      <c r="U16" s="49" t="s">
        <v>135</v>
      </c>
      <c r="V16" s="49" t="s">
        <v>135</v>
      </c>
      <c r="W16" s="49" t="s">
        <v>135</v>
      </c>
      <c r="X16" s="49">
        <v>8.8999999999999999E-3</v>
      </c>
      <c r="Y16" s="49">
        <v>1.15E-2</v>
      </c>
      <c r="Z16" s="49">
        <v>7.0544000000000002</v>
      </c>
      <c r="AA16" s="49">
        <v>8.3282000000000007</v>
      </c>
      <c r="AB16" s="49">
        <f t="shared" ref="AB16:AB25" si="6">X16+Z16</f>
        <v>7.0633</v>
      </c>
      <c r="AC16" s="49">
        <f t="shared" ref="AC16:AC25" si="7">Y16+AA16</f>
        <v>8.3397</v>
      </c>
      <c r="AD16" s="49" t="s">
        <v>135</v>
      </c>
      <c r="AE16" s="49" t="s">
        <v>203</v>
      </c>
      <c r="AF16" s="49" t="s">
        <v>203</v>
      </c>
      <c r="AG16" s="49" t="s">
        <v>137</v>
      </c>
    </row>
    <row r="17" spans="1:33">
      <c r="A17" s="49">
        <v>2</v>
      </c>
      <c r="B17" s="49">
        <v>2</v>
      </c>
      <c r="C17" s="49" t="s">
        <v>135</v>
      </c>
      <c r="D17" s="49" t="s">
        <v>135</v>
      </c>
      <c r="E17" s="49" t="s">
        <v>135</v>
      </c>
      <c r="F17" s="49" t="s">
        <v>135</v>
      </c>
      <c r="G17" s="49">
        <v>1.9199999999999998E-2</v>
      </c>
      <c r="H17" s="49">
        <v>1.17E-2</v>
      </c>
      <c r="I17" s="49">
        <v>7.0610999999999997</v>
      </c>
      <c r="J17" s="49">
        <v>7.6044</v>
      </c>
      <c r="K17" s="49">
        <f t="shared" si="4"/>
        <v>7.0803</v>
      </c>
      <c r="L17" s="49">
        <f t="shared" si="5"/>
        <v>7.6161</v>
      </c>
      <c r="M17" s="49" t="s">
        <v>135</v>
      </c>
      <c r="N17" s="49" t="s">
        <v>203</v>
      </c>
      <c r="O17" s="49" t="s">
        <v>203</v>
      </c>
      <c r="P17" s="49" t="s">
        <v>137</v>
      </c>
      <c r="Q17" s="2"/>
      <c r="R17" s="49">
        <v>7</v>
      </c>
      <c r="S17" s="49">
        <v>2</v>
      </c>
      <c r="T17" s="49" t="s">
        <v>135</v>
      </c>
      <c r="U17" s="49" t="s">
        <v>135</v>
      </c>
      <c r="V17" s="49" t="s">
        <v>135</v>
      </c>
      <c r="W17" s="49" t="s">
        <v>135</v>
      </c>
      <c r="X17" s="49">
        <v>1.7999999999999999E-2</v>
      </c>
      <c r="Y17" s="49">
        <v>3.27E-2</v>
      </c>
      <c r="Z17" s="49">
        <v>7.9016000000000002</v>
      </c>
      <c r="AA17" s="49">
        <v>8.3689999999999998</v>
      </c>
      <c r="AB17" s="49">
        <f t="shared" si="6"/>
        <v>7.9196</v>
      </c>
      <c r="AC17" s="49">
        <f t="shared" si="7"/>
        <v>8.4017</v>
      </c>
      <c r="AD17" s="49" t="s">
        <v>135</v>
      </c>
      <c r="AE17" s="49" t="s">
        <v>203</v>
      </c>
      <c r="AF17" s="49" t="s">
        <v>203</v>
      </c>
      <c r="AG17" s="49" t="s">
        <v>137</v>
      </c>
    </row>
    <row r="18" spans="1:33">
      <c r="A18" s="49">
        <v>2</v>
      </c>
      <c r="B18" s="49">
        <v>3</v>
      </c>
      <c r="C18" s="49" t="s">
        <v>135</v>
      </c>
      <c r="D18" s="49" t="s">
        <v>135</v>
      </c>
      <c r="E18" s="49" t="s">
        <v>135</v>
      </c>
      <c r="F18" s="49" t="s">
        <v>135</v>
      </c>
      <c r="G18" s="49">
        <v>1.4664999999999999</v>
      </c>
      <c r="H18" s="49">
        <v>2.0899999999999998E-2</v>
      </c>
      <c r="I18" s="49">
        <v>5.524</v>
      </c>
      <c r="J18" s="49">
        <v>8.3764000000000003</v>
      </c>
      <c r="K18" s="49">
        <f t="shared" si="4"/>
        <v>6.9905</v>
      </c>
      <c r="L18" s="49">
        <f t="shared" si="5"/>
        <v>8.3973</v>
      </c>
      <c r="M18" s="49" t="s">
        <v>135</v>
      </c>
      <c r="N18" s="49" t="s">
        <v>203</v>
      </c>
      <c r="O18" s="49" t="s">
        <v>203</v>
      </c>
      <c r="P18" s="49" t="s">
        <v>137</v>
      </c>
      <c r="Q18" s="2"/>
      <c r="R18" s="49">
        <v>7</v>
      </c>
      <c r="S18" s="49">
        <v>3</v>
      </c>
      <c r="T18" s="49" t="s">
        <v>135</v>
      </c>
      <c r="U18" s="49" t="s">
        <v>135</v>
      </c>
      <c r="V18" s="49" t="s">
        <v>135</v>
      </c>
      <c r="W18" s="49" t="s">
        <v>135</v>
      </c>
      <c r="X18" s="49">
        <v>1.4581999999999999</v>
      </c>
      <c r="Y18" s="49">
        <v>3.3700000000000001E-2</v>
      </c>
      <c r="Z18" s="49">
        <v>5.5289000000000001</v>
      </c>
      <c r="AA18" s="49">
        <v>9.6621000000000006</v>
      </c>
      <c r="AB18" s="49">
        <f t="shared" si="6"/>
        <v>6.9871</v>
      </c>
      <c r="AC18" s="49">
        <f t="shared" si="7"/>
        <v>9.6958</v>
      </c>
      <c r="AD18" s="49" t="s">
        <v>135</v>
      </c>
      <c r="AE18" s="49" t="s">
        <v>203</v>
      </c>
      <c r="AF18" s="49" t="s">
        <v>203</v>
      </c>
      <c r="AG18" s="49" t="s">
        <v>137</v>
      </c>
    </row>
    <row r="19" spans="1:33">
      <c r="A19" s="49">
        <v>2</v>
      </c>
      <c r="B19" s="49">
        <v>4</v>
      </c>
      <c r="C19" s="49" t="s">
        <v>135</v>
      </c>
      <c r="D19" s="49" t="s">
        <v>135</v>
      </c>
      <c r="E19" s="49" t="s">
        <v>135</v>
      </c>
      <c r="F19" s="49" t="s">
        <v>135</v>
      </c>
      <c r="G19" s="49">
        <v>9.7000000000000003E-3</v>
      </c>
      <c r="H19" s="49">
        <v>2.1499999999999998E-2</v>
      </c>
      <c r="I19" s="49">
        <v>7.0842000000000001</v>
      </c>
      <c r="J19" s="49">
        <v>7.6451000000000002</v>
      </c>
      <c r="K19" s="49">
        <f t="shared" si="4"/>
        <v>7.0939</v>
      </c>
      <c r="L19" s="49">
        <f t="shared" si="5"/>
        <v>7.6666</v>
      </c>
      <c r="M19" s="49" t="s">
        <v>135</v>
      </c>
      <c r="N19" s="49" t="s">
        <v>203</v>
      </c>
      <c r="O19" s="49" t="s">
        <v>203</v>
      </c>
      <c r="P19" s="49" t="s">
        <v>137</v>
      </c>
      <c r="Q19" s="2"/>
      <c r="R19" s="49">
        <v>7</v>
      </c>
      <c r="S19" s="49">
        <v>4</v>
      </c>
      <c r="T19" s="49" t="s">
        <v>135</v>
      </c>
      <c r="U19" s="49" t="s">
        <v>135</v>
      </c>
      <c r="V19" s="49" t="s">
        <v>135</v>
      </c>
      <c r="W19" s="49" t="s">
        <v>135</v>
      </c>
      <c r="X19" s="49">
        <v>1.9300000000000001E-2</v>
      </c>
      <c r="Y19" s="49">
        <v>1.1599999999999999E-2</v>
      </c>
      <c r="Z19" s="49">
        <v>7.0686999999999998</v>
      </c>
      <c r="AA19" s="49">
        <v>7.5723000000000003</v>
      </c>
      <c r="AB19" s="49">
        <f t="shared" si="6"/>
        <v>7.088</v>
      </c>
      <c r="AC19" s="49">
        <f t="shared" si="7"/>
        <v>7.5839</v>
      </c>
      <c r="AD19" s="49" t="s">
        <v>135</v>
      </c>
      <c r="AE19" s="49" t="s">
        <v>203</v>
      </c>
      <c r="AF19" s="49" t="s">
        <v>203</v>
      </c>
      <c r="AG19" s="49" t="s">
        <v>137</v>
      </c>
    </row>
    <row r="20" spans="1:33">
      <c r="A20" s="49">
        <v>2</v>
      </c>
      <c r="B20" s="49">
        <v>5</v>
      </c>
      <c r="C20" s="49" t="s">
        <v>135</v>
      </c>
      <c r="D20" s="49" t="s">
        <v>135</v>
      </c>
      <c r="E20" s="49" t="s">
        <v>135</v>
      </c>
      <c r="F20" s="49" t="s">
        <v>135</v>
      </c>
      <c r="G20" s="49">
        <v>9.2999999999999992E-3</v>
      </c>
      <c r="H20" s="49">
        <v>0.55289999999999995</v>
      </c>
      <c r="I20" s="49">
        <v>7.0827999999999998</v>
      </c>
      <c r="J20" s="49">
        <v>7.5317999999999996</v>
      </c>
      <c r="K20" s="49">
        <f t="shared" si="4"/>
        <v>7.0921</v>
      </c>
      <c r="L20" s="49">
        <f t="shared" si="5"/>
        <v>8.0847</v>
      </c>
      <c r="M20" s="49" t="s">
        <v>135</v>
      </c>
      <c r="N20" s="49" t="s">
        <v>203</v>
      </c>
      <c r="O20" s="49" t="s">
        <v>203</v>
      </c>
      <c r="P20" s="49" t="s">
        <v>137</v>
      </c>
      <c r="Q20" s="2"/>
      <c r="R20" s="49">
        <v>7</v>
      </c>
      <c r="S20" s="49">
        <v>5</v>
      </c>
      <c r="T20" s="49" t="s">
        <v>135</v>
      </c>
      <c r="U20" s="49" t="s">
        <v>135</v>
      </c>
      <c r="V20" s="49" t="s">
        <v>135</v>
      </c>
      <c r="W20" s="49" t="s">
        <v>135</v>
      </c>
      <c r="X20" s="49">
        <v>1.9400000000000001E-2</v>
      </c>
      <c r="Y20" s="49">
        <v>2.2599999999999999E-2</v>
      </c>
      <c r="Z20" s="49">
        <v>7.9192999999999998</v>
      </c>
      <c r="AA20" s="49">
        <v>7.58</v>
      </c>
      <c r="AB20" s="49">
        <f t="shared" si="6"/>
        <v>7.9387</v>
      </c>
      <c r="AC20" s="49">
        <f t="shared" si="7"/>
        <v>7.6026</v>
      </c>
      <c r="AD20" s="49" t="s">
        <v>135</v>
      </c>
      <c r="AE20" s="49" t="s">
        <v>203</v>
      </c>
      <c r="AF20" s="49" t="s">
        <v>203</v>
      </c>
      <c r="AG20" s="49" t="s">
        <v>137</v>
      </c>
    </row>
    <row r="21" spans="1:33">
      <c r="A21" s="49">
        <v>2</v>
      </c>
      <c r="B21" s="49">
        <v>6</v>
      </c>
      <c r="C21" s="49" t="s">
        <v>135</v>
      </c>
      <c r="D21" s="49" t="s">
        <v>135</v>
      </c>
      <c r="E21" s="49" t="s">
        <v>135</v>
      </c>
      <c r="F21" s="49" t="s">
        <v>135</v>
      </c>
      <c r="G21" s="49">
        <v>0.1206</v>
      </c>
      <c r="H21" s="49">
        <v>3.2800000000000003E-2</v>
      </c>
      <c r="I21" s="49">
        <v>7.0693000000000001</v>
      </c>
      <c r="J21" s="49">
        <v>9.1212</v>
      </c>
      <c r="K21" s="49">
        <f t="shared" si="4"/>
        <v>7.1899</v>
      </c>
      <c r="L21" s="49">
        <f t="shared" si="5"/>
        <v>9.154</v>
      </c>
      <c r="M21" s="49" t="s">
        <v>135</v>
      </c>
      <c r="N21" s="49" t="s">
        <v>203</v>
      </c>
      <c r="O21" s="49" t="s">
        <v>203</v>
      </c>
      <c r="P21" s="49" t="s">
        <v>137</v>
      </c>
      <c r="Q21" s="2"/>
      <c r="R21" s="49">
        <v>7</v>
      </c>
      <c r="S21" s="49">
        <v>6</v>
      </c>
      <c r="T21" s="49" t="s">
        <v>135</v>
      </c>
      <c r="U21" s="49" t="s">
        <v>135</v>
      </c>
      <c r="V21" s="49" t="s">
        <v>135</v>
      </c>
      <c r="W21" s="49" t="s">
        <v>135</v>
      </c>
      <c r="X21" s="49">
        <v>2.8500000000000001E-2</v>
      </c>
      <c r="Y21" s="49">
        <v>2.3300000000000001E-2</v>
      </c>
      <c r="Z21" s="49">
        <v>7.0608000000000004</v>
      </c>
      <c r="AA21" s="49">
        <v>9.7284000000000006</v>
      </c>
      <c r="AB21" s="49">
        <f t="shared" si="6"/>
        <v>7.0893</v>
      </c>
      <c r="AC21" s="49">
        <f t="shared" si="7"/>
        <v>9.7517</v>
      </c>
      <c r="AD21" s="49" t="s">
        <v>135</v>
      </c>
      <c r="AE21" s="49" t="s">
        <v>203</v>
      </c>
      <c r="AF21" s="49" t="s">
        <v>203</v>
      </c>
      <c r="AG21" s="49" t="s">
        <v>137</v>
      </c>
    </row>
    <row r="22" spans="1:33">
      <c r="A22" s="49">
        <v>2</v>
      </c>
      <c r="B22" s="49">
        <v>7</v>
      </c>
      <c r="C22" s="49" t="s">
        <v>135</v>
      </c>
      <c r="D22" s="49" t="s">
        <v>135</v>
      </c>
      <c r="E22" s="49" t="s">
        <v>135</v>
      </c>
      <c r="F22" s="49" t="s">
        <v>135</v>
      </c>
      <c r="G22" s="49">
        <v>2.0400000000000001E-2</v>
      </c>
      <c r="H22" s="49">
        <v>1.9099999999999999E-2</v>
      </c>
      <c r="I22" s="49">
        <v>7.0739999999999998</v>
      </c>
      <c r="J22" s="49">
        <v>9.5076000000000001</v>
      </c>
      <c r="K22" s="49">
        <f t="shared" si="4"/>
        <v>7.0944</v>
      </c>
      <c r="L22" s="49">
        <f t="shared" si="5"/>
        <v>9.5267</v>
      </c>
      <c r="M22" s="49" t="s">
        <v>135</v>
      </c>
      <c r="N22" s="49" t="s">
        <v>203</v>
      </c>
      <c r="O22" s="49" t="s">
        <v>203</v>
      </c>
      <c r="P22" s="49" t="s">
        <v>137</v>
      </c>
      <c r="Q22" s="2"/>
      <c r="R22" s="49">
        <v>7</v>
      </c>
      <c r="S22" s="49">
        <v>7</v>
      </c>
      <c r="T22" s="49" t="s">
        <v>135</v>
      </c>
      <c r="U22" s="49" t="s">
        <v>135</v>
      </c>
      <c r="V22" s="49" t="s">
        <v>135</v>
      </c>
      <c r="W22" s="49" t="s">
        <v>135</v>
      </c>
      <c r="X22" s="49">
        <v>2.2200000000000001E-2</v>
      </c>
      <c r="Y22" s="49">
        <v>0.01</v>
      </c>
      <c r="Z22" s="49">
        <v>7.0822000000000003</v>
      </c>
      <c r="AA22" s="49">
        <v>9.5701999999999998</v>
      </c>
      <c r="AB22" s="49">
        <f t="shared" si="6"/>
        <v>7.1044</v>
      </c>
      <c r="AC22" s="49">
        <f t="shared" si="7"/>
        <v>9.5802</v>
      </c>
      <c r="AD22" s="49" t="s">
        <v>135</v>
      </c>
      <c r="AE22" s="49" t="s">
        <v>203</v>
      </c>
      <c r="AF22" s="49" t="s">
        <v>203</v>
      </c>
      <c r="AG22" s="49" t="s">
        <v>137</v>
      </c>
    </row>
    <row r="23" spans="1:33">
      <c r="A23" s="49">
        <v>2</v>
      </c>
      <c r="B23" s="49">
        <v>8</v>
      </c>
      <c r="C23" s="49" t="s">
        <v>135</v>
      </c>
      <c r="D23" s="49" t="s">
        <v>135</v>
      </c>
      <c r="E23" s="49" t="s">
        <v>135</v>
      </c>
      <c r="F23" s="49" t="s">
        <v>135</v>
      </c>
      <c r="G23" s="49">
        <v>2.24E-2</v>
      </c>
      <c r="H23" s="49">
        <v>2.2200000000000001E-2</v>
      </c>
      <c r="I23" s="49">
        <v>7.0430000000000001</v>
      </c>
      <c r="J23" s="49">
        <v>9.2193000000000005</v>
      </c>
      <c r="K23" s="49">
        <f t="shared" si="4"/>
        <v>7.0654</v>
      </c>
      <c r="L23" s="49">
        <f t="shared" si="5"/>
        <v>9.2415</v>
      </c>
      <c r="M23" s="49" t="s">
        <v>135</v>
      </c>
      <c r="N23" s="49" t="s">
        <v>203</v>
      </c>
      <c r="O23" s="49" t="s">
        <v>203</v>
      </c>
      <c r="P23" s="49" t="s">
        <v>137</v>
      </c>
      <c r="Q23" s="2"/>
      <c r="R23" s="49">
        <v>7</v>
      </c>
      <c r="S23" s="49">
        <v>8</v>
      </c>
      <c r="T23" s="49" t="s">
        <v>135</v>
      </c>
      <c r="U23" s="49" t="s">
        <v>135</v>
      </c>
      <c r="V23" s="49" t="s">
        <v>135</v>
      </c>
      <c r="W23" s="49" t="s">
        <v>135</v>
      </c>
      <c r="X23" s="49">
        <v>1.9400000000000001E-2</v>
      </c>
      <c r="Y23" s="49">
        <v>1.9E-2</v>
      </c>
      <c r="Z23" s="49">
        <v>7.0692000000000004</v>
      </c>
      <c r="AA23" s="49">
        <v>7.5536000000000003</v>
      </c>
      <c r="AB23" s="49">
        <f t="shared" si="6"/>
        <v>7.0886</v>
      </c>
      <c r="AC23" s="49">
        <f t="shared" si="7"/>
        <v>7.5726</v>
      </c>
      <c r="AD23" s="49" t="s">
        <v>135</v>
      </c>
      <c r="AE23" s="49" t="s">
        <v>203</v>
      </c>
      <c r="AF23" s="49" t="s">
        <v>203</v>
      </c>
      <c r="AG23" s="49" t="s">
        <v>137</v>
      </c>
    </row>
    <row r="24" spans="1:33">
      <c r="A24" s="49">
        <v>2</v>
      </c>
      <c r="B24" s="49">
        <v>9</v>
      </c>
      <c r="C24" s="49" t="s">
        <v>135</v>
      </c>
      <c r="D24" s="49" t="s">
        <v>135</v>
      </c>
      <c r="E24" s="49" t="s">
        <v>135</v>
      </c>
      <c r="F24" s="49" t="s">
        <v>135</v>
      </c>
      <c r="G24" s="49">
        <v>2.1499999999999998E-2</v>
      </c>
      <c r="H24" s="49">
        <v>3.15E-2</v>
      </c>
      <c r="I24" s="49">
        <v>7.0784000000000002</v>
      </c>
      <c r="J24" s="49">
        <v>7.6242999999999999</v>
      </c>
      <c r="K24" s="49">
        <f t="shared" si="4"/>
        <v>7.0999</v>
      </c>
      <c r="L24" s="49">
        <f t="shared" si="5"/>
        <v>7.6558</v>
      </c>
      <c r="M24" s="49" t="s">
        <v>135</v>
      </c>
      <c r="N24" s="49" t="s">
        <v>203</v>
      </c>
      <c r="O24" s="49" t="s">
        <v>203</v>
      </c>
      <c r="P24" s="49" t="s">
        <v>137</v>
      </c>
      <c r="Q24" s="2"/>
      <c r="R24" s="49">
        <v>7</v>
      </c>
      <c r="S24" s="49">
        <v>9</v>
      </c>
      <c r="T24" s="49" t="s">
        <v>135</v>
      </c>
      <c r="U24" s="49" t="s">
        <v>135</v>
      </c>
      <c r="V24" s="49" t="s">
        <v>135</v>
      </c>
      <c r="W24" s="49" t="s">
        <v>135</v>
      </c>
      <c r="X24" s="49">
        <v>2.0299999999999999E-2</v>
      </c>
      <c r="Y24" s="49">
        <v>1.95E-2</v>
      </c>
      <c r="Z24" s="49">
        <v>7.0708000000000002</v>
      </c>
      <c r="AA24" s="49">
        <v>7.5640999999999998</v>
      </c>
      <c r="AB24" s="49">
        <f t="shared" si="6"/>
        <v>7.0911</v>
      </c>
      <c r="AC24" s="49">
        <f t="shared" si="7"/>
        <v>7.5836</v>
      </c>
      <c r="AD24" s="49" t="s">
        <v>135</v>
      </c>
      <c r="AE24" s="49" t="s">
        <v>203</v>
      </c>
      <c r="AF24" s="49" t="s">
        <v>203</v>
      </c>
      <c r="AG24" s="49" t="s">
        <v>137</v>
      </c>
    </row>
    <row r="25" spans="1:33">
      <c r="A25" s="49">
        <v>2</v>
      </c>
      <c r="B25" s="49">
        <v>10</v>
      </c>
      <c r="C25" s="49" t="s">
        <v>135</v>
      </c>
      <c r="D25" s="49" t="s">
        <v>135</v>
      </c>
      <c r="E25" s="49" t="s">
        <v>135</v>
      </c>
      <c r="F25" s="49" t="s">
        <v>135</v>
      </c>
      <c r="G25" s="49">
        <v>1.5591999999999999</v>
      </c>
      <c r="H25" s="49">
        <v>2.07E-2</v>
      </c>
      <c r="I25" s="49">
        <v>5.5213000000000001</v>
      </c>
      <c r="J25" s="49">
        <v>9.9362999999999992</v>
      </c>
      <c r="K25" s="49">
        <f t="shared" si="4"/>
        <v>7.0805</v>
      </c>
      <c r="L25" s="49">
        <f t="shared" si="5"/>
        <v>9.957</v>
      </c>
      <c r="M25" s="49" t="s">
        <v>135</v>
      </c>
      <c r="N25" s="49" t="s">
        <v>203</v>
      </c>
      <c r="O25" s="49" t="s">
        <v>203</v>
      </c>
      <c r="P25" s="49" t="s">
        <v>137</v>
      </c>
      <c r="Q25" s="2"/>
      <c r="R25" s="49">
        <v>7</v>
      </c>
      <c r="S25" s="49">
        <v>10</v>
      </c>
      <c r="T25" s="49" t="s">
        <v>135</v>
      </c>
      <c r="U25" s="49" t="s">
        <v>135</v>
      </c>
      <c r="V25" s="49" t="s">
        <v>135</v>
      </c>
      <c r="W25" s="49" t="s">
        <v>135</v>
      </c>
      <c r="X25" s="49">
        <v>1.9199999999999998E-2</v>
      </c>
      <c r="Y25" s="49">
        <v>2.18E-2</v>
      </c>
      <c r="Z25" s="49">
        <v>7.0777000000000001</v>
      </c>
      <c r="AA25" s="49">
        <v>8.4478000000000009</v>
      </c>
      <c r="AB25" s="49">
        <f t="shared" si="6"/>
        <v>7.0969</v>
      </c>
      <c r="AC25" s="49">
        <f t="shared" si="7"/>
        <v>8.4696</v>
      </c>
      <c r="AD25" s="49" t="s">
        <v>135</v>
      </c>
      <c r="AE25" s="49" t="s">
        <v>203</v>
      </c>
      <c r="AF25" s="49" t="s">
        <v>203</v>
      </c>
      <c r="AG25" s="49" t="s">
        <v>137</v>
      </c>
    </row>
    <row r="26" spans="1:33">
      <c r="A26" s="2"/>
      <c r="B26" s="2"/>
      <c r="C26" s="2"/>
      <c r="D26" s="2"/>
      <c r="E26" s="2"/>
      <c r="F26" s="50" t="s">
        <v>204</v>
      </c>
      <c r="G26" s="129">
        <f>AVERAGE(H16:H25)-AVERAGE(G16:G25)</f>
        <v>-0.25365</v>
      </c>
      <c r="H26" s="127"/>
      <c r="I26" s="129">
        <f>AVERAGE(J16:J25)-AVERAGE(I16:I25)</f>
        <v>1.72575</v>
      </c>
      <c r="J26" s="127"/>
      <c r="K26" s="129">
        <f>AVERAGE(L16:L25)-AVERAGE(K16:K25)</f>
        <v>1.4721</v>
      </c>
      <c r="L26" s="127"/>
      <c r="M26" s="2"/>
      <c r="N26" s="2"/>
      <c r="O26" s="2"/>
      <c r="P26" s="2"/>
      <c r="Q26" s="2"/>
      <c r="R26" s="2"/>
      <c r="S26" s="2"/>
      <c r="T26" s="2"/>
      <c r="U26" s="2"/>
      <c r="V26" s="2"/>
      <c r="W26" s="50" t="s">
        <v>204</v>
      </c>
      <c r="X26" s="129">
        <f>AVERAGE(Y16:Y25)-AVERAGE(X16:X25)</f>
        <v>-0.14277</v>
      </c>
      <c r="Y26" s="127"/>
      <c r="Z26" s="129">
        <f>AVERAGE(AA16:AA25)-AVERAGE(Z16:Z25)</f>
        <v>1.35421</v>
      </c>
      <c r="AA26" s="127"/>
      <c r="AB26" s="129">
        <f>AVERAGE(AC16:AC25)-AVERAGE(AB16:AB25)</f>
        <v>1.21144</v>
      </c>
      <c r="AC26" s="127"/>
      <c r="AD26" s="2"/>
      <c r="AE26" s="2"/>
      <c r="AF26" s="2"/>
      <c r="AG26" s="2"/>
    </row>
    <row r="27" spans="1:33">
      <c r="A27" s="128" t="s">
        <v>9</v>
      </c>
      <c r="B27" s="128" t="s">
        <v>126</v>
      </c>
      <c r="C27" s="128" t="s">
        <v>195</v>
      </c>
      <c r="D27" s="128" t="s">
        <v>196</v>
      </c>
      <c r="E27" s="128" t="s">
        <v>197</v>
      </c>
      <c r="F27" s="128" t="s">
        <v>198</v>
      </c>
      <c r="G27" s="128" t="s">
        <v>199</v>
      </c>
      <c r="H27" s="106"/>
      <c r="I27" s="128" t="s">
        <v>200</v>
      </c>
      <c r="J27" s="106"/>
      <c r="K27" s="128" t="s">
        <v>205</v>
      </c>
      <c r="L27" s="106"/>
      <c r="M27" s="128" t="s">
        <v>202</v>
      </c>
      <c r="N27" s="128" t="s">
        <v>13</v>
      </c>
      <c r="O27" s="128" t="s">
        <v>133</v>
      </c>
      <c r="P27" s="128" t="s">
        <v>134</v>
      </c>
      <c r="Q27" s="2"/>
      <c r="R27" s="128" t="s">
        <v>9</v>
      </c>
      <c r="S27" s="128" t="s">
        <v>126</v>
      </c>
      <c r="T27" s="128" t="s">
        <v>195</v>
      </c>
      <c r="U27" s="128" t="s">
        <v>196</v>
      </c>
      <c r="V27" s="128" t="s">
        <v>197</v>
      </c>
      <c r="W27" s="128" t="s">
        <v>198</v>
      </c>
      <c r="X27" s="128" t="s">
        <v>199</v>
      </c>
      <c r="Y27" s="106"/>
      <c r="Z27" s="128" t="s">
        <v>200</v>
      </c>
      <c r="AA27" s="106"/>
      <c r="AB27" s="128" t="s">
        <v>205</v>
      </c>
      <c r="AC27" s="106"/>
      <c r="AD27" s="128" t="s">
        <v>202</v>
      </c>
      <c r="AE27" s="128" t="s">
        <v>13</v>
      </c>
      <c r="AF27" s="128" t="s">
        <v>133</v>
      </c>
      <c r="AG27" s="128" t="s">
        <v>134</v>
      </c>
    </row>
    <row r="28" spans="1:33">
      <c r="A28" s="111"/>
      <c r="B28" s="111"/>
      <c r="C28" s="111"/>
      <c r="D28" s="111"/>
      <c r="E28" s="111"/>
      <c r="F28" s="111"/>
      <c r="G28" s="18" t="s">
        <v>165</v>
      </c>
      <c r="H28" s="51" t="s">
        <v>164</v>
      </c>
      <c r="I28" s="18" t="s">
        <v>165</v>
      </c>
      <c r="J28" s="51" t="s">
        <v>164</v>
      </c>
      <c r="K28" s="18" t="s">
        <v>165</v>
      </c>
      <c r="L28" s="51" t="s">
        <v>164</v>
      </c>
      <c r="M28" s="111"/>
      <c r="N28" s="111"/>
      <c r="O28" s="111"/>
      <c r="P28" s="111"/>
      <c r="Q28" s="2"/>
      <c r="R28" s="111"/>
      <c r="S28" s="111"/>
      <c r="T28" s="111"/>
      <c r="U28" s="111"/>
      <c r="V28" s="111"/>
      <c r="W28" s="111"/>
      <c r="X28" s="18" t="s">
        <v>165</v>
      </c>
      <c r="Y28" s="51" t="s">
        <v>164</v>
      </c>
      <c r="Z28" s="18" t="s">
        <v>165</v>
      </c>
      <c r="AA28" s="51" t="s">
        <v>164</v>
      </c>
      <c r="AB28" s="18" t="s">
        <v>165</v>
      </c>
      <c r="AC28" s="51" t="s">
        <v>164</v>
      </c>
      <c r="AD28" s="111"/>
      <c r="AE28" s="111"/>
      <c r="AF28" s="111"/>
      <c r="AG28" s="111"/>
    </row>
    <row r="29" spans="1:33">
      <c r="A29" s="49">
        <v>3</v>
      </c>
      <c r="B29" s="49">
        <v>1</v>
      </c>
      <c r="C29" s="49" t="s">
        <v>135</v>
      </c>
      <c r="D29" s="49" t="s">
        <v>135</v>
      </c>
      <c r="E29" s="49" t="s">
        <v>135</v>
      </c>
      <c r="F29" s="49" t="s">
        <v>135</v>
      </c>
      <c r="G29" s="49">
        <v>1.9599999999999999E-2</v>
      </c>
      <c r="H29" s="49">
        <v>3.1899999999999998E-2</v>
      </c>
      <c r="I29" s="49">
        <v>7.0540000000000003</v>
      </c>
      <c r="J29" s="49">
        <v>7.4539</v>
      </c>
      <c r="K29" s="49">
        <f t="shared" ref="K29:K38" si="8">G29+I29</f>
        <v>7.0736</v>
      </c>
      <c r="L29" s="49">
        <f t="shared" ref="L29:L38" si="9">H29+J29</f>
        <v>7.4858</v>
      </c>
      <c r="M29" s="49" t="s">
        <v>135</v>
      </c>
      <c r="N29" s="49" t="s">
        <v>203</v>
      </c>
      <c r="O29" s="49" t="s">
        <v>203</v>
      </c>
      <c r="P29" s="49" t="s">
        <v>137</v>
      </c>
      <c r="Q29" s="2"/>
      <c r="R29" s="49">
        <v>8</v>
      </c>
      <c r="S29" s="49">
        <v>1</v>
      </c>
      <c r="T29" s="49" t="s">
        <v>135</v>
      </c>
      <c r="U29" s="49" t="s">
        <v>135</v>
      </c>
      <c r="V29" s="49" t="s">
        <v>135</v>
      </c>
      <c r="W29" s="49" t="s">
        <v>135</v>
      </c>
      <c r="X29" s="49">
        <v>1.5328999999999999</v>
      </c>
      <c r="Y29" s="49">
        <v>9.2999999999999992E-3</v>
      </c>
      <c r="Z29" s="49">
        <v>5.5189000000000004</v>
      </c>
      <c r="AA29" s="49">
        <v>7.5004</v>
      </c>
      <c r="AB29" s="49">
        <f t="shared" ref="AB29:AB38" si="10">X29+Z29</f>
        <v>7.0518</v>
      </c>
      <c r="AC29" s="49">
        <f t="shared" ref="AC29:AC38" si="11">Y29+AA29</f>
        <v>7.5097</v>
      </c>
      <c r="AD29" s="49" t="s">
        <v>135</v>
      </c>
      <c r="AE29" s="49" t="s">
        <v>203</v>
      </c>
      <c r="AF29" s="49" t="s">
        <v>203</v>
      </c>
      <c r="AG29" s="49" t="s">
        <v>137</v>
      </c>
    </row>
    <row r="30" spans="1:33">
      <c r="A30" s="49">
        <v>3</v>
      </c>
      <c r="B30" s="49">
        <v>2</v>
      </c>
      <c r="C30" s="49" t="s">
        <v>135</v>
      </c>
      <c r="D30" s="49" t="s">
        <v>135</v>
      </c>
      <c r="E30" s="49" t="s">
        <v>135</v>
      </c>
      <c r="F30" s="49" t="s">
        <v>135</v>
      </c>
      <c r="G30" s="49">
        <v>8.8000000000000005E-3</v>
      </c>
      <c r="H30" s="49">
        <v>3.4200000000000001E-2</v>
      </c>
      <c r="I30" s="49">
        <v>7.0701000000000001</v>
      </c>
      <c r="J30" s="49">
        <v>7.4042000000000003</v>
      </c>
      <c r="K30" s="49">
        <f t="shared" si="8"/>
        <v>7.0789</v>
      </c>
      <c r="L30" s="49">
        <f t="shared" si="9"/>
        <v>7.4384</v>
      </c>
      <c r="M30" s="49" t="s">
        <v>135</v>
      </c>
      <c r="N30" s="49" t="s">
        <v>203</v>
      </c>
      <c r="O30" s="49" t="s">
        <v>203</v>
      </c>
      <c r="P30" s="49" t="s">
        <v>137</v>
      </c>
      <c r="Q30" s="2"/>
      <c r="R30" s="49">
        <v>8</v>
      </c>
      <c r="S30" s="49">
        <v>2</v>
      </c>
      <c r="T30" s="49" t="s">
        <v>135</v>
      </c>
      <c r="U30" s="49" t="s">
        <v>135</v>
      </c>
      <c r="V30" s="49" t="s">
        <v>135</v>
      </c>
      <c r="W30" s="49" t="s">
        <v>135</v>
      </c>
      <c r="X30" s="49">
        <v>1.9400000000000001E-2</v>
      </c>
      <c r="Y30" s="49">
        <v>2.0400000000000001E-2</v>
      </c>
      <c r="Z30" s="49">
        <v>7.0667</v>
      </c>
      <c r="AA30" s="49">
        <v>7.5018000000000002</v>
      </c>
      <c r="AB30" s="49">
        <f t="shared" si="10"/>
        <v>7.0861</v>
      </c>
      <c r="AC30" s="49">
        <f t="shared" si="11"/>
        <v>7.5222</v>
      </c>
      <c r="AD30" s="49" t="s">
        <v>135</v>
      </c>
      <c r="AE30" s="49" t="s">
        <v>203</v>
      </c>
      <c r="AF30" s="49" t="s">
        <v>203</v>
      </c>
      <c r="AG30" s="49" t="s">
        <v>137</v>
      </c>
    </row>
    <row r="31" spans="1:33">
      <c r="A31" s="49">
        <v>3</v>
      </c>
      <c r="B31" s="49">
        <v>3</v>
      </c>
      <c r="C31" s="49" t="s">
        <v>135</v>
      </c>
      <c r="D31" s="49" t="s">
        <v>135</v>
      </c>
      <c r="E31" s="49" t="s">
        <v>135</v>
      </c>
      <c r="F31" s="49" t="s">
        <v>135</v>
      </c>
      <c r="G31" s="49">
        <v>1.9300000000000001E-2</v>
      </c>
      <c r="H31" s="49">
        <v>3.0499999999999999E-2</v>
      </c>
      <c r="I31" s="49">
        <v>7.0694999999999997</v>
      </c>
      <c r="J31" s="49">
        <v>7.4922000000000004</v>
      </c>
      <c r="K31" s="49">
        <f t="shared" si="8"/>
        <v>7.0888</v>
      </c>
      <c r="L31" s="49">
        <f t="shared" si="9"/>
        <v>7.5227</v>
      </c>
      <c r="M31" s="49" t="s">
        <v>135</v>
      </c>
      <c r="N31" s="49" t="s">
        <v>203</v>
      </c>
      <c r="O31" s="49" t="s">
        <v>203</v>
      </c>
      <c r="P31" s="49" t="s">
        <v>137</v>
      </c>
      <c r="Q31" s="2"/>
      <c r="R31" s="49">
        <v>8</v>
      </c>
      <c r="S31" s="49">
        <v>3</v>
      </c>
      <c r="T31" s="49" t="s">
        <v>135</v>
      </c>
      <c r="U31" s="49" t="s">
        <v>135</v>
      </c>
      <c r="V31" s="49" t="s">
        <v>135</v>
      </c>
      <c r="W31" s="49" t="s">
        <v>135</v>
      </c>
      <c r="X31" s="49">
        <v>1.9800000000000002E-2</v>
      </c>
      <c r="Y31" s="49">
        <v>2.1100000000000001E-2</v>
      </c>
      <c r="Z31" s="49">
        <v>7.0667999999999997</v>
      </c>
      <c r="AA31" s="49">
        <v>7.4090999999999996</v>
      </c>
      <c r="AB31" s="49">
        <f t="shared" si="10"/>
        <v>7.0866</v>
      </c>
      <c r="AC31" s="49">
        <f t="shared" si="11"/>
        <v>7.4302</v>
      </c>
      <c r="AD31" s="49" t="s">
        <v>135</v>
      </c>
      <c r="AE31" s="49" t="s">
        <v>203</v>
      </c>
      <c r="AF31" s="49" t="s">
        <v>203</v>
      </c>
      <c r="AG31" s="49" t="s">
        <v>137</v>
      </c>
    </row>
    <row r="32" spans="1:33">
      <c r="A32" s="49">
        <v>3</v>
      </c>
      <c r="B32" s="49">
        <v>4</v>
      </c>
      <c r="C32" s="49" t="s">
        <v>135</v>
      </c>
      <c r="D32" s="49" t="s">
        <v>135</v>
      </c>
      <c r="E32" s="49" t="s">
        <v>135</v>
      </c>
      <c r="F32" s="49" t="s">
        <v>135</v>
      </c>
      <c r="G32" s="49">
        <v>1.9E-2</v>
      </c>
      <c r="H32" s="49">
        <v>1.0999999999999999E-2</v>
      </c>
      <c r="I32" s="49">
        <v>7.0612000000000004</v>
      </c>
      <c r="J32" s="49">
        <v>7.399</v>
      </c>
      <c r="K32" s="49">
        <f t="shared" si="8"/>
        <v>7.0802</v>
      </c>
      <c r="L32" s="49">
        <f t="shared" si="9"/>
        <v>7.41</v>
      </c>
      <c r="M32" s="49" t="s">
        <v>135</v>
      </c>
      <c r="N32" s="49" t="s">
        <v>203</v>
      </c>
      <c r="O32" s="49" t="s">
        <v>203</v>
      </c>
      <c r="P32" s="49" t="s">
        <v>137</v>
      </c>
      <c r="Q32" s="2"/>
      <c r="R32" s="49">
        <v>8</v>
      </c>
      <c r="S32" s="49">
        <v>4</v>
      </c>
      <c r="T32" s="49" t="s">
        <v>135</v>
      </c>
      <c r="U32" s="49" t="s">
        <v>135</v>
      </c>
      <c r="V32" s="49" t="s">
        <v>135</v>
      </c>
      <c r="W32" s="49" t="s">
        <v>135</v>
      </c>
      <c r="X32" s="49">
        <v>1.9199999999999998E-2</v>
      </c>
      <c r="Y32" s="49">
        <v>2.3800000000000002E-2</v>
      </c>
      <c r="Z32" s="49">
        <v>7.0791000000000004</v>
      </c>
      <c r="AA32" s="49">
        <v>7.4722</v>
      </c>
      <c r="AB32" s="49">
        <f t="shared" si="10"/>
        <v>7.0983</v>
      </c>
      <c r="AC32" s="49">
        <f t="shared" si="11"/>
        <v>7.496</v>
      </c>
      <c r="AD32" s="49" t="s">
        <v>135</v>
      </c>
      <c r="AE32" s="49" t="s">
        <v>203</v>
      </c>
      <c r="AF32" s="49" t="s">
        <v>203</v>
      </c>
      <c r="AG32" s="49" t="s">
        <v>137</v>
      </c>
    </row>
    <row r="33" spans="1:33">
      <c r="A33" s="49">
        <v>3</v>
      </c>
      <c r="B33" s="49">
        <v>5</v>
      </c>
      <c r="C33" s="49" t="s">
        <v>135</v>
      </c>
      <c r="D33" s="49" t="s">
        <v>135</v>
      </c>
      <c r="E33" s="49" t="s">
        <v>135</v>
      </c>
      <c r="F33" s="49" t="s">
        <v>135</v>
      </c>
      <c r="G33" s="49">
        <v>9.7999999999999997E-3</v>
      </c>
      <c r="H33" s="49">
        <v>2.2800000000000001E-2</v>
      </c>
      <c r="I33" s="49">
        <v>7.069</v>
      </c>
      <c r="J33" s="49">
        <v>7.4020999999999999</v>
      </c>
      <c r="K33" s="49">
        <f t="shared" si="8"/>
        <v>7.0788</v>
      </c>
      <c r="L33" s="49">
        <f t="shared" si="9"/>
        <v>7.4249</v>
      </c>
      <c r="M33" s="49" t="s">
        <v>135</v>
      </c>
      <c r="N33" s="49" t="s">
        <v>203</v>
      </c>
      <c r="O33" s="49" t="s">
        <v>203</v>
      </c>
      <c r="P33" s="49" t="s">
        <v>137</v>
      </c>
      <c r="Q33" s="2"/>
      <c r="R33" s="49">
        <v>8</v>
      </c>
      <c r="S33" s="49">
        <v>5</v>
      </c>
      <c r="T33" s="49" t="s">
        <v>135</v>
      </c>
      <c r="U33" s="49" t="s">
        <v>135</v>
      </c>
      <c r="V33" s="49" t="s">
        <v>135</v>
      </c>
      <c r="W33" s="49" t="s">
        <v>135</v>
      </c>
      <c r="X33" s="49">
        <v>2.0199999999999999E-2</v>
      </c>
      <c r="Y33" s="49">
        <v>2.0899999999999998E-2</v>
      </c>
      <c r="Z33" s="49">
        <v>7.0553999999999997</v>
      </c>
      <c r="AA33" s="49">
        <v>10.292299999999999</v>
      </c>
      <c r="AB33" s="49">
        <f t="shared" si="10"/>
        <v>7.0756</v>
      </c>
      <c r="AC33" s="49">
        <f t="shared" si="11"/>
        <v>10.3132</v>
      </c>
      <c r="AD33" s="49" t="s">
        <v>135</v>
      </c>
      <c r="AE33" s="49" t="s">
        <v>203</v>
      </c>
      <c r="AF33" s="49" t="s">
        <v>203</v>
      </c>
      <c r="AG33" s="49" t="s">
        <v>137</v>
      </c>
    </row>
    <row r="34" spans="1:33">
      <c r="A34" s="49">
        <v>3</v>
      </c>
      <c r="B34" s="49">
        <v>6</v>
      </c>
      <c r="C34" s="49" t="s">
        <v>135</v>
      </c>
      <c r="D34" s="49" t="s">
        <v>135</v>
      </c>
      <c r="E34" s="49" t="s">
        <v>135</v>
      </c>
      <c r="F34" s="49" t="s">
        <v>135</v>
      </c>
      <c r="G34" s="49">
        <v>1.9300000000000001E-2</v>
      </c>
      <c r="H34" s="49">
        <v>2.3300000000000001E-2</v>
      </c>
      <c r="I34" s="49">
        <v>7.0639000000000003</v>
      </c>
      <c r="J34" s="49">
        <v>9.5233000000000008</v>
      </c>
      <c r="K34" s="49">
        <f t="shared" si="8"/>
        <v>7.0832</v>
      </c>
      <c r="L34" s="49">
        <f t="shared" si="9"/>
        <v>9.5466</v>
      </c>
      <c r="M34" s="49" t="s">
        <v>135</v>
      </c>
      <c r="N34" s="49" t="s">
        <v>203</v>
      </c>
      <c r="O34" s="49" t="s">
        <v>203</v>
      </c>
      <c r="P34" s="49" t="s">
        <v>137</v>
      </c>
      <c r="Q34" s="2"/>
      <c r="R34" s="49">
        <v>8</v>
      </c>
      <c r="S34" s="49">
        <v>6</v>
      </c>
      <c r="T34" s="49" t="s">
        <v>135</v>
      </c>
      <c r="U34" s="49" t="s">
        <v>135</v>
      </c>
      <c r="V34" s="49" t="s">
        <v>135</v>
      </c>
      <c r="W34" s="49" t="s">
        <v>135</v>
      </c>
      <c r="X34" s="49">
        <v>9.4999999999999998E-3</v>
      </c>
      <c r="Y34" s="49">
        <v>2.3099999999999999E-2</v>
      </c>
      <c r="Z34" s="49">
        <v>7.0730000000000004</v>
      </c>
      <c r="AA34" s="49">
        <v>7.4413</v>
      </c>
      <c r="AB34" s="49">
        <f t="shared" si="10"/>
        <v>7.0825</v>
      </c>
      <c r="AC34" s="49">
        <f t="shared" si="11"/>
        <v>7.4644</v>
      </c>
      <c r="AD34" s="49" t="s">
        <v>135</v>
      </c>
      <c r="AE34" s="49" t="s">
        <v>203</v>
      </c>
      <c r="AF34" s="49" t="s">
        <v>203</v>
      </c>
      <c r="AG34" s="49" t="s">
        <v>137</v>
      </c>
    </row>
    <row r="35" spans="1:33">
      <c r="A35" s="49">
        <v>3</v>
      </c>
      <c r="B35" s="49">
        <v>7</v>
      </c>
      <c r="C35" s="49" t="s">
        <v>135</v>
      </c>
      <c r="D35" s="49" t="s">
        <v>135</v>
      </c>
      <c r="E35" s="49" t="s">
        <v>135</v>
      </c>
      <c r="F35" s="49" t="s">
        <v>135</v>
      </c>
      <c r="G35" s="49">
        <v>1.77E-2</v>
      </c>
      <c r="H35" s="49">
        <v>1.9E-2</v>
      </c>
      <c r="I35" s="49">
        <v>7.0667</v>
      </c>
      <c r="J35" s="49">
        <v>7.4189999999999996</v>
      </c>
      <c r="K35" s="49">
        <f t="shared" si="8"/>
        <v>7.0844</v>
      </c>
      <c r="L35" s="49">
        <f t="shared" si="9"/>
        <v>7.438</v>
      </c>
      <c r="M35" s="49" t="s">
        <v>135</v>
      </c>
      <c r="N35" s="49" t="s">
        <v>203</v>
      </c>
      <c r="O35" s="49" t="s">
        <v>203</v>
      </c>
      <c r="P35" s="49" t="s">
        <v>137</v>
      </c>
      <c r="Q35" s="2"/>
      <c r="R35" s="49">
        <v>8</v>
      </c>
      <c r="S35" s="49">
        <v>7</v>
      </c>
      <c r="T35" s="49" t="s">
        <v>135</v>
      </c>
      <c r="U35" s="49" t="s">
        <v>135</v>
      </c>
      <c r="V35" s="49" t="s">
        <v>135</v>
      </c>
      <c r="W35" s="49" t="s">
        <v>135</v>
      </c>
      <c r="X35" s="49">
        <v>2.1899999999999999E-2</v>
      </c>
      <c r="Y35" s="49">
        <v>1.09E-2</v>
      </c>
      <c r="Z35" s="49">
        <v>7.0647000000000002</v>
      </c>
      <c r="AA35" s="49">
        <v>7.4154999999999998</v>
      </c>
      <c r="AB35" s="49">
        <f t="shared" si="10"/>
        <v>7.0866</v>
      </c>
      <c r="AC35" s="49">
        <f t="shared" si="11"/>
        <v>7.4264</v>
      </c>
      <c r="AD35" s="49" t="s">
        <v>135</v>
      </c>
      <c r="AE35" s="49" t="s">
        <v>203</v>
      </c>
      <c r="AF35" s="49" t="s">
        <v>203</v>
      </c>
      <c r="AG35" s="49" t="s">
        <v>137</v>
      </c>
    </row>
    <row r="36" spans="1:33">
      <c r="A36" s="49">
        <v>3</v>
      </c>
      <c r="B36" s="49">
        <v>8</v>
      </c>
      <c r="C36" s="49" t="s">
        <v>135</v>
      </c>
      <c r="D36" s="49" t="s">
        <v>135</v>
      </c>
      <c r="E36" s="49" t="s">
        <v>135</v>
      </c>
      <c r="F36" s="49" t="s">
        <v>135</v>
      </c>
      <c r="G36" s="49">
        <v>2.12E-2</v>
      </c>
      <c r="H36" s="49">
        <v>0.20300000000000001</v>
      </c>
      <c r="I36" s="49">
        <v>7.0609000000000002</v>
      </c>
      <c r="J36" s="49">
        <v>7.4181999999999997</v>
      </c>
      <c r="K36" s="49">
        <f t="shared" si="8"/>
        <v>7.0821</v>
      </c>
      <c r="L36" s="49">
        <f t="shared" si="9"/>
        <v>7.6212</v>
      </c>
      <c r="M36" s="49" t="s">
        <v>135</v>
      </c>
      <c r="N36" s="49" t="s">
        <v>203</v>
      </c>
      <c r="O36" s="49" t="s">
        <v>203</v>
      </c>
      <c r="P36" s="49" t="s">
        <v>137</v>
      </c>
      <c r="Q36" s="2"/>
      <c r="R36" s="49">
        <v>8</v>
      </c>
      <c r="S36" s="49">
        <v>8</v>
      </c>
      <c r="T36" s="49" t="s">
        <v>135</v>
      </c>
      <c r="U36" s="49" t="s">
        <v>135</v>
      </c>
      <c r="V36" s="49" t="s">
        <v>135</v>
      </c>
      <c r="W36" s="49" t="s">
        <v>135</v>
      </c>
      <c r="X36" s="49">
        <v>2.0299999999999999E-2</v>
      </c>
      <c r="Y36" s="49">
        <v>2.1299999999999999E-2</v>
      </c>
      <c r="Z36" s="49">
        <v>7.0536000000000003</v>
      </c>
      <c r="AA36" s="49">
        <v>7.5689000000000002</v>
      </c>
      <c r="AB36" s="49">
        <f t="shared" si="10"/>
        <v>7.0739</v>
      </c>
      <c r="AC36" s="49">
        <f t="shared" si="11"/>
        <v>7.5902</v>
      </c>
      <c r="AD36" s="49" t="s">
        <v>135</v>
      </c>
      <c r="AE36" s="49" t="s">
        <v>203</v>
      </c>
      <c r="AF36" s="49" t="s">
        <v>203</v>
      </c>
      <c r="AG36" s="49" t="s">
        <v>137</v>
      </c>
    </row>
    <row r="37" spans="1:33">
      <c r="A37" s="49">
        <v>3</v>
      </c>
      <c r="B37" s="49">
        <v>9</v>
      </c>
      <c r="C37" s="49" t="s">
        <v>135</v>
      </c>
      <c r="D37" s="49" t="s">
        <v>135</v>
      </c>
      <c r="E37" s="49" t="s">
        <v>135</v>
      </c>
      <c r="F37" s="49" t="s">
        <v>135</v>
      </c>
      <c r="G37" s="49">
        <v>9.7999999999999997E-3</v>
      </c>
      <c r="H37" s="49">
        <v>2.1299999999999999E-2</v>
      </c>
      <c r="I37" s="49">
        <v>7.0693999999999999</v>
      </c>
      <c r="J37" s="49">
        <v>7.5030000000000001</v>
      </c>
      <c r="K37" s="49">
        <f t="shared" si="8"/>
        <v>7.0792</v>
      </c>
      <c r="L37" s="49">
        <f t="shared" si="9"/>
        <v>7.5243</v>
      </c>
      <c r="M37" s="49" t="s">
        <v>135</v>
      </c>
      <c r="N37" s="49" t="s">
        <v>203</v>
      </c>
      <c r="O37" s="49" t="s">
        <v>203</v>
      </c>
      <c r="P37" s="49" t="s">
        <v>137</v>
      </c>
      <c r="Q37" s="2"/>
      <c r="R37" s="49">
        <v>8</v>
      </c>
      <c r="S37" s="49">
        <v>9</v>
      </c>
      <c r="T37" s="49" t="s">
        <v>135</v>
      </c>
      <c r="U37" s="49" t="s">
        <v>135</v>
      </c>
      <c r="V37" s="49" t="s">
        <v>135</v>
      </c>
      <c r="W37" s="49" t="s">
        <v>135</v>
      </c>
      <c r="X37" s="49">
        <v>1.9199999999999998E-2</v>
      </c>
      <c r="Y37" s="49">
        <v>2.35E-2</v>
      </c>
      <c r="Z37" s="49">
        <v>7.0791000000000004</v>
      </c>
      <c r="AA37" s="49">
        <v>7.4302999999999999</v>
      </c>
      <c r="AB37" s="49">
        <f t="shared" si="10"/>
        <v>7.0983</v>
      </c>
      <c r="AC37" s="49">
        <f t="shared" si="11"/>
        <v>7.4538</v>
      </c>
      <c r="AD37" s="49" t="s">
        <v>135</v>
      </c>
      <c r="AE37" s="49" t="s">
        <v>203</v>
      </c>
      <c r="AF37" s="49" t="s">
        <v>203</v>
      </c>
      <c r="AG37" s="49" t="s">
        <v>137</v>
      </c>
    </row>
    <row r="38" spans="1:33">
      <c r="A38" s="49">
        <v>3</v>
      </c>
      <c r="B38" s="49">
        <v>10</v>
      </c>
      <c r="C38" s="49" t="s">
        <v>135</v>
      </c>
      <c r="D38" s="49" t="s">
        <v>135</v>
      </c>
      <c r="E38" s="49" t="s">
        <v>135</v>
      </c>
      <c r="F38" s="49" t="s">
        <v>135</v>
      </c>
      <c r="G38" s="49">
        <v>8.9999999999999998E-4</v>
      </c>
      <c r="H38" s="49">
        <v>2.2100000000000002E-2</v>
      </c>
      <c r="I38" s="49">
        <v>7.0635000000000003</v>
      </c>
      <c r="J38" s="49">
        <v>7.4851000000000001</v>
      </c>
      <c r="K38" s="49">
        <f t="shared" si="8"/>
        <v>7.0644</v>
      </c>
      <c r="L38" s="49">
        <f t="shared" si="9"/>
        <v>7.5072</v>
      </c>
      <c r="M38" s="49" t="s">
        <v>135</v>
      </c>
      <c r="N38" s="49" t="s">
        <v>203</v>
      </c>
      <c r="O38" s="49" t="s">
        <v>203</v>
      </c>
      <c r="P38" s="49" t="s">
        <v>137</v>
      </c>
      <c r="Q38" s="2"/>
      <c r="R38" s="49">
        <v>8</v>
      </c>
      <c r="S38" s="49">
        <v>10</v>
      </c>
      <c r="T38" s="49" t="s">
        <v>135</v>
      </c>
      <c r="U38" s="49" t="s">
        <v>135</v>
      </c>
      <c r="V38" s="49" t="s">
        <v>135</v>
      </c>
      <c r="W38" s="49" t="s">
        <v>135</v>
      </c>
      <c r="X38" s="49">
        <v>1.9599999999999999E-2</v>
      </c>
      <c r="Y38" s="49">
        <v>3.1199999999999999E-2</v>
      </c>
      <c r="Z38" s="49">
        <v>7.0682</v>
      </c>
      <c r="AA38" s="49">
        <v>7.4470000000000001</v>
      </c>
      <c r="AB38" s="49">
        <f t="shared" si="10"/>
        <v>7.0878</v>
      </c>
      <c r="AC38" s="49">
        <f t="shared" si="11"/>
        <v>7.4782</v>
      </c>
      <c r="AD38" s="49" t="s">
        <v>135</v>
      </c>
      <c r="AE38" s="49" t="s">
        <v>203</v>
      </c>
      <c r="AF38" s="49" t="s">
        <v>203</v>
      </c>
      <c r="AG38" s="49" t="s">
        <v>137</v>
      </c>
    </row>
    <row r="39" spans="1:33" ht="10.65" customHeight="1">
      <c r="A39" s="2"/>
      <c r="B39" s="2"/>
      <c r="C39" s="2"/>
      <c r="D39" s="2"/>
      <c r="E39" s="2"/>
      <c r="F39" s="50" t="s">
        <v>204</v>
      </c>
      <c r="G39" s="129">
        <f>AVERAGE(H29:H38)-AVERAGE(G29:G38)</f>
        <v>0.02737</v>
      </c>
      <c r="H39" s="127"/>
      <c r="I39" s="129">
        <f>AVERAGE(J29:J38)-AVERAGE(I29:I38)</f>
        <v>0.58518</v>
      </c>
      <c r="J39" s="127"/>
      <c r="K39" s="129">
        <f>AVERAGE(L29:L38)-AVERAGE(K29:K38)</f>
        <v>0.612550000000001</v>
      </c>
      <c r="L39" s="127"/>
      <c r="M39" s="2"/>
      <c r="N39" s="2"/>
      <c r="O39" s="2"/>
      <c r="P39" s="2"/>
      <c r="Q39" s="2"/>
      <c r="R39" s="2"/>
      <c r="S39" s="2"/>
      <c r="T39" s="2"/>
      <c r="U39" s="2"/>
      <c r="V39" s="2"/>
      <c r="W39" s="50" t="s">
        <v>204</v>
      </c>
      <c r="X39" s="129">
        <f>AVERAGE(Y29:Y38)-AVERAGE(X29:X38)</f>
        <v>-0.14965</v>
      </c>
      <c r="Y39" s="127"/>
      <c r="Z39" s="129">
        <f>AVERAGE(AA29:AA38)-AVERAGE(Z29:Z38)</f>
        <v>0.835329999999999</v>
      </c>
      <c r="AA39" s="127"/>
      <c r="AB39" s="129">
        <f>AVERAGE(AC29:AC38)-AVERAGE(AB29:AB38)</f>
        <v>0.68568</v>
      </c>
      <c r="AC39" s="127"/>
      <c r="AD39" s="2"/>
      <c r="AE39" s="2"/>
      <c r="AF39" s="2"/>
      <c r="AG39" s="2"/>
    </row>
    <row r="40" spans="1:33">
      <c r="A40" s="128" t="s">
        <v>9</v>
      </c>
      <c r="B40" s="128" t="s">
        <v>126</v>
      </c>
      <c r="C40" s="128" t="s">
        <v>195</v>
      </c>
      <c r="D40" s="128" t="s">
        <v>196</v>
      </c>
      <c r="E40" s="128" t="s">
        <v>197</v>
      </c>
      <c r="F40" s="128" t="s">
        <v>198</v>
      </c>
      <c r="G40" s="128" t="s">
        <v>199</v>
      </c>
      <c r="H40" s="106"/>
      <c r="I40" s="128" t="s">
        <v>200</v>
      </c>
      <c r="J40" s="106"/>
      <c r="K40" s="128" t="s">
        <v>205</v>
      </c>
      <c r="L40" s="106"/>
      <c r="M40" s="128" t="s">
        <v>202</v>
      </c>
      <c r="N40" s="128" t="s">
        <v>13</v>
      </c>
      <c r="O40" s="128" t="s">
        <v>133</v>
      </c>
      <c r="P40" s="128" t="s">
        <v>134</v>
      </c>
      <c r="Q40" s="2"/>
      <c r="R40" s="128" t="s">
        <v>9</v>
      </c>
      <c r="S40" s="128" t="s">
        <v>126</v>
      </c>
      <c r="T40" s="128" t="s">
        <v>195</v>
      </c>
      <c r="U40" s="128" t="s">
        <v>196</v>
      </c>
      <c r="V40" s="128" t="s">
        <v>197</v>
      </c>
      <c r="W40" s="128" t="s">
        <v>198</v>
      </c>
      <c r="X40" s="128" t="s">
        <v>199</v>
      </c>
      <c r="Y40" s="106"/>
      <c r="Z40" s="128" t="s">
        <v>200</v>
      </c>
      <c r="AA40" s="106"/>
      <c r="AB40" s="128" t="s">
        <v>205</v>
      </c>
      <c r="AC40" s="106"/>
      <c r="AD40" s="128" t="s">
        <v>202</v>
      </c>
      <c r="AE40" s="128" t="s">
        <v>13</v>
      </c>
      <c r="AF40" s="128" t="s">
        <v>133</v>
      </c>
      <c r="AG40" s="128" t="s">
        <v>134</v>
      </c>
    </row>
    <row r="41" spans="1:33">
      <c r="A41" s="111"/>
      <c r="B41" s="111"/>
      <c r="C41" s="111"/>
      <c r="D41" s="111"/>
      <c r="E41" s="111"/>
      <c r="F41" s="111"/>
      <c r="G41" s="18" t="s">
        <v>165</v>
      </c>
      <c r="H41" s="51" t="s">
        <v>164</v>
      </c>
      <c r="I41" s="18" t="s">
        <v>165</v>
      </c>
      <c r="J41" s="51" t="s">
        <v>164</v>
      </c>
      <c r="K41" s="18" t="s">
        <v>165</v>
      </c>
      <c r="L41" s="51" t="s">
        <v>164</v>
      </c>
      <c r="M41" s="111"/>
      <c r="N41" s="111"/>
      <c r="O41" s="111"/>
      <c r="P41" s="111"/>
      <c r="Q41" s="2"/>
      <c r="R41" s="111"/>
      <c r="S41" s="111"/>
      <c r="T41" s="111"/>
      <c r="U41" s="111"/>
      <c r="V41" s="111"/>
      <c r="W41" s="111"/>
      <c r="X41" s="18" t="s">
        <v>165</v>
      </c>
      <c r="Y41" s="51" t="s">
        <v>164</v>
      </c>
      <c r="Z41" s="18" t="s">
        <v>165</v>
      </c>
      <c r="AA41" s="51" t="s">
        <v>164</v>
      </c>
      <c r="AB41" s="18" t="s">
        <v>165</v>
      </c>
      <c r="AC41" s="51" t="s">
        <v>164</v>
      </c>
      <c r="AD41" s="111"/>
      <c r="AE41" s="111"/>
      <c r="AF41" s="111"/>
      <c r="AG41" s="111"/>
    </row>
    <row r="42" spans="1:33">
      <c r="A42" s="49">
        <v>4</v>
      </c>
      <c r="B42" s="49">
        <v>1</v>
      </c>
      <c r="C42" s="49" t="s">
        <v>135</v>
      </c>
      <c r="D42" s="49" t="s">
        <v>135</v>
      </c>
      <c r="E42" s="49" t="s">
        <v>135</v>
      </c>
      <c r="F42" s="49" t="s">
        <v>135</v>
      </c>
      <c r="G42" s="49">
        <v>1.5599999999999999E-2</v>
      </c>
      <c r="H42" s="49">
        <v>1.0800000000000001E-2</v>
      </c>
      <c r="I42" s="49">
        <v>7.0602999999999998</v>
      </c>
      <c r="J42" s="49">
        <v>8.3270999999999997</v>
      </c>
      <c r="K42" s="49">
        <f t="shared" ref="K42:K51" si="12">G42+I42</f>
        <v>7.0759</v>
      </c>
      <c r="L42" s="49">
        <f t="shared" ref="L42:L51" si="13">H42+J42</f>
        <v>8.3379</v>
      </c>
      <c r="M42" s="49" t="s">
        <v>135</v>
      </c>
      <c r="N42" s="49" t="s">
        <v>203</v>
      </c>
      <c r="O42" s="49" t="s">
        <v>203</v>
      </c>
      <c r="P42" s="49" t="s">
        <v>137</v>
      </c>
      <c r="Q42" s="2"/>
      <c r="R42" s="49">
        <v>9</v>
      </c>
      <c r="S42" s="49">
        <v>1</v>
      </c>
      <c r="T42" s="49" t="s">
        <v>135</v>
      </c>
      <c r="U42" s="49" t="s">
        <v>135</v>
      </c>
      <c r="V42" s="49" t="s">
        <v>135</v>
      </c>
      <c r="W42" s="49" t="s">
        <v>135</v>
      </c>
      <c r="X42" s="49">
        <v>1.9800000000000002E-2</v>
      </c>
      <c r="Y42" s="49">
        <v>1.12E-2</v>
      </c>
      <c r="Z42" s="49">
        <v>7.0768000000000004</v>
      </c>
      <c r="AA42" s="49">
        <v>7.6893000000000002</v>
      </c>
      <c r="AB42" s="49">
        <f t="shared" ref="AB42:AB51" si="14">X42+Z42</f>
        <v>7.0966</v>
      </c>
      <c r="AC42" s="49">
        <f t="shared" ref="AC42:AC51" si="15">Y42+AA42</f>
        <v>7.7005</v>
      </c>
      <c r="AD42" s="49" t="s">
        <v>135</v>
      </c>
      <c r="AE42" s="49" t="s">
        <v>203</v>
      </c>
      <c r="AF42" s="49" t="s">
        <v>203</v>
      </c>
      <c r="AG42" s="49" t="s">
        <v>137</v>
      </c>
    </row>
    <row r="43" spans="1:33">
      <c r="A43" s="49">
        <v>4</v>
      </c>
      <c r="B43" s="49">
        <v>2</v>
      </c>
      <c r="C43" s="49" t="s">
        <v>135</v>
      </c>
      <c r="D43" s="49" t="s">
        <v>135</v>
      </c>
      <c r="E43" s="49" t="s">
        <v>135</v>
      </c>
      <c r="F43" s="49" t="s">
        <v>135</v>
      </c>
      <c r="G43" s="49">
        <v>2.12E-2</v>
      </c>
      <c r="H43" s="49">
        <v>2.4899999999999999E-2</v>
      </c>
      <c r="I43" s="49">
        <v>7.0872000000000002</v>
      </c>
      <c r="J43" s="49">
        <v>7.5602999999999998</v>
      </c>
      <c r="K43" s="49">
        <f t="shared" si="12"/>
        <v>7.1084</v>
      </c>
      <c r="L43" s="49">
        <f t="shared" si="13"/>
        <v>7.5852</v>
      </c>
      <c r="M43" s="49" t="s">
        <v>135</v>
      </c>
      <c r="N43" s="49" t="s">
        <v>203</v>
      </c>
      <c r="O43" s="49" t="s">
        <v>203</v>
      </c>
      <c r="P43" s="49" t="s">
        <v>137</v>
      </c>
      <c r="Q43" s="2"/>
      <c r="R43" s="49">
        <v>9</v>
      </c>
      <c r="S43" s="49">
        <v>2</v>
      </c>
      <c r="T43" s="49" t="s">
        <v>135</v>
      </c>
      <c r="U43" s="49" t="s">
        <v>135</v>
      </c>
      <c r="V43" s="49" t="s">
        <v>135</v>
      </c>
      <c r="W43" s="49" t="s">
        <v>135</v>
      </c>
      <c r="X43" s="49">
        <v>1.9E-2</v>
      </c>
      <c r="Y43" s="49">
        <v>0.54900000000000004</v>
      </c>
      <c r="Z43" s="49">
        <v>7.0696000000000003</v>
      </c>
      <c r="AA43" s="49">
        <v>6.8280000000000003</v>
      </c>
      <c r="AB43" s="49">
        <f t="shared" si="14"/>
        <v>7.0886</v>
      </c>
      <c r="AC43" s="49">
        <f t="shared" si="15"/>
        <v>7.377</v>
      </c>
      <c r="AD43" s="49" t="s">
        <v>135</v>
      </c>
      <c r="AE43" s="49" t="s">
        <v>203</v>
      </c>
      <c r="AF43" s="49" t="s">
        <v>203</v>
      </c>
      <c r="AG43" s="49" t="s">
        <v>137</v>
      </c>
    </row>
    <row r="44" spans="1:33">
      <c r="A44" s="49">
        <v>4</v>
      </c>
      <c r="B44" s="49">
        <v>3</v>
      </c>
      <c r="C44" s="49" t="s">
        <v>135</v>
      </c>
      <c r="D44" s="49" t="s">
        <v>135</v>
      </c>
      <c r="E44" s="49" t="s">
        <v>135</v>
      </c>
      <c r="F44" s="49" t="s">
        <v>135</v>
      </c>
      <c r="G44" s="49">
        <v>1.8100000000000002E-2</v>
      </c>
      <c r="H44" s="49">
        <v>2.07E-2</v>
      </c>
      <c r="I44" s="49">
        <v>7.0723000000000003</v>
      </c>
      <c r="J44" s="49">
        <v>7.5747</v>
      </c>
      <c r="K44" s="49">
        <f t="shared" si="12"/>
        <v>7.0904</v>
      </c>
      <c r="L44" s="49">
        <f t="shared" si="13"/>
        <v>7.5954</v>
      </c>
      <c r="M44" s="49" t="s">
        <v>135</v>
      </c>
      <c r="N44" s="49" t="s">
        <v>203</v>
      </c>
      <c r="O44" s="49" t="s">
        <v>203</v>
      </c>
      <c r="P44" s="49" t="s">
        <v>137</v>
      </c>
      <c r="Q44" s="2"/>
      <c r="R44" s="49">
        <v>9</v>
      </c>
      <c r="S44" s="49">
        <v>3</v>
      </c>
      <c r="T44" s="49" t="s">
        <v>135</v>
      </c>
      <c r="U44" s="49" t="s">
        <v>135</v>
      </c>
      <c r="V44" s="49" t="s">
        <v>135</v>
      </c>
      <c r="W44" s="49" t="s">
        <v>135</v>
      </c>
      <c r="X44" s="49">
        <v>3.0009999999999998E-2</v>
      </c>
      <c r="Y44" s="49">
        <v>2.3099999999999999E-2</v>
      </c>
      <c r="Z44" s="49">
        <v>7.0728</v>
      </c>
      <c r="AA44" s="49">
        <v>7.3617999999999997</v>
      </c>
      <c r="AB44" s="49">
        <f t="shared" si="14"/>
        <v>7.10281</v>
      </c>
      <c r="AC44" s="49">
        <f t="shared" si="15"/>
        <v>7.3849</v>
      </c>
      <c r="AD44" s="49" t="s">
        <v>135</v>
      </c>
      <c r="AE44" s="49" t="s">
        <v>203</v>
      </c>
      <c r="AF44" s="49" t="s">
        <v>203</v>
      </c>
      <c r="AG44" s="49" t="s">
        <v>137</v>
      </c>
    </row>
    <row r="45" spans="1:33">
      <c r="A45" s="49">
        <v>4</v>
      </c>
      <c r="B45" s="49">
        <v>4</v>
      </c>
      <c r="C45" s="49" t="s">
        <v>135</v>
      </c>
      <c r="D45" s="49" t="s">
        <v>135</v>
      </c>
      <c r="E45" s="49" t="s">
        <v>135</v>
      </c>
      <c r="F45" s="49" t="s">
        <v>135</v>
      </c>
      <c r="G45" s="49">
        <v>1.9699999999999999E-2</v>
      </c>
      <c r="H45" s="49">
        <v>1.2200000000000001E-2</v>
      </c>
      <c r="I45" s="49">
        <v>7.0654000000000003</v>
      </c>
      <c r="J45" s="49">
        <v>7.9047999999999998</v>
      </c>
      <c r="K45" s="49">
        <f t="shared" si="12"/>
        <v>7.0851</v>
      </c>
      <c r="L45" s="49">
        <f t="shared" si="13"/>
        <v>7.917</v>
      </c>
      <c r="M45" s="49" t="s">
        <v>135</v>
      </c>
      <c r="N45" s="49" t="s">
        <v>203</v>
      </c>
      <c r="O45" s="49" t="s">
        <v>203</v>
      </c>
      <c r="P45" s="49" t="s">
        <v>137</v>
      </c>
      <c r="Q45" s="2"/>
      <c r="R45" s="49">
        <v>9</v>
      </c>
      <c r="S45" s="49">
        <v>4</v>
      </c>
      <c r="T45" s="49" t="s">
        <v>135</v>
      </c>
      <c r="U45" s="49" t="s">
        <v>135</v>
      </c>
      <c r="V45" s="49" t="s">
        <v>135</v>
      </c>
      <c r="W45" s="49" t="s">
        <v>135</v>
      </c>
      <c r="X45" s="49">
        <v>8.8000000000000005E-3</v>
      </c>
      <c r="Y45" s="49">
        <v>1.2E-2</v>
      </c>
      <c r="Z45" s="49">
        <v>6.2550999999999997</v>
      </c>
      <c r="AA45" s="49">
        <v>7.6147999999999998</v>
      </c>
      <c r="AB45" s="49">
        <f t="shared" si="14"/>
        <v>6.2639</v>
      </c>
      <c r="AC45" s="49">
        <f t="shared" si="15"/>
        <v>7.6268</v>
      </c>
      <c r="AD45" s="49" t="s">
        <v>135</v>
      </c>
      <c r="AE45" s="49" t="s">
        <v>203</v>
      </c>
      <c r="AF45" s="49" t="s">
        <v>203</v>
      </c>
      <c r="AG45" s="49" t="s">
        <v>137</v>
      </c>
    </row>
    <row r="46" spans="1:33">
      <c r="A46" s="49">
        <v>4</v>
      </c>
      <c r="B46" s="49">
        <v>5</v>
      </c>
      <c r="C46" s="49" t="s">
        <v>135</v>
      </c>
      <c r="D46" s="49" t="s">
        <v>135</v>
      </c>
      <c r="E46" s="49" t="s">
        <v>135</v>
      </c>
      <c r="F46" s="49" t="s">
        <v>135</v>
      </c>
      <c r="G46" s="49">
        <v>1.9699999999999999E-2</v>
      </c>
      <c r="H46" s="49">
        <v>1.9300000000000001E-2</v>
      </c>
      <c r="I46" s="49">
        <v>7.07</v>
      </c>
      <c r="J46" s="49">
        <v>7.5491999999999999</v>
      </c>
      <c r="K46" s="49">
        <f t="shared" si="12"/>
        <v>7.0897</v>
      </c>
      <c r="L46" s="49">
        <f t="shared" si="13"/>
        <v>7.5685</v>
      </c>
      <c r="M46" s="49" t="s">
        <v>135</v>
      </c>
      <c r="N46" s="49" t="s">
        <v>203</v>
      </c>
      <c r="O46" s="49" t="s">
        <v>203</v>
      </c>
      <c r="P46" s="49" t="s">
        <v>137</v>
      </c>
      <c r="Q46" s="2"/>
      <c r="R46" s="49">
        <v>9</v>
      </c>
      <c r="S46" s="49">
        <v>5</v>
      </c>
      <c r="T46" s="49" t="s">
        <v>135</v>
      </c>
      <c r="U46" s="49" t="s">
        <v>135</v>
      </c>
      <c r="V46" s="49" t="s">
        <v>135</v>
      </c>
      <c r="W46" s="49" t="s">
        <v>135</v>
      </c>
      <c r="X46" s="49">
        <v>8.6E-3</v>
      </c>
      <c r="Y46" s="49">
        <v>1.03E-2</v>
      </c>
      <c r="Z46" s="49">
        <v>7.0937000000000001</v>
      </c>
      <c r="AA46" s="49">
        <v>6.8593999999999999</v>
      </c>
      <c r="AB46" s="49">
        <f t="shared" si="14"/>
        <v>7.1023</v>
      </c>
      <c r="AC46" s="49">
        <f t="shared" si="15"/>
        <v>6.8697</v>
      </c>
      <c r="AD46" s="49" t="s">
        <v>135</v>
      </c>
      <c r="AE46" s="49" t="s">
        <v>203</v>
      </c>
      <c r="AF46" s="49" t="s">
        <v>203</v>
      </c>
      <c r="AG46" s="49" t="s">
        <v>137</v>
      </c>
    </row>
    <row r="47" spans="1:33">
      <c r="A47" s="49">
        <v>4</v>
      </c>
      <c r="B47" s="49">
        <v>6</v>
      </c>
      <c r="C47" s="49" t="s">
        <v>135</v>
      </c>
      <c r="D47" s="49" t="s">
        <v>135</v>
      </c>
      <c r="E47" s="49" t="s">
        <v>135</v>
      </c>
      <c r="F47" s="49" t="s">
        <v>135</v>
      </c>
      <c r="G47" s="49">
        <v>2.0299999999999999E-2</v>
      </c>
      <c r="H47" s="49">
        <v>0.53129999999999999</v>
      </c>
      <c r="I47" s="49">
        <v>7.0792999999999999</v>
      </c>
      <c r="J47" s="49">
        <v>6.9820000000000002</v>
      </c>
      <c r="K47" s="49">
        <f t="shared" si="12"/>
        <v>7.0996</v>
      </c>
      <c r="L47" s="49">
        <f t="shared" si="13"/>
        <v>7.5133</v>
      </c>
      <c r="M47" s="49" t="s">
        <v>135</v>
      </c>
      <c r="N47" s="49" t="s">
        <v>203</v>
      </c>
      <c r="O47" s="49" t="s">
        <v>203</v>
      </c>
      <c r="P47" s="49" t="s">
        <v>137</v>
      </c>
      <c r="Q47" s="2"/>
      <c r="R47" s="49">
        <v>9</v>
      </c>
      <c r="S47" s="49">
        <v>6</v>
      </c>
      <c r="T47" s="49" t="s">
        <v>135</v>
      </c>
      <c r="U47" s="49" t="s">
        <v>135</v>
      </c>
      <c r="V47" s="49" t="s">
        <v>135</v>
      </c>
      <c r="W47" s="49" t="s">
        <v>135</v>
      </c>
      <c r="X47" s="49">
        <v>9.7000000000000003E-3</v>
      </c>
      <c r="Y47" s="49">
        <v>1.9900000000000001E-2</v>
      </c>
      <c r="Z47" s="49">
        <v>7.0743999999999998</v>
      </c>
      <c r="AA47" s="49">
        <v>8.1548999999999996</v>
      </c>
      <c r="AB47" s="49">
        <f t="shared" si="14"/>
        <v>7.0841</v>
      </c>
      <c r="AC47" s="49">
        <f t="shared" si="15"/>
        <v>8.1748</v>
      </c>
      <c r="AD47" s="49" t="s">
        <v>135</v>
      </c>
      <c r="AE47" s="49" t="s">
        <v>203</v>
      </c>
      <c r="AF47" s="49" t="s">
        <v>203</v>
      </c>
      <c r="AG47" s="49" t="s">
        <v>137</v>
      </c>
    </row>
    <row r="48" spans="1:33">
      <c r="A48" s="49">
        <v>4</v>
      </c>
      <c r="B48" s="49">
        <v>7</v>
      </c>
      <c r="C48" s="49" t="s">
        <v>135</v>
      </c>
      <c r="D48" s="49" t="s">
        <v>135</v>
      </c>
      <c r="E48" s="49" t="s">
        <v>135</v>
      </c>
      <c r="F48" s="49" t="s">
        <v>135</v>
      </c>
      <c r="G48" s="49">
        <v>1.9900000000000001E-2</v>
      </c>
      <c r="H48" s="49">
        <v>1.9300000000000001E-2</v>
      </c>
      <c r="I48" s="49">
        <v>7.0612000000000004</v>
      </c>
      <c r="J48" s="49">
        <v>7.5491999999999999</v>
      </c>
      <c r="K48" s="49">
        <f t="shared" si="12"/>
        <v>7.0811</v>
      </c>
      <c r="L48" s="49">
        <f t="shared" si="13"/>
        <v>7.5685</v>
      </c>
      <c r="M48" s="49" t="s">
        <v>135</v>
      </c>
      <c r="N48" s="49" t="s">
        <v>203</v>
      </c>
      <c r="O48" s="49" t="s">
        <v>203</v>
      </c>
      <c r="P48" s="49" t="s">
        <v>137</v>
      </c>
      <c r="Q48" s="2"/>
      <c r="R48" s="49">
        <v>9</v>
      </c>
      <c r="S48" s="49">
        <v>7</v>
      </c>
      <c r="T48" s="49" t="s">
        <v>135</v>
      </c>
      <c r="U48" s="49" t="s">
        <v>135</v>
      </c>
      <c r="V48" s="49" t="s">
        <v>135</v>
      </c>
      <c r="W48" s="49" t="s">
        <v>135</v>
      </c>
      <c r="X48" s="49">
        <v>1.9400000000000001E-2</v>
      </c>
      <c r="Y48" s="49">
        <v>2.1600000000000001E-2</v>
      </c>
      <c r="Z48" s="49">
        <v>7.0678000000000001</v>
      </c>
      <c r="AA48" s="49">
        <v>8.1873000000000005</v>
      </c>
      <c r="AB48" s="49">
        <f t="shared" si="14"/>
        <v>7.0872</v>
      </c>
      <c r="AC48" s="49">
        <f t="shared" si="15"/>
        <v>8.2089</v>
      </c>
      <c r="AD48" s="49" t="s">
        <v>135</v>
      </c>
      <c r="AE48" s="49" t="s">
        <v>203</v>
      </c>
      <c r="AF48" s="49" t="s">
        <v>203</v>
      </c>
      <c r="AG48" s="49" t="s">
        <v>137</v>
      </c>
    </row>
    <row r="49" spans="1:33">
      <c r="A49" s="49">
        <v>4</v>
      </c>
      <c r="B49" s="49">
        <v>8</v>
      </c>
      <c r="C49" s="49" t="s">
        <v>135</v>
      </c>
      <c r="D49" s="49" t="s">
        <v>135</v>
      </c>
      <c r="E49" s="49" t="s">
        <v>135</v>
      </c>
      <c r="F49" s="49" t="s">
        <v>135</v>
      </c>
      <c r="G49" s="49">
        <v>9.7999999999999997E-3</v>
      </c>
      <c r="H49" s="49">
        <v>0.01</v>
      </c>
      <c r="I49" s="49">
        <v>7.0685000000000002</v>
      </c>
      <c r="J49" s="49">
        <v>7.5635000000000003</v>
      </c>
      <c r="K49" s="49">
        <f t="shared" si="12"/>
        <v>7.0783</v>
      </c>
      <c r="L49" s="49">
        <f t="shared" si="13"/>
        <v>7.5735</v>
      </c>
      <c r="M49" s="49" t="s">
        <v>135</v>
      </c>
      <c r="N49" s="49" t="s">
        <v>203</v>
      </c>
      <c r="O49" s="49" t="s">
        <v>203</v>
      </c>
      <c r="P49" s="49" t="s">
        <v>137</v>
      </c>
      <c r="Q49" s="2"/>
      <c r="R49" s="49">
        <v>9</v>
      </c>
      <c r="S49" s="49">
        <v>8</v>
      </c>
      <c r="T49" s="49" t="s">
        <v>135</v>
      </c>
      <c r="U49" s="49" t="s">
        <v>135</v>
      </c>
      <c r="V49" s="49" t="s">
        <v>135</v>
      </c>
      <c r="W49" s="49" t="s">
        <v>135</v>
      </c>
      <c r="X49" s="49">
        <v>9.9000000000000008E-3</v>
      </c>
      <c r="Y49" s="49">
        <v>1.12E-2</v>
      </c>
      <c r="Z49" s="49">
        <v>7.1140999999999996</v>
      </c>
      <c r="AA49" s="49">
        <v>7.6893000000000002</v>
      </c>
      <c r="AB49" s="49">
        <f t="shared" si="14"/>
        <v>7.124</v>
      </c>
      <c r="AC49" s="49">
        <f t="shared" si="15"/>
        <v>7.7005</v>
      </c>
      <c r="AD49" s="49" t="s">
        <v>135</v>
      </c>
      <c r="AE49" s="49" t="s">
        <v>203</v>
      </c>
      <c r="AF49" s="49" t="s">
        <v>203</v>
      </c>
      <c r="AG49" s="49" t="s">
        <v>137</v>
      </c>
    </row>
    <row r="50" spans="1:33">
      <c r="A50" s="49">
        <v>4</v>
      </c>
      <c r="B50" s="49">
        <v>9</v>
      </c>
      <c r="C50" s="49" t="s">
        <v>135</v>
      </c>
      <c r="D50" s="49" t="s">
        <v>135</v>
      </c>
      <c r="E50" s="49" t="s">
        <v>135</v>
      </c>
      <c r="F50" s="49" t="s">
        <v>135</v>
      </c>
      <c r="G50" s="49">
        <v>1.9300000000000001E-2</v>
      </c>
      <c r="H50" s="49">
        <v>2.2499999999999999E-2</v>
      </c>
      <c r="I50" s="49">
        <v>7.0547000000000004</v>
      </c>
      <c r="J50" s="49">
        <v>7.9058999999999999</v>
      </c>
      <c r="K50" s="49">
        <f t="shared" si="12"/>
        <v>7.074</v>
      </c>
      <c r="L50" s="49">
        <f t="shared" si="13"/>
        <v>7.9284</v>
      </c>
      <c r="M50" s="49" t="s">
        <v>135</v>
      </c>
      <c r="N50" s="49" t="s">
        <v>203</v>
      </c>
      <c r="O50" s="49" t="s">
        <v>203</v>
      </c>
      <c r="P50" s="49" t="s">
        <v>137</v>
      </c>
      <c r="Q50" s="2"/>
      <c r="R50" s="49">
        <v>9</v>
      </c>
      <c r="S50" s="49">
        <v>9</v>
      </c>
      <c r="T50" s="49" t="s">
        <v>135</v>
      </c>
      <c r="U50" s="49" t="s">
        <v>135</v>
      </c>
      <c r="V50" s="49" t="s">
        <v>135</v>
      </c>
      <c r="W50" s="49" t="s">
        <v>135</v>
      </c>
      <c r="X50" s="49">
        <v>4.0300000000000002E-2</v>
      </c>
      <c r="Y50" s="49">
        <v>0.54900000000000004</v>
      </c>
      <c r="Z50" s="49">
        <v>7.0587</v>
      </c>
      <c r="AA50" s="49">
        <v>6.8280000000000003</v>
      </c>
      <c r="AB50" s="49">
        <f t="shared" si="14"/>
        <v>7.099</v>
      </c>
      <c r="AC50" s="49">
        <f t="shared" si="15"/>
        <v>7.377</v>
      </c>
      <c r="AD50" s="49" t="s">
        <v>135</v>
      </c>
      <c r="AE50" s="49" t="s">
        <v>203</v>
      </c>
      <c r="AF50" s="49" t="s">
        <v>203</v>
      </c>
      <c r="AG50" s="49" t="s">
        <v>137</v>
      </c>
    </row>
    <row r="51" spans="1:33">
      <c r="A51" s="49">
        <v>4</v>
      </c>
      <c r="B51" s="49">
        <v>10</v>
      </c>
      <c r="C51" s="49" t="s">
        <v>135</v>
      </c>
      <c r="D51" s="49" t="s">
        <v>135</v>
      </c>
      <c r="E51" s="49" t="s">
        <v>135</v>
      </c>
      <c r="F51" s="49" t="s">
        <v>135</v>
      </c>
      <c r="G51" s="49">
        <v>1.4484999999999999</v>
      </c>
      <c r="H51" s="49">
        <v>2.29E-2</v>
      </c>
      <c r="I51" s="49">
        <v>5.5247000000000002</v>
      </c>
      <c r="J51" s="49">
        <v>7.5846999999999998</v>
      </c>
      <c r="K51" s="49">
        <f t="shared" si="12"/>
        <v>6.9732</v>
      </c>
      <c r="L51" s="49">
        <f t="shared" si="13"/>
        <v>7.6076</v>
      </c>
      <c r="M51" s="49" t="s">
        <v>135</v>
      </c>
      <c r="N51" s="49" t="s">
        <v>203</v>
      </c>
      <c r="O51" s="49" t="s">
        <v>203</v>
      </c>
      <c r="P51" s="49" t="s">
        <v>137</v>
      </c>
      <c r="Q51" s="2"/>
      <c r="R51" s="49">
        <v>9</v>
      </c>
      <c r="S51" s="49">
        <v>10</v>
      </c>
      <c r="T51" s="49" t="s">
        <v>135</v>
      </c>
      <c r="U51" s="49" t="s">
        <v>135</v>
      </c>
      <c r="V51" s="49" t="s">
        <v>135</v>
      </c>
      <c r="W51" s="49" t="s">
        <v>135</v>
      </c>
      <c r="X51" s="49">
        <v>8.8000000000000005E-3</v>
      </c>
      <c r="Y51" s="49">
        <v>2.3099999999999999E-2</v>
      </c>
      <c r="Z51" s="49">
        <v>6.2550999999999997</v>
      </c>
      <c r="AA51" s="49">
        <v>7.3617999999999997</v>
      </c>
      <c r="AB51" s="49">
        <f t="shared" si="14"/>
        <v>6.2639</v>
      </c>
      <c r="AC51" s="49">
        <f t="shared" si="15"/>
        <v>7.3849</v>
      </c>
      <c r="AD51" s="49" t="s">
        <v>135</v>
      </c>
      <c r="AE51" s="49" t="s">
        <v>203</v>
      </c>
      <c r="AF51" s="49" t="s">
        <v>203</v>
      </c>
      <c r="AG51" s="49" t="s">
        <v>137</v>
      </c>
    </row>
    <row r="52" spans="1:33">
      <c r="A52" s="2"/>
      <c r="B52" s="2"/>
      <c r="C52" s="2"/>
      <c r="D52" s="2"/>
      <c r="E52" s="2"/>
      <c r="F52" s="50" t="s">
        <v>204</v>
      </c>
      <c r="G52" s="129">
        <f>AVERAGE(H42:H51)-AVERAGE(G42:G51)</f>
        <v>-0.09182</v>
      </c>
      <c r="H52" s="127"/>
      <c r="I52" s="129">
        <f>AVERAGE(J42:J51)-AVERAGE(I42:I51)</f>
        <v>0.73578</v>
      </c>
      <c r="J52" s="127"/>
      <c r="K52" s="129">
        <f>AVERAGE(L42:L51)-AVERAGE(K42:K51)</f>
        <v>0.64396</v>
      </c>
      <c r="L52" s="127"/>
      <c r="M52" s="2"/>
      <c r="N52" s="2"/>
      <c r="O52" s="2"/>
      <c r="P52" s="2"/>
      <c r="Q52" s="2"/>
      <c r="R52" s="2"/>
      <c r="S52" s="2"/>
      <c r="T52" s="2"/>
      <c r="U52" s="2"/>
      <c r="V52" s="2"/>
      <c r="W52" s="50" t="s">
        <v>204</v>
      </c>
      <c r="X52" s="129">
        <f>AVERAGE(Y42:Y51)-AVERAGE(X42:X51)</f>
        <v>0.105609</v>
      </c>
      <c r="Y52" s="127"/>
      <c r="Z52" s="129">
        <f>AVERAGE(AA42:AA51)-AVERAGE(Z42:Z51)</f>
        <v>0.54365</v>
      </c>
      <c r="AA52" s="127"/>
      <c r="AB52" s="129">
        <f>AVERAGE(AC42:AC51)-AVERAGE(AB42:AB51)</f>
        <v>0.649259000000001</v>
      </c>
      <c r="AC52" s="127"/>
      <c r="AD52" s="2"/>
      <c r="AE52" s="2"/>
      <c r="AF52" s="2"/>
      <c r="AG52" s="2"/>
    </row>
    <row r="53" spans="1:33">
      <c r="A53" s="128" t="s">
        <v>9</v>
      </c>
      <c r="B53" s="128" t="s">
        <v>126</v>
      </c>
      <c r="C53" s="128" t="s">
        <v>195</v>
      </c>
      <c r="D53" s="128" t="s">
        <v>196</v>
      </c>
      <c r="E53" s="128" t="s">
        <v>197</v>
      </c>
      <c r="F53" s="128" t="s">
        <v>198</v>
      </c>
      <c r="G53" s="128" t="s">
        <v>199</v>
      </c>
      <c r="H53" s="106"/>
      <c r="I53" s="128" t="s">
        <v>200</v>
      </c>
      <c r="J53" s="106"/>
      <c r="K53" s="128" t="s">
        <v>205</v>
      </c>
      <c r="L53" s="106"/>
      <c r="M53" s="128" t="s">
        <v>202</v>
      </c>
      <c r="N53" s="128" t="s">
        <v>13</v>
      </c>
      <c r="O53" s="128" t="s">
        <v>133</v>
      </c>
      <c r="P53" s="128" t="s">
        <v>134</v>
      </c>
      <c r="Q53" s="2"/>
      <c r="R53" s="128" t="s">
        <v>9</v>
      </c>
      <c r="S53" s="128" t="s">
        <v>126</v>
      </c>
      <c r="T53" s="128" t="s">
        <v>195</v>
      </c>
      <c r="U53" s="128" t="s">
        <v>196</v>
      </c>
      <c r="V53" s="128" t="s">
        <v>197</v>
      </c>
      <c r="W53" s="128" t="s">
        <v>198</v>
      </c>
      <c r="X53" s="128" t="s">
        <v>199</v>
      </c>
      <c r="Y53" s="106"/>
      <c r="Z53" s="128" t="s">
        <v>200</v>
      </c>
      <c r="AA53" s="106"/>
      <c r="AB53" s="128" t="s">
        <v>205</v>
      </c>
      <c r="AC53" s="106"/>
      <c r="AD53" s="128" t="s">
        <v>202</v>
      </c>
      <c r="AE53" s="128" t="s">
        <v>13</v>
      </c>
      <c r="AF53" s="128" t="s">
        <v>133</v>
      </c>
      <c r="AG53" s="128" t="s">
        <v>134</v>
      </c>
    </row>
    <row r="54" spans="1:33">
      <c r="A54" s="111"/>
      <c r="B54" s="111"/>
      <c r="C54" s="111"/>
      <c r="D54" s="111"/>
      <c r="E54" s="111"/>
      <c r="F54" s="111"/>
      <c r="G54" s="18" t="s">
        <v>165</v>
      </c>
      <c r="H54" s="51" t="s">
        <v>164</v>
      </c>
      <c r="I54" s="18" t="s">
        <v>165</v>
      </c>
      <c r="J54" s="51" t="s">
        <v>164</v>
      </c>
      <c r="K54" s="18" t="s">
        <v>165</v>
      </c>
      <c r="L54" s="51" t="s">
        <v>164</v>
      </c>
      <c r="M54" s="111"/>
      <c r="N54" s="111"/>
      <c r="O54" s="111"/>
      <c r="P54" s="111"/>
      <c r="Q54" s="2"/>
      <c r="R54" s="111"/>
      <c r="S54" s="111"/>
      <c r="T54" s="111"/>
      <c r="U54" s="111"/>
      <c r="V54" s="111"/>
      <c r="W54" s="111"/>
      <c r="X54" s="18" t="s">
        <v>165</v>
      </c>
      <c r="Y54" s="51" t="s">
        <v>164</v>
      </c>
      <c r="Z54" s="18" t="s">
        <v>165</v>
      </c>
      <c r="AA54" s="51" t="s">
        <v>164</v>
      </c>
      <c r="AB54" s="18" t="s">
        <v>165</v>
      </c>
      <c r="AC54" s="51" t="s">
        <v>164</v>
      </c>
      <c r="AD54" s="111"/>
      <c r="AE54" s="111"/>
      <c r="AF54" s="111"/>
      <c r="AG54" s="111"/>
    </row>
    <row r="55" spans="1:33">
      <c r="A55" s="49">
        <v>5</v>
      </c>
      <c r="B55" s="49">
        <v>1</v>
      </c>
      <c r="C55" s="49" t="s">
        <v>135</v>
      </c>
      <c r="D55" s="49" t="s">
        <v>135</v>
      </c>
      <c r="E55" s="49" t="s">
        <v>135</v>
      </c>
      <c r="F55" s="49" t="s">
        <v>135</v>
      </c>
      <c r="G55" s="49">
        <v>1.8800000000000001E-2</v>
      </c>
      <c r="H55" s="49">
        <v>0.01</v>
      </c>
      <c r="I55" s="49">
        <v>7.0702999999999996</v>
      </c>
      <c r="J55" s="49">
        <v>8.1681000000000008</v>
      </c>
      <c r="K55" s="49">
        <f t="shared" ref="K55:K64" si="16">G55+I55</f>
        <v>7.0891</v>
      </c>
      <c r="L55" s="49">
        <f t="shared" ref="L55:L64" si="17">H55+J55</f>
        <v>8.1781</v>
      </c>
      <c r="M55" s="49" t="s">
        <v>135</v>
      </c>
      <c r="N55" s="49" t="s">
        <v>203</v>
      </c>
      <c r="O55" s="49" t="s">
        <v>203</v>
      </c>
      <c r="P55" s="49" t="s">
        <v>137</v>
      </c>
      <c r="Q55" s="2"/>
      <c r="R55" s="49">
        <v>10</v>
      </c>
      <c r="S55" s="49">
        <v>1</v>
      </c>
      <c r="T55" s="49" t="s">
        <v>135</v>
      </c>
      <c r="U55" s="49" t="s">
        <v>135</v>
      </c>
      <c r="V55" s="49" t="s">
        <v>135</v>
      </c>
      <c r="W55" s="49" t="s">
        <v>135</v>
      </c>
      <c r="X55" s="49">
        <v>2.6200000000000001E-2</v>
      </c>
      <c r="Y55" s="49">
        <v>2.0299999999999999E-2</v>
      </c>
      <c r="Z55" s="49">
        <v>7.0697999999999999</v>
      </c>
      <c r="AA55" s="49">
        <v>7.6230000000000002</v>
      </c>
      <c r="AB55" s="49">
        <f t="shared" ref="AB55:AB64" si="18">X55+Z55</f>
        <v>7.096</v>
      </c>
      <c r="AC55" s="49">
        <f t="shared" ref="AC55:AC64" si="19">Y55+AA55</f>
        <v>7.6433</v>
      </c>
      <c r="AD55" s="49" t="s">
        <v>135</v>
      </c>
      <c r="AE55" s="49" t="s">
        <v>203</v>
      </c>
      <c r="AF55" s="49" t="s">
        <v>203</v>
      </c>
      <c r="AG55" s="49" t="s">
        <v>137</v>
      </c>
    </row>
    <row r="56" spans="1:33">
      <c r="A56" s="49">
        <v>5</v>
      </c>
      <c r="B56" s="49">
        <v>2</v>
      </c>
      <c r="C56" s="49" t="s">
        <v>135</v>
      </c>
      <c r="D56" s="49" t="s">
        <v>135</v>
      </c>
      <c r="E56" s="49" t="s">
        <v>135</v>
      </c>
      <c r="F56" s="49" t="s">
        <v>135</v>
      </c>
      <c r="G56" s="49">
        <v>8.3999999999999995E-3</v>
      </c>
      <c r="H56" s="49">
        <v>2.63E-2</v>
      </c>
      <c r="I56" s="49">
        <v>7.0590999999999999</v>
      </c>
      <c r="J56" s="49">
        <v>7.4009999999999998</v>
      </c>
      <c r="K56" s="49">
        <f t="shared" si="16"/>
        <v>7.0675</v>
      </c>
      <c r="L56" s="49">
        <f t="shared" si="17"/>
        <v>7.4273</v>
      </c>
      <c r="M56" s="49" t="s">
        <v>135</v>
      </c>
      <c r="N56" s="49" t="s">
        <v>203</v>
      </c>
      <c r="O56" s="49" t="s">
        <v>203</v>
      </c>
      <c r="P56" s="49" t="s">
        <v>137</v>
      </c>
      <c r="Q56" s="2"/>
      <c r="R56" s="49">
        <v>10</v>
      </c>
      <c r="S56" s="49">
        <v>2</v>
      </c>
      <c r="T56" s="49" t="s">
        <v>135</v>
      </c>
      <c r="U56" s="49" t="s">
        <v>135</v>
      </c>
      <c r="V56" s="49" t="s">
        <v>135</v>
      </c>
      <c r="W56" s="49" t="s">
        <v>135</v>
      </c>
      <c r="X56" s="49">
        <v>1.4396</v>
      </c>
      <c r="Y56" s="49">
        <v>4.3299999999999998E-2</v>
      </c>
      <c r="Z56" s="49">
        <v>5.5252999999999997</v>
      </c>
      <c r="AA56" s="49">
        <v>7.6637000000000004</v>
      </c>
      <c r="AB56" s="49">
        <f t="shared" si="18"/>
        <v>6.9649</v>
      </c>
      <c r="AC56" s="49">
        <f t="shared" si="19"/>
        <v>7.707</v>
      </c>
      <c r="AD56" s="49" t="s">
        <v>135</v>
      </c>
      <c r="AE56" s="49" t="s">
        <v>203</v>
      </c>
      <c r="AF56" s="49" t="s">
        <v>203</v>
      </c>
      <c r="AG56" s="49" t="s">
        <v>137</v>
      </c>
    </row>
    <row r="57" spans="1:33">
      <c r="A57" s="49">
        <v>5</v>
      </c>
      <c r="B57" s="49">
        <v>3</v>
      </c>
      <c r="C57" s="49" t="s">
        <v>135</v>
      </c>
      <c r="D57" s="49" t="s">
        <v>135</v>
      </c>
      <c r="E57" s="49" t="s">
        <v>135</v>
      </c>
      <c r="F57" s="49" t="s">
        <v>135</v>
      </c>
      <c r="G57" s="49">
        <v>2.93E-2</v>
      </c>
      <c r="H57" s="49">
        <v>9.4999999999999998E-3</v>
      </c>
      <c r="I57" s="49">
        <v>7.0784000000000002</v>
      </c>
      <c r="J57" s="49">
        <v>7.4744000000000002</v>
      </c>
      <c r="K57" s="49">
        <f t="shared" si="16"/>
        <v>7.1077</v>
      </c>
      <c r="L57" s="49">
        <f t="shared" si="17"/>
        <v>7.4839</v>
      </c>
      <c r="M57" s="49" t="s">
        <v>135</v>
      </c>
      <c r="N57" s="49" t="s">
        <v>203</v>
      </c>
      <c r="O57" s="49" t="s">
        <v>203</v>
      </c>
      <c r="P57" s="49" t="s">
        <v>137</v>
      </c>
      <c r="Q57" s="2"/>
      <c r="R57" s="49">
        <v>10</v>
      </c>
      <c r="S57" s="49">
        <v>3</v>
      </c>
      <c r="T57" s="49" t="s">
        <v>135</v>
      </c>
      <c r="U57" s="49" t="s">
        <v>135</v>
      </c>
      <c r="V57" s="49" t="s">
        <v>135</v>
      </c>
      <c r="W57" s="49" t="s">
        <v>135</v>
      </c>
      <c r="X57" s="49">
        <v>2.3E-2</v>
      </c>
      <c r="Y57" s="49">
        <v>2.1100000000000001E-2</v>
      </c>
      <c r="Z57" s="49">
        <v>7.0538999999999996</v>
      </c>
      <c r="AA57" s="49">
        <v>7.601</v>
      </c>
      <c r="AB57" s="49">
        <f t="shared" si="18"/>
        <v>7.0769</v>
      </c>
      <c r="AC57" s="49">
        <f t="shared" si="19"/>
        <v>7.6221</v>
      </c>
      <c r="AD57" s="49" t="s">
        <v>135</v>
      </c>
      <c r="AE57" s="49" t="s">
        <v>203</v>
      </c>
      <c r="AF57" s="49" t="s">
        <v>203</v>
      </c>
      <c r="AG57" s="49" t="s">
        <v>137</v>
      </c>
    </row>
    <row r="58" spans="1:33">
      <c r="A58" s="49">
        <v>5</v>
      </c>
      <c r="B58" s="49">
        <v>4</v>
      </c>
      <c r="C58" s="49" t="s">
        <v>135</v>
      </c>
      <c r="D58" s="49" t="s">
        <v>135</v>
      </c>
      <c r="E58" s="49" t="s">
        <v>135</v>
      </c>
      <c r="F58" s="49" t="s">
        <v>135</v>
      </c>
      <c r="G58" s="49">
        <v>8.6E-3</v>
      </c>
      <c r="H58" s="49">
        <v>0.55840000000000001</v>
      </c>
      <c r="I58" s="49">
        <v>7.0997000000000003</v>
      </c>
      <c r="J58" s="49">
        <v>7.5328999999999997</v>
      </c>
      <c r="K58" s="49">
        <f t="shared" si="16"/>
        <v>7.1083</v>
      </c>
      <c r="L58" s="49">
        <f t="shared" si="17"/>
        <v>8.0913</v>
      </c>
      <c r="M58" s="49" t="s">
        <v>135</v>
      </c>
      <c r="N58" s="49" t="s">
        <v>203</v>
      </c>
      <c r="O58" s="49" t="s">
        <v>203</v>
      </c>
      <c r="P58" s="49" t="s">
        <v>137</v>
      </c>
      <c r="Q58" s="2"/>
      <c r="R58" s="49">
        <v>10</v>
      </c>
      <c r="S58" s="49">
        <v>4</v>
      </c>
      <c r="T58" s="49" t="s">
        <v>135</v>
      </c>
      <c r="U58" s="49" t="s">
        <v>135</v>
      </c>
      <c r="V58" s="49" t="s">
        <v>135</v>
      </c>
      <c r="W58" s="49" t="s">
        <v>135</v>
      </c>
      <c r="X58" s="49">
        <v>3.2399999999999998E-2</v>
      </c>
      <c r="Y58" s="49">
        <v>1.0699999999999999E-2</v>
      </c>
      <c r="Z58" s="49">
        <v>6.3491999999999997</v>
      </c>
      <c r="AA58" s="49">
        <v>7.8171999999999997</v>
      </c>
      <c r="AB58" s="49">
        <f t="shared" si="18"/>
        <v>6.3816</v>
      </c>
      <c r="AC58" s="49">
        <f t="shared" si="19"/>
        <v>7.8279</v>
      </c>
      <c r="AD58" s="49" t="s">
        <v>135</v>
      </c>
      <c r="AE58" s="49" t="s">
        <v>203</v>
      </c>
      <c r="AF58" s="49" t="s">
        <v>203</v>
      </c>
      <c r="AG58" s="49" t="s">
        <v>137</v>
      </c>
    </row>
    <row r="59" spans="1:33">
      <c r="A59" s="49">
        <v>5</v>
      </c>
      <c r="B59" s="49">
        <v>5</v>
      </c>
      <c r="C59" s="49" t="s">
        <v>135</v>
      </c>
      <c r="D59" s="49" t="s">
        <v>135</v>
      </c>
      <c r="E59" s="49" t="s">
        <v>135</v>
      </c>
      <c r="F59" s="49" t="s">
        <v>135</v>
      </c>
      <c r="G59" s="49">
        <v>2.2700000000000001E-2</v>
      </c>
      <c r="H59" s="49">
        <v>0.55810000000000004</v>
      </c>
      <c r="I59" s="49">
        <v>7.0545</v>
      </c>
      <c r="J59" s="49">
        <v>6.7788000000000004</v>
      </c>
      <c r="K59" s="49">
        <f t="shared" si="16"/>
        <v>7.0772</v>
      </c>
      <c r="L59" s="49">
        <f t="shared" si="17"/>
        <v>7.3369</v>
      </c>
      <c r="M59" s="49" t="s">
        <v>135</v>
      </c>
      <c r="N59" s="49" t="s">
        <v>203</v>
      </c>
      <c r="O59" s="49" t="s">
        <v>203</v>
      </c>
      <c r="P59" s="49" t="s">
        <v>137</v>
      </c>
      <c r="Q59" s="2"/>
      <c r="R59" s="49">
        <v>10</v>
      </c>
      <c r="S59" s="49">
        <v>5</v>
      </c>
      <c r="T59" s="49" t="s">
        <v>135</v>
      </c>
      <c r="U59" s="49" t="s">
        <v>135</v>
      </c>
      <c r="V59" s="49" t="s">
        <v>135</v>
      </c>
      <c r="W59" s="49" t="s">
        <v>135</v>
      </c>
      <c r="X59" s="49">
        <v>9.7999999999999997E-3</v>
      </c>
      <c r="Y59" s="49">
        <v>2.1299999999999999E-2</v>
      </c>
      <c r="Z59" s="49">
        <v>7.0598999999999998</v>
      </c>
      <c r="AA59" s="49">
        <v>7.6451000000000002</v>
      </c>
      <c r="AB59" s="49">
        <f t="shared" si="18"/>
        <v>7.0697</v>
      </c>
      <c r="AC59" s="49">
        <f t="shared" si="19"/>
        <v>7.6664</v>
      </c>
      <c r="AD59" s="49" t="s">
        <v>135</v>
      </c>
      <c r="AE59" s="49" t="s">
        <v>203</v>
      </c>
      <c r="AF59" s="49" t="s">
        <v>203</v>
      </c>
      <c r="AG59" s="49" t="s">
        <v>137</v>
      </c>
    </row>
    <row r="60" spans="1:33">
      <c r="A60" s="49">
        <v>5</v>
      </c>
      <c r="B60" s="49">
        <v>6</v>
      </c>
      <c r="C60" s="49" t="s">
        <v>135</v>
      </c>
      <c r="D60" s="49" t="s">
        <v>135</v>
      </c>
      <c r="E60" s="49" t="s">
        <v>135</v>
      </c>
      <c r="F60" s="49" t="s">
        <v>135</v>
      </c>
      <c r="G60" s="49">
        <v>1.9E-2</v>
      </c>
      <c r="H60" s="49">
        <v>1.17E-2</v>
      </c>
      <c r="I60" s="49">
        <v>7.0575000000000001</v>
      </c>
      <c r="J60" s="49">
        <v>7.3659999999999997</v>
      </c>
      <c r="K60" s="49">
        <f t="shared" si="16"/>
        <v>7.0765</v>
      </c>
      <c r="L60" s="49">
        <f t="shared" si="17"/>
        <v>7.3777</v>
      </c>
      <c r="M60" s="49" t="s">
        <v>135</v>
      </c>
      <c r="N60" s="49" t="s">
        <v>203</v>
      </c>
      <c r="O60" s="49" t="s">
        <v>203</v>
      </c>
      <c r="P60" s="49" t="s">
        <v>137</v>
      </c>
      <c r="Q60" s="2"/>
      <c r="R60" s="49">
        <v>10</v>
      </c>
      <c r="S60" s="49">
        <v>6</v>
      </c>
      <c r="T60" s="49" t="s">
        <v>135</v>
      </c>
      <c r="U60" s="49" t="s">
        <v>135</v>
      </c>
      <c r="V60" s="49" t="s">
        <v>135</v>
      </c>
      <c r="W60" s="49" t="s">
        <v>135</v>
      </c>
      <c r="X60" s="49">
        <v>0.02</v>
      </c>
      <c r="Y60" s="49">
        <v>2.06E-2</v>
      </c>
      <c r="Z60" s="49">
        <v>7.0696000000000003</v>
      </c>
      <c r="AA60" s="49">
        <v>7.9943999999999997</v>
      </c>
      <c r="AB60" s="49">
        <f t="shared" si="18"/>
        <v>7.0896</v>
      </c>
      <c r="AC60" s="49">
        <f t="shared" si="19"/>
        <v>8.015</v>
      </c>
      <c r="AD60" s="49" t="s">
        <v>135</v>
      </c>
      <c r="AE60" s="49" t="s">
        <v>203</v>
      </c>
      <c r="AF60" s="49" t="s">
        <v>203</v>
      </c>
      <c r="AG60" s="49" t="s">
        <v>137</v>
      </c>
    </row>
    <row r="61" spans="1:33">
      <c r="A61" s="49">
        <v>5</v>
      </c>
      <c r="B61" s="49">
        <v>7</v>
      </c>
      <c r="C61" s="49" t="s">
        <v>135</v>
      </c>
      <c r="D61" s="49" t="s">
        <v>135</v>
      </c>
      <c r="E61" s="49" t="s">
        <v>135</v>
      </c>
      <c r="F61" s="49" t="s">
        <v>135</v>
      </c>
      <c r="G61" s="49">
        <v>2.93E-2</v>
      </c>
      <c r="H61" s="49">
        <v>2.1600000000000001E-2</v>
      </c>
      <c r="I61" s="49">
        <v>7.0698999999999996</v>
      </c>
      <c r="J61" s="49">
        <v>7.4097999999999997</v>
      </c>
      <c r="K61" s="49">
        <f t="shared" si="16"/>
        <v>7.0992</v>
      </c>
      <c r="L61" s="49">
        <f t="shared" si="17"/>
        <v>7.4314</v>
      </c>
      <c r="M61" s="49" t="s">
        <v>135</v>
      </c>
      <c r="N61" s="49" t="s">
        <v>203</v>
      </c>
      <c r="O61" s="49" t="s">
        <v>203</v>
      </c>
      <c r="P61" s="49" t="s">
        <v>137</v>
      </c>
      <c r="Q61" s="2"/>
      <c r="R61" s="49">
        <v>10</v>
      </c>
      <c r="S61" s="49">
        <v>7</v>
      </c>
      <c r="T61" s="49" t="s">
        <v>135</v>
      </c>
      <c r="U61" s="49" t="s">
        <v>135</v>
      </c>
      <c r="V61" s="49" t="s">
        <v>135</v>
      </c>
      <c r="W61" s="49" t="s">
        <v>135</v>
      </c>
      <c r="X61" s="49">
        <v>1.11E-2</v>
      </c>
      <c r="Y61" s="49">
        <v>2.06E-2</v>
      </c>
      <c r="Z61" s="49">
        <v>7.0589000000000004</v>
      </c>
      <c r="AA61" s="49">
        <v>7.9897999999999998</v>
      </c>
      <c r="AB61" s="49">
        <f t="shared" si="18"/>
        <v>7.07</v>
      </c>
      <c r="AC61" s="49">
        <f t="shared" si="19"/>
        <v>8.0104</v>
      </c>
      <c r="AD61" s="49" t="s">
        <v>135</v>
      </c>
      <c r="AE61" s="49" t="s">
        <v>203</v>
      </c>
      <c r="AF61" s="49" t="s">
        <v>203</v>
      </c>
      <c r="AG61" s="49" t="s">
        <v>137</v>
      </c>
    </row>
    <row r="62" spans="1:33">
      <c r="A62" s="49">
        <v>5</v>
      </c>
      <c r="B62" s="49">
        <v>8</v>
      </c>
      <c r="C62" s="49" t="s">
        <v>135</v>
      </c>
      <c r="D62" s="49" t="s">
        <v>135</v>
      </c>
      <c r="E62" s="49" t="s">
        <v>135</v>
      </c>
      <c r="F62" s="49" t="s">
        <v>135</v>
      </c>
      <c r="G62" s="49">
        <v>1.8100000000000002E-2</v>
      </c>
      <c r="H62" s="49">
        <v>2.1999999999999999E-2</v>
      </c>
      <c r="I62" s="49">
        <v>7.57</v>
      </c>
      <c r="J62" s="49">
        <v>8.2317</v>
      </c>
      <c r="K62" s="49">
        <f t="shared" si="16"/>
        <v>7.5881</v>
      </c>
      <c r="L62" s="49">
        <f t="shared" si="17"/>
        <v>8.2537</v>
      </c>
      <c r="M62" s="49" t="s">
        <v>135</v>
      </c>
      <c r="N62" s="49" t="s">
        <v>203</v>
      </c>
      <c r="O62" s="49" t="s">
        <v>203</v>
      </c>
      <c r="P62" s="49" t="s">
        <v>137</v>
      </c>
      <c r="Q62" s="2"/>
      <c r="R62" s="49">
        <v>10</v>
      </c>
      <c r="S62" s="49">
        <v>8</v>
      </c>
      <c r="T62" s="49" t="s">
        <v>135</v>
      </c>
      <c r="U62" s="49" t="s">
        <v>135</v>
      </c>
      <c r="V62" s="49" t="s">
        <v>135</v>
      </c>
      <c r="W62" s="49" t="s">
        <v>135</v>
      </c>
      <c r="X62" s="49">
        <v>1.9699999999999999E-2</v>
      </c>
      <c r="Y62" s="49">
        <v>1.9800000000000002E-2</v>
      </c>
      <c r="Z62" s="49">
        <v>7.0465</v>
      </c>
      <c r="AA62" s="49">
        <v>7.6060999999999996</v>
      </c>
      <c r="AB62" s="49">
        <f t="shared" si="18"/>
        <v>7.0662</v>
      </c>
      <c r="AC62" s="49">
        <f t="shared" si="19"/>
        <v>7.6259</v>
      </c>
      <c r="AD62" s="49" t="s">
        <v>135</v>
      </c>
      <c r="AE62" s="49" t="s">
        <v>203</v>
      </c>
      <c r="AF62" s="49" t="s">
        <v>203</v>
      </c>
      <c r="AG62" s="49" t="s">
        <v>137</v>
      </c>
    </row>
    <row r="63" spans="1:33">
      <c r="A63" s="49">
        <v>5</v>
      </c>
      <c r="B63" s="49">
        <v>9</v>
      </c>
      <c r="C63" s="49" t="s">
        <v>135</v>
      </c>
      <c r="D63" s="49" t="s">
        <v>135</v>
      </c>
      <c r="E63" s="49" t="s">
        <v>135</v>
      </c>
      <c r="F63" s="49" t="s">
        <v>135</v>
      </c>
      <c r="G63" s="49">
        <v>3.1300000000000001E-2</v>
      </c>
      <c r="H63" s="49">
        <v>0.217</v>
      </c>
      <c r="I63" s="49">
        <v>7.0511999999999997</v>
      </c>
      <c r="J63" s="49">
        <v>7.4695999999999998</v>
      </c>
      <c r="K63" s="49">
        <f t="shared" si="16"/>
        <v>7.0825</v>
      </c>
      <c r="L63" s="49">
        <f t="shared" si="17"/>
        <v>7.6866</v>
      </c>
      <c r="M63" s="49" t="s">
        <v>135</v>
      </c>
      <c r="N63" s="49" t="s">
        <v>203</v>
      </c>
      <c r="O63" s="49" t="s">
        <v>203</v>
      </c>
      <c r="P63" s="49" t="s">
        <v>137</v>
      </c>
      <c r="Q63" s="2"/>
      <c r="R63" s="49">
        <v>10</v>
      </c>
      <c r="S63" s="49">
        <v>9</v>
      </c>
      <c r="T63" s="49" t="s">
        <v>135</v>
      </c>
      <c r="U63" s="49" t="s">
        <v>135</v>
      </c>
      <c r="V63" s="49" t="s">
        <v>135</v>
      </c>
      <c r="W63" s="49" t="s">
        <v>135</v>
      </c>
      <c r="X63" s="49">
        <v>2.01E-2</v>
      </c>
      <c r="Y63" s="49">
        <v>2.1000000000000001E-2</v>
      </c>
      <c r="Z63" s="49">
        <v>7.0510999999999999</v>
      </c>
      <c r="AA63" s="49">
        <v>7.6177000000000001</v>
      </c>
      <c r="AB63" s="49">
        <f t="shared" si="18"/>
        <v>7.0712</v>
      </c>
      <c r="AC63" s="49">
        <f t="shared" si="19"/>
        <v>7.6387</v>
      </c>
      <c r="AD63" s="49" t="s">
        <v>135</v>
      </c>
      <c r="AE63" s="49" t="s">
        <v>203</v>
      </c>
      <c r="AF63" s="49" t="s">
        <v>203</v>
      </c>
      <c r="AG63" s="49" t="s">
        <v>137</v>
      </c>
    </row>
    <row r="64" spans="1:33">
      <c r="A64" s="49">
        <v>5</v>
      </c>
      <c r="B64" s="49">
        <v>10</v>
      </c>
      <c r="C64" s="49" t="s">
        <v>135</v>
      </c>
      <c r="D64" s="49" t="s">
        <v>135</v>
      </c>
      <c r="E64" s="49" t="s">
        <v>135</v>
      </c>
      <c r="F64" s="49" t="s">
        <v>135</v>
      </c>
      <c r="G64" s="49">
        <v>2.3800000000000002E-3</v>
      </c>
      <c r="H64" s="49">
        <v>1.03E-2</v>
      </c>
      <c r="I64" s="49">
        <v>7.0781000000000001</v>
      </c>
      <c r="J64" s="49">
        <v>7.3897000000000004</v>
      </c>
      <c r="K64" s="49">
        <f t="shared" si="16"/>
        <v>7.08048</v>
      </c>
      <c r="L64" s="49">
        <f t="shared" si="17"/>
        <v>7.4</v>
      </c>
      <c r="M64" s="49" t="s">
        <v>135</v>
      </c>
      <c r="N64" s="49" t="s">
        <v>203</v>
      </c>
      <c r="O64" s="49" t="s">
        <v>203</v>
      </c>
      <c r="P64" s="49" t="s">
        <v>137</v>
      </c>
      <c r="Q64" s="2"/>
      <c r="R64" s="49">
        <v>10</v>
      </c>
      <c r="S64" s="49">
        <v>10</v>
      </c>
      <c r="T64" s="49" t="s">
        <v>135</v>
      </c>
      <c r="U64" s="49" t="s">
        <v>135</v>
      </c>
      <c r="V64" s="49" t="s">
        <v>135</v>
      </c>
      <c r="W64" s="49" t="s">
        <v>135</v>
      </c>
      <c r="X64" s="49">
        <v>2.2100000000000002E-2</v>
      </c>
      <c r="Y64" s="49">
        <v>2.12E-2</v>
      </c>
      <c r="Z64" s="49">
        <v>7.0570000000000004</v>
      </c>
      <c r="AA64" s="49">
        <v>7.6704999999999997</v>
      </c>
      <c r="AB64" s="49">
        <f t="shared" si="18"/>
        <v>7.0791</v>
      </c>
      <c r="AC64" s="49">
        <f t="shared" si="19"/>
        <v>7.6917</v>
      </c>
      <c r="AD64" s="49" t="s">
        <v>135</v>
      </c>
      <c r="AE64" s="49" t="s">
        <v>203</v>
      </c>
      <c r="AF64" s="49" t="s">
        <v>203</v>
      </c>
      <c r="AG64" s="49" t="s">
        <v>137</v>
      </c>
    </row>
    <row r="65" spans="1:33">
      <c r="A65" s="2"/>
      <c r="B65" s="2"/>
      <c r="C65" s="2"/>
      <c r="D65" s="2"/>
      <c r="E65" s="2"/>
      <c r="F65" s="50" t="s">
        <v>204</v>
      </c>
      <c r="G65" s="129">
        <f>AVERAGE(H55:H64)-AVERAGE(G55:G64)</f>
        <v>0.125702</v>
      </c>
      <c r="H65" s="127"/>
      <c r="I65" s="129">
        <f>AVERAGE(J55:J64)-AVERAGE(I55:I64)</f>
        <v>0.40333</v>
      </c>
      <c r="J65" s="127"/>
      <c r="K65" s="129">
        <f>AVERAGE(L55:L64)-AVERAGE(K55:K64)</f>
        <v>0.529032</v>
      </c>
      <c r="L65" s="127"/>
      <c r="M65" s="2"/>
      <c r="N65" s="2"/>
      <c r="O65" s="2"/>
      <c r="P65" s="2"/>
      <c r="Q65" s="2"/>
      <c r="R65" s="2"/>
      <c r="S65" s="2"/>
      <c r="T65" s="2"/>
      <c r="U65" s="2"/>
      <c r="V65" s="2"/>
      <c r="W65" s="50" t="s">
        <v>204</v>
      </c>
      <c r="X65" s="129">
        <f>AVERAGE(Y55:Y64)-AVERAGE(X55:X64)</f>
        <v>-0.14041</v>
      </c>
      <c r="Y65" s="127"/>
      <c r="Z65" s="129">
        <f>AVERAGE(AA55:AA64)-AVERAGE(Z55:Z64)</f>
        <v>0.888729999999999</v>
      </c>
      <c r="AA65" s="127"/>
      <c r="AB65" s="129">
        <f>AVERAGE(AC55:AC64)-AVERAGE(AB55:AB64)</f>
        <v>0.748320000000001</v>
      </c>
      <c r="AC65" s="127"/>
      <c r="AD65" s="49" t="s">
        <v>135</v>
      </c>
      <c r="AE65" s="2"/>
      <c r="AF65" s="2"/>
      <c r="AG65" s="2"/>
    </row>
  </sheetData>
  <mergeCells count="160">
    <mergeCell ref="I1:J1"/>
    <mergeCell ref="C53:C54"/>
    <mergeCell ref="N27:N28"/>
    <mergeCell ref="E53:E54"/>
    <mergeCell ref="G40:H40"/>
    <mergeCell ref="I40:J40"/>
    <mergeCell ref="X53:Y53"/>
    <mergeCell ref="G53:H53"/>
    <mergeCell ref="AG1:AG2"/>
    <mergeCell ref="A1:A2"/>
    <mergeCell ref="B1:B2"/>
    <mergeCell ref="I53:J53"/>
    <mergeCell ref="N1:N2"/>
    <mergeCell ref="S53:S54"/>
    <mergeCell ref="AF1:AF2"/>
    <mergeCell ref="U53:U54"/>
    <mergeCell ref="F27:F28"/>
    <mergeCell ref="U14:U15"/>
    <mergeCell ref="W14:W15"/>
    <mergeCell ref="G14:H14"/>
    <mergeCell ref="I39:J39"/>
    <mergeCell ref="I14:J14"/>
    <mergeCell ref="G52:H52"/>
    <mergeCell ref="AG27:AG28"/>
    <mergeCell ref="AB14:AC14"/>
    <mergeCell ref="G27:H27"/>
    <mergeCell ref="I27:J27"/>
    <mergeCell ref="K39:L39"/>
    <mergeCell ref="K14:L14"/>
    <mergeCell ref="O14:O15"/>
    <mergeCell ref="X26:Y26"/>
    <mergeCell ref="X27:Y27"/>
    <mergeCell ref="Z53:AA53"/>
    <mergeCell ref="B40:B41"/>
    <mergeCell ref="A53:A54"/>
    <mergeCell ref="AG53:AG54"/>
    <mergeCell ref="M14:M15"/>
    <mergeCell ref="D14:D15"/>
    <mergeCell ref="R53:R54"/>
    <mergeCell ref="F14:F15"/>
    <mergeCell ref="AB53:AC53"/>
    <mergeCell ref="P14:P15"/>
    <mergeCell ref="R14:R15"/>
    <mergeCell ref="U40:U41"/>
    <mergeCell ref="V14:V15"/>
    <mergeCell ref="W40:W41"/>
    <mergeCell ref="U27:U28"/>
    <mergeCell ref="T53:T54"/>
    <mergeCell ref="A14:A15"/>
    <mergeCell ref="AB27:AC27"/>
    <mergeCell ref="AE53:AE54"/>
    <mergeCell ref="X65:Y65"/>
    <mergeCell ref="K65:L65"/>
    <mergeCell ref="A40:A41"/>
    <mergeCell ref="I65:J65"/>
    <mergeCell ref="Z65:AA65"/>
    <mergeCell ref="D40:D41"/>
    <mergeCell ref="F40:F41"/>
    <mergeCell ref="AB65:AC65"/>
    <mergeCell ref="B27:B28"/>
    <mergeCell ref="D27:D28"/>
    <mergeCell ref="C40:C41"/>
    <mergeCell ref="E40:E41"/>
    <mergeCell ref="A27:A28"/>
    <mergeCell ref="AD40:AD41"/>
    <mergeCell ref="AE14:AE15"/>
    <mergeCell ref="AD27:AD28"/>
    <mergeCell ref="G13:H13"/>
    <mergeCell ref="K40:L40"/>
    <mergeCell ref="G39:H39"/>
    <mergeCell ref="R27:R28"/>
    <mergeCell ref="AB1:AC1"/>
    <mergeCell ref="X40:Y40"/>
    <mergeCell ref="S14:S15"/>
    <mergeCell ref="Z27:AA27"/>
    <mergeCell ref="T40:T41"/>
    <mergeCell ref="V40:V41"/>
    <mergeCell ref="V27:V28"/>
    <mergeCell ref="M40:M41"/>
    <mergeCell ref="T14:T15"/>
    <mergeCell ref="S27:S28"/>
    <mergeCell ref="N14:N15"/>
    <mergeCell ref="S1:S2"/>
    <mergeCell ref="U1:U2"/>
    <mergeCell ref="G1:H1"/>
    <mergeCell ref="G65:H65"/>
    <mergeCell ref="AB52:AC52"/>
    <mergeCell ref="X14:Y14"/>
    <mergeCell ref="Z14:AA14"/>
    <mergeCell ref="AE40:AE41"/>
    <mergeCell ref="G26:H26"/>
    <mergeCell ref="AD53:AD54"/>
    <mergeCell ref="AE27:AE28"/>
    <mergeCell ref="V53:V54"/>
    <mergeCell ref="Z40:AA40"/>
    <mergeCell ref="W53:W54"/>
    <mergeCell ref="X39:Y39"/>
    <mergeCell ref="P40:P41"/>
    <mergeCell ref="Z26:AA26"/>
    <mergeCell ref="R40:R41"/>
    <mergeCell ref="AB26:AC26"/>
    <mergeCell ref="AE1:AE2"/>
    <mergeCell ref="B53:B54"/>
    <mergeCell ref="M27:M28"/>
    <mergeCell ref="D53:D54"/>
    <mergeCell ref="E27:E28"/>
    <mergeCell ref="P53:P54"/>
    <mergeCell ref="K27:L27"/>
    <mergeCell ref="D1:D2"/>
    <mergeCell ref="F1:F2"/>
    <mergeCell ref="P1:P2"/>
    <mergeCell ref="R1:R2"/>
    <mergeCell ref="AD1:AD2"/>
    <mergeCell ref="V1:V2"/>
    <mergeCell ref="X13:Y13"/>
    <mergeCell ref="P27:P28"/>
    <mergeCell ref="AB40:AC40"/>
    <mergeCell ref="I52:J52"/>
    <mergeCell ref="O27:O28"/>
    <mergeCell ref="Z13:AA13"/>
    <mergeCell ref="AB13:AC13"/>
    <mergeCell ref="T27:T28"/>
    <mergeCell ref="AF40:AF41"/>
    <mergeCell ref="M53:M54"/>
    <mergeCell ref="F53:F54"/>
    <mergeCell ref="AD14:AD15"/>
    <mergeCell ref="C1:C2"/>
    <mergeCell ref="E1:E2"/>
    <mergeCell ref="X52:Y52"/>
    <mergeCell ref="AF14:AF15"/>
    <mergeCell ref="O40:O41"/>
    <mergeCell ref="T1:T2"/>
    <mergeCell ref="Z52:AA52"/>
    <mergeCell ref="S40:S41"/>
    <mergeCell ref="K52:L52"/>
    <mergeCell ref="Z39:AA39"/>
    <mergeCell ref="AB39:AC39"/>
    <mergeCell ref="C27:C28"/>
    <mergeCell ref="M1:M2"/>
    <mergeCell ref="W1:W2"/>
    <mergeCell ref="K1:L1"/>
    <mergeCell ref="K53:L53"/>
    <mergeCell ref="N40:N41"/>
    <mergeCell ref="W27:W28"/>
    <mergeCell ref="AG40:AG41"/>
    <mergeCell ref="I26:J26"/>
    <mergeCell ref="O1:O2"/>
    <mergeCell ref="B14:B15"/>
    <mergeCell ref="N53:N54"/>
    <mergeCell ref="K26:L26"/>
    <mergeCell ref="AF53:AF54"/>
    <mergeCell ref="AG14:AG15"/>
    <mergeCell ref="X1:Y1"/>
    <mergeCell ref="AF27:AF28"/>
    <mergeCell ref="Z1:AA1"/>
    <mergeCell ref="I13:J13"/>
    <mergeCell ref="K13:L13"/>
    <mergeCell ref="C14:C15"/>
    <mergeCell ref="O53:O54"/>
    <mergeCell ref="E14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9"/>
  <sheetViews>
    <sheetView workbookViewId="0">
      <selection sqref="A1:I1"/>
    </sheetView>
  </sheetViews>
  <sheetFormatPr defaultRowHeight="13.8"/>
  <cols>
    <col min="1" max="1" width="17.8984375" customWidth="1"/>
    <col min="2" max="3" width="16" customWidth="1"/>
    <col min="4" max="4" width="12.69921875" customWidth="1"/>
    <col min="5" max="5" width="15.5" customWidth="1"/>
    <col min="6" max="6" width="23.19921875" customWidth="1"/>
    <col min="7" max="8" width="14.69921875" customWidth="1"/>
    <col min="9" max="9" width="12" customWidth="1"/>
    <col min="11" max="11" width="11.69921875" customWidth="1"/>
    <col min="12" max="12" width="12.59765625" customWidth="1"/>
    <col min="13" max="13" width="11.09765625" customWidth="1"/>
    <col min="14" max="14" width="10.09765625" customWidth="1"/>
    <col min="15" max="15" width="12.59765625" customWidth="1"/>
    <col min="16" max="16" width="11.3984375" customWidth="1"/>
    <col min="18" max="18" width="17.8984375" customWidth="1"/>
    <col min="19" max="19" width="11.69921875" customWidth="1"/>
    <col min="20" max="20" width="16.09765625" customWidth="1"/>
    <col min="21" max="21" width="12.69921875" customWidth="1"/>
    <col min="22" max="22" width="7.69921875" customWidth="1"/>
    <col min="23" max="23" width="23.19921875" customWidth="1"/>
    <col min="24" max="24" width="12.69921875" customWidth="1"/>
    <col min="25" max="25" width="8.59765625" customWidth="1"/>
    <col min="26" max="26" width="50.3984375" customWidth="1"/>
    <col min="28" max="28" width="11.3984375" customWidth="1"/>
    <col min="30" max="30" width="9.3984375" customWidth="1"/>
    <col min="31" max="31" width="10.3984375" customWidth="1"/>
    <col min="32" max="32" width="12" customWidth="1"/>
    <col min="33" max="33" width="16.69921875" customWidth="1"/>
  </cols>
  <sheetData>
    <row r="1" spans="1:34">
      <c r="A1" s="131" t="s">
        <v>206</v>
      </c>
      <c r="B1" s="132"/>
      <c r="C1" s="132"/>
      <c r="D1" s="132"/>
      <c r="E1" s="132"/>
      <c r="F1" s="132"/>
      <c r="G1" s="132"/>
      <c r="H1" s="132"/>
      <c r="I1" s="132"/>
      <c r="R1" s="131" t="s">
        <v>207</v>
      </c>
      <c r="S1" s="132"/>
      <c r="T1" s="132"/>
      <c r="U1" s="132"/>
      <c r="V1" s="132"/>
      <c r="W1" s="132"/>
      <c r="X1" s="132"/>
      <c r="Y1" s="132"/>
      <c r="Z1" s="132"/>
    </row>
    <row r="2" spans="1:34" ht="25.35" customHeight="1">
      <c r="A2" s="8" t="s">
        <v>208</v>
      </c>
      <c r="B2" s="8" t="s">
        <v>209</v>
      </c>
      <c r="C2" s="8" t="s">
        <v>210</v>
      </c>
      <c r="D2" s="8" t="s">
        <v>211</v>
      </c>
      <c r="E2" s="8" t="s">
        <v>212</v>
      </c>
      <c r="F2" s="8" t="s">
        <v>213</v>
      </c>
      <c r="G2" s="8" t="s">
        <v>214</v>
      </c>
      <c r="H2" s="8" t="s">
        <v>215</v>
      </c>
      <c r="I2" s="8" t="s">
        <v>216</v>
      </c>
      <c r="R2" s="8" t="s">
        <v>208</v>
      </c>
      <c r="S2" s="8" t="s">
        <v>209</v>
      </c>
      <c r="T2" s="8" t="s">
        <v>210</v>
      </c>
      <c r="U2" s="8" t="s">
        <v>211</v>
      </c>
      <c r="V2" s="8" t="s">
        <v>212</v>
      </c>
      <c r="W2" s="8" t="s">
        <v>213</v>
      </c>
      <c r="X2" s="8" t="s">
        <v>214</v>
      </c>
      <c r="Y2" s="8" t="s">
        <v>215</v>
      </c>
      <c r="Z2" s="8" t="s">
        <v>216</v>
      </c>
    </row>
    <row r="3" spans="1:34">
      <c r="A3" s="113">
        <v>1</v>
      </c>
      <c r="B3" s="49" t="s">
        <v>217</v>
      </c>
      <c r="C3" s="48">
        <f>0.12+1.018+2.113</f>
        <v>3.251</v>
      </c>
      <c r="D3" s="48">
        <f>31.102+24.966+4.726-20</f>
        <v>40.794</v>
      </c>
      <c r="E3" s="48">
        <f>C3+D3</f>
        <v>44.045</v>
      </c>
      <c r="F3" s="48">
        <f>1.1998+0.5056+1.0885+1</f>
        <v>3.7939</v>
      </c>
      <c r="G3" s="49">
        <f>3+12+23</f>
        <v>38</v>
      </c>
      <c r="H3" s="23" t="s">
        <v>137</v>
      </c>
      <c r="I3" s="49"/>
      <c r="L3" s="130" t="s">
        <v>138</v>
      </c>
      <c r="M3" s="105"/>
      <c r="N3" s="105"/>
      <c r="O3" s="105"/>
      <c r="P3" s="106"/>
      <c r="R3" s="113">
        <v>1</v>
      </c>
      <c r="S3" s="49" t="s">
        <v>217</v>
      </c>
      <c r="T3" s="40">
        <f>4.422</f>
        <v>4.422</v>
      </c>
      <c r="U3" s="40">
        <v>27.286000000000001</v>
      </c>
      <c r="V3" s="40">
        <f t="shared" ref="V3:V29" si="0">U3+T3</f>
        <v>31.708</v>
      </c>
      <c r="W3" s="40">
        <v>3.5019999999999998</v>
      </c>
      <c r="X3" s="32">
        <v>48</v>
      </c>
      <c r="Y3" s="33" t="s">
        <v>137</v>
      </c>
      <c r="Z3" s="49"/>
      <c r="AD3" s="130" t="s">
        <v>138</v>
      </c>
      <c r="AE3" s="105"/>
      <c r="AF3" s="105"/>
      <c r="AG3" s="105"/>
      <c r="AH3" s="106"/>
    </row>
    <row r="4" spans="1:34" ht="30.75" customHeight="1">
      <c r="A4" s="110"/>
      <c r="B4" s="49" t="s">
        <v>218</v>
      </c>
      <c r="C4" s="48">
        <f>0.12+0.9494+2.998</f>
        <v>4.0674</v>
      </c>
      <c r="D4" s="48">
        <f>24.625+25.601+5.58-20</f>
        <v>35.806</v>
      </c>
      <c r="E4" s="48">
        <f>C4+D4</f>
        <v>39.8734</v>
      </c>
      <c r="F4" s="48">
        <f>1.2005+1.3199+1</f>
        <v>3.5204</v>
      </c>
      <c r="G4" s="49">
        <f>3+11+31</f>
        <v>45</v>
      </c>
      <c r="H4" s="23" t="s">
        <v>137</v>
      </c>
      <c r="I4" s="49"/>
      <c r="L4" s="23" t="s">
        <v>210</v>
      </c>
      <c r="M4" s="23" t="s">
        <v>211</v>
      </c>
      <c r="N4" s="23" t="s">
        <v>219</v>
      </c>
      <c r="O4" s="23" t="s">
        <v>220</v>
      </c>
      <c r="P4" s="23" t="s">
        <v>221</v>
      </c>
      <c r="R4" s="110"/>
      <c r="S4" s="49" t="s">
        <v>218</v>
      </c>
      <c r="T4" s="40">
        <v>3.9260000000000002</v>
      </c>
      <c r="U4" s="42">
        <v>29.106999999999999</v>
      </c>
      <c r="V4" s="41">
        <f t="shared" si="0"/>
        <v>33.033</v>
      </c>
      <c r="W4" s="41">
        <v>3.5836999999999999</v>
      </c>
      <c r="X4" s="32">
        <v>44</v>
      </c>
      <c r="Y4" s="33" t="s">
        <v>137</v>
      </c>
      <c r="Z4" s="49"/>
      <c r="AD4" s="23" t="s">
        <v>210</v>
      </c>
      <c r="AE4" s="23" t="s">
        <v>211</v>
      </c>
      <c r="AF4" s="23" t="s">
        <v>219</v>
      </c>
      <c r="AG4" s="23" t="s">
        <v>220</v>
      </c>
      <c r="AH4" s="23" t="s">
        <v>221</v>
      </c>
    </row>
    <row r="5" spans="1:34">
      <c r="A5" s="111"/>
      <c r="B5" s="49" t="s">
        <v>222</v>
      </c>
      <c r="C5" s="48">
        <f>0.12+0.949+2.148</f>
        <v>3.217</v>
      </c>
      <c r="D5" s="48">
        <f>26.029+29.266+4.727-20</f>
        <v>40.022</v>
      </c>
      <c r="E5" s="48">
        <f>C5+D5</f>
        <v>43.239</v>
      </c>
      <c r="F5" s="48">
        <f>1.2006+0.505+1.1139+1</f>
        <v>3.8195</v>
      </c>
      <c r="G5" s="49">
        <f>3+11+23</f>
        <v>37</v>
      </c>
      <c r="H5" s="23" t="s">
        <v>137</v>
      </c>
      <c r="I5" s="49"/>
      <c r="K5" s="22" t="s">
        <v>217</v>
      </c>
      <c r="L5" s="43">
        <f>AVERAGEIF(B3:B32,"RRTConnect",C3:C32)</f>
        <v>3.7378</v>
      </c>
      <c r="M5" s="39">
        <f>AVERAGEIF(B3:B32,"RRTConnect",D3:D32)</f>
        <v>36.55091</v>
      </c>
      <c r="N5" s="39">
        <f>AVERAGEIF(B3:B32,"RRTConnect",E3:E32)</f>
        <v>40.28871</v>
      </c>
      <c r="O5" s="39">
        <f>AVERAGEIF(B3:B32,"RRTConnect",F3:F32)</f>
        <v>3.7206</v>
      </c>
      <c r="P5" s="44">
        <f>AVERAGEIF(B3:B32,"RRTConnect",G3:G32)</f>
        <v>41.5</v>
      </c>
      <c r="R5" s="111"/>
      <c r="S5" s="49" t="s">
        <v>222</v>
      </c>
      <c r="T5" s="40">
        <v>4.4610000000000003</v>
      </c>
      <c r="U5" s="42">
        <v>31.472999999999999</v>
      </c>
      <c r="V5" s="41">
        <f t="shared" si="0"/>
        <v>35.934</v>
      </c>
      <c r="W5" s="41">
        <v>7.0656999999999996</v>
      </c>
      <c r="X5" s="32">
        <v>58</v>
      </c>
      <c r="Y5" s="33" t="s">
        <v>137</v>
      </c>
      <c r="Z5" s="31" t="s">
        <v>223</v>
      </c>
      <c r="AC5" s="22" t="s">
        <v>217</v>
      </c>
      <c r="AD5" s="38">
        <f>AVERAGEIF(S3:S32,"RRTConnect",T3:T32)</f>
        <v>4.08277777777778</v>
      </c>
      <c r="AE5" s="39">
        <f>AVERAGEIF(S3:S32,"RRTConnect",U3:U32)</f>
        <v>27.4135555555556</v>
      </c>
      <c r="AF5" s="39">
        <f>AVERAGEIF(S3:S32,"RRTConnect",V3:V32)</f>
        <v>31.4963333333333</v>
      </c>
      <c r="AG5" s="38">
        <f>AVERAGEIF(S3:S32,"RRTConnect",W3:W32)</f>
        <v>4.19166666666667</v>
      </c>
      <c r="AH5" s="36">
        <f>AVERAGEIF(S3:S32,"RRTConnect",X3:X32)</f>
        <v>46.2222222222222</v>
      </c>
    </row>
    <row r="6" spans="1:34">
      <c r="A6" s="113">
        <v>2</v>
      </c>
      <c r="B6" s="49" t="s">
        <v>217</v>
      </c>
      <c r="C6" s="48">
        <f>0.12+0.059+2.932</f>
        <v>3.111</v>
      </c>
      <c r="D6" s="48">
        <f>23.9+28.098+5.52-20</f>
        <v>37.518</v>
      </c>
      <c r="E6" s="48">
        <f>D6+C6</f>
        <v>40.629</v>
      </c>
      <c r="F6" s="48">
        <f>1.2525+0.3815+1.1686+1</f>
        <v>3.8026</v>
      </c>
      <c r="G6" s="49">
        <f>3+12+21</f>
        <v>36</v>
      </c>
      <c r="H6" s="23" t="s">
        <v>137</v>
      </c>
      <c r="I6" s="49"/>
      <c r="K6" s="22" t="s">
        <v>218</v>
      </c>
      <c r="L6" s="43">
        <f>AVERAGEIF(B3:B32,"PRMstar",C3:C32)</f>
        <v>3.72864</v>
      </c>
      <c r="M6" s="43">
        <f>AVERAGEIF(B3:B32,"PRMstar",D3:D32)</f>
        <v>37.6988</v>
      </c>
      <c r="N6" s="43">
        <f>AVERAGEIF(B3:B32,"PRMstar",E3:E32)</f>
        <v>41.42744</v>
      </c>
      <c r="O6" s="43">
        <f>AVERAGEIF(B3:B32,"PRMstar",F3:F32)</f>
        <v>4.29888</v>
      </c>
      <c r="P6" s="44">
        <f>AVERAGEIF(B3:B32,"PRMstar",G3:G32)</f>
        <v>42.4</v>
      </c>
      <c r="R6" s="113">
        <v>2</v>
      </c>
      <c r="S6" s="49" t="s">
        <v>217</v>
      </c>
      <c r="T6" s="42">
        <v>3.9550000000000001</v>
      </c>
      <c r="U6" s="42">
        <v>26.108000000000001</v>
      </c>
      <c r="V6" s="41">
        <f t="shared" si="0"/>
        <v>30.063</v>
      </c>
      <c r="W6" s="41">
        <v>3.3711000000000002</v>
      </c>
      <c r="X6" s="32">
        <v>44</v>
      </c>
      <c r="Y6" s="33" t="s">
        <v>137</v>
      </c>
      <c r="Z6" s="49"/>
      <c r="AC6" s="22" t="s">
        <v>218</v>
      </c>
      <c r="AD6" s="38">
        <f>AVERAGEIF(S3:S32,"PRMstar",T3:T32)</f>
        <v>3.98679</v>
      </c>
      <c r="AE6" s="38">
        <f>AVERAGEIF(S3:S32,"PRMstar",U3:U32)</f>
        <v>28.69847</v>
      </c>
      <c r="AF6" s="38">
        <f>AVERAGEIF(S3:S32,"PRMstar",V3:V32)</f>
        <v>32.68526</v>
      </c>
      <c r="AG6" s="38">
        <f>AVERAGEIF(S3:S32,"PRMstar",W3:W32)</f>
        <v>4.72746</v>
      </c>
      <c r="AH6" s="36">
        <f>AVERAGEIF(S3:S32,"PRMstar",X3:X32)</f>
        <v>46.9</v>
      </c>
    </row>
    <row r="7" spans="1:34">
      <c r="A7" s="110"/>
      <c r="B7" s="49" t="s">
        <v>218</v>
      </c>
      <c r="C7" s="48">
        <f>0.12+0.975+2.306</f>
        <v>3.401</v>
      </c>
      <c r="D7" s="48">
        <f>37.763+34.438+4.937-30-7</f>
        <v>40.138</v>
      </c>
      <c r="E7" s="48">
        <f>D7+C7</f>
        <v>43.539</v>
      </c>
      <c r="F7" s="48">
        <f>1.2518+1.2127+2</f>
        <v>4.4645</v>
      </c>
      <c r="G7" s="49">
        <f>3+11+25</f>
        <v>39</v>
      </c>
      <c r="H7" s="23" t="s">
        <v>137</v>
      </c>
      <c r="I7" s="49"/>
      <c r="K7" s="22" t="s">
        <v>222</v>
      </c>
      <c r="L7" s="39">
        <f>AVERAGEIF(B3:B32,"RRTstar",C3:C32)</f>
        <v>3.481</v>
      </c>
      <c r="M7" s="43">
        <f>AVERAGEIF(B3:B32,"RRTstar",D3:D32)</f>
        <v>38.0359</v>
      </c>
      <c r="N7" s="43">
        <f>AVERAGEIF(B3:B32,"RRTstar",E3:E32)</f>
        <v>41.5169</v>
      </c>
      <c r="O7" s="43">
        <f>AVERAGEIF(B3:B32,"RRTstar",F3:F32)</f>
        <v>3.86911</v>
      </c>
      <c r="P7" s="37">
        <f>AVERAGEIF(B3:B32,"RRTstar",G3:G32)</f>
        <v>39.6</v>
      </c>
      <c r="R7" s="110"/>
      <c r="S7" s="49" t="s">
        <v>218</v>
      </c>
      <c r="T7" s="42">
        <v>4.3659999999999997</v>
      </c>
      <c r="U7" s="42">
        <v>26.376999999999999</v>
      </c>
      <c r="V7" s="41">
        <f t="shared" si="0"/>
        <v>30.743</v>
      </c>
      <c r="W7" s="41">
        <v>3.3896999999999999</v>
      </c>
      <c r="X7" s="32">
        <v>48</v>
      </c>
      <c r="Y7" s="33" t="s">
        <v>137</v>
      </c>
      <c r="Z7" s="49"/>
      <c r="AC7" s="22" t="s">
        <v>222</v>
      </c>
      <c r="AD7" s="39">
        <f>AVERAGEIF(S3:S32,"RRTstar",T3:T32)</f>
        <v>3.88804</v>
      </c>
      <c r="AE7" s="38">
        <f>AVERAGEIF(S3:S32,"RRTstar",U3:U32)</f>
        <v>29.30664</v>
      </c>
      <c r="AF7" s="38">
        <f>AVERAGEIF(S3:S32,"RRTstar",V3:V32)</f>
        <v>33.19468</v>
      </c>
      <c r="AG7" s="39">
        <f>AVERAGEIF(S3:S32,"RRTstar",W3:W32)</f>
        <v>4.18609</v>
      </c>
      <c r="AH7" s="37">
        <f>AVERAGEIF(S3:S32,"RRTstar",X3:X32)</f>
        <v>44.8</v>
      </c>
    </row>
    <row r="8" spans="1:34">
      <c r="A8" s="111"/>
      <c r="B8" s="49" t="s">
        <v>222</v>
      </c>
      <c r="C8" s="48">
        <f>0.12+1.047+2.255</f>
        <v>3.422</v>
      </c>
      <c r="D8" s="48">
        <f>33.285+27.697+4.876-20-7</f>
        <v>38.858</v>
      </c>
      <c r="E8" s="48">
        <f>D8+C8</f>
        <v>42.28</v>
      </c>
      <c r="F8" s="48">
        <f>1.2525+0.3813+1.0361+1</f>
        <v>3.6699</v>
      </c>
      <c r="G8" s="49">
        <f>3+12+24</f>
        <v>39</v>
      </c>
      <c r="H8" s="23" t="s">
        <v>137</v>
      </c>
      <c r="I8" s="49"/>
      <c r="R8" s="111"/>
      <c r="S8" s="49" t="s">
        <v>222</v>
      </c>
      <c r="T8" s="42">
        <v>3.5421</v>
      </c>
      <c r="U8" s="42">
        <v>24.7654</v>
      </c>
      <c r="V8" s="41">
        <f t="shared" si="0"/>
        <v>28.3075</v>
      </c>
      <c r="W8" s="41">
        <v>3.1452</v>
      </c>
      <c r="X8" s="32">
        <v>37</v>
      </c>
      <c r="Y8" s="33" t="s">
        <v>137</v>
      </c>
      <c r="Z8" s="49"/>
    </row>
    <row r="9" spans="1:34">
      <c r="A9" s="113">
        <v>3</v>
      </c>
      <c r="B9" s="49" t="s">
        <v>217</v>
      </c>
      <c r="C9" s="48">
        <f>0.12+1.033+2.154</f>
        <v>3.307</v>
      </c>
      <c r="D9" s="48">
        <f>38.684+20.034+4.757-20</f>
        <v>43.475</v>
      </c>
      <c r="E9" s="48">
        <f>D9+C9</f>
        <v>46.782</v>
      </c>
      <c r="F9" s="48">
        <f>1.2943+0.5628+1.0012+1</f>
        <v>3.8583</v>
      </c>
      <c r="G9" s="49">
        <f>3+12+23</f>
        <v>38</v>
      </c>
      <c r="H9" s="23" t="s">
        <v>137</v>
      </c>
      <c r="I9" s="49"/>
      <c r="R9" s="113">
        <v>3</v>
      </c>
      <c r="S9" s="49" t="s">
        <v>217</v>
      </c>
      <c r="T9" s="42">
        <v>3.7629999999999999</v>
      </c>
      <c r="U9" s="42">
        <v>26.033999999999999</v>
      </c>
      <c r="V9" s="41">
        <f t="shared" si="0"/>
        <v>29.797</v>
      </c>
      <c r="W9" s="41">
        <v>3.7643</v>
      </c>
      <c r="X9" s="32">
        <v>42</v>
      </c>
      <c r="Y9" s="33" t="s">
        <v>137</v>
      </c>
      <c r="Z9" s="49"/>
    </row>
    <row r="10" spans="1:34">
      <c r="A10" s="110"/>
      <c r="B10" s="49" t="s">
        <v>218</v>
      </c>
      <c r="C10" s="48">
        <f>0.12+1.033+2.158</f>
        <v>3.311</v>
      </c>
      <c r="D10" s="48">
        <f>32.225+31.533+4.772-20-7</f>
        <v>41.53</v>
      </c>
      <c r="E10" s="48">
        <f>C10+D10</f>
        <v>44.841</v>
      </c>
      <c r="F10" s="48">
        <f>1.0012+1.2942+2</f>
        <v>4.2954</v>
      </c>
      <c r="G10" s="49">
        <f>3+12+23</f>
        <v>38</v>
      </c>
      <c r="H10" s="23" t="s">
        <v>137</v>
      </c>
      <c r="I10" s="49"/>
      <c r="R10" s="110"/>
      <c r="S10" s="49" t="s">
        <v>218</v>
      </c>
      <c r="T10" s="42">
        <v>3.786</v>
      </c>
      <c r="U10" s="42">
        <v>28.927</v>
      </c>
      <c r="V10" s="41">
        <f t="shared" si="0"/>
        <v>32.713</v>
      </c>
      <c r="W10" s="41">
        <v>7.9259000000000004</v>
      </c>
      <c r="X10" s="32">
        <v>65</v>
      </c>
      <c r="Y10" s="33" t="s">
        <v>137</v>
      </c>
      <c r="Z10" s="31" t="s">
        <v>223</v>
      </c>
    </row>
    <row r="11" spans="1:34">
      <c r="A11" s="111"/>
      <c r="B11" s="49" t="s">
        <v>222</v>
      </c>
      <c r="C11" s="48">
        <f>0.12+0.985+2.162</f>
        <v>3.267</v>
      </c>
      <c r="D11" s="48">
        <f>26.689+28.098+4.79-20</f>
        <v>39.577</v>
      </c>
      <c r="E11" s="48">
        <f>D11+C11</f>
        <v>42.844</v>
      </c>
      <c r="F11" s="48">
        <f>1.2949+0.5626+1.0314+1</f>
        <v>3.8889</v>
      </c>
      <c r="G11" s="49">
        <f>3+11+23</f>
        <v>37</v>
      </c>
      <c r="H11" s="23" t="s">
        <v>137</v>
      </c>
      <c r="I11" s="49"/>
      <c r="R11" s="111"/>
      <c r="S11" s="49" t="s">
        <v>222</v>
      </c>
      <c r="T11" s="42">
        <v>3.7719999999999998</v>
      </c>
      <c r="U11" s="42">
        <v>27.113</v>
      </c>
      <c r="V11" s="41">
        <f t="shared" si="0"/>
        <v>30.885</v>
      </c>
      <c r="W11" s="41">
        <v>3.7366999999999999</v>
      </c>
      <c r="X11" s="32">
        <v>42</v>
      </c>
      <c r="Y11" s="33" t="s">
        <v>137</v>
      </c>
      <c r="Z11" s="49"/>
    </row>
    <row r="12" spans="1:34">
      <c r="A12" s="113">
        <v>4</v>
      </c>
      <c r="B12" s="49" t="s">
        <v>217</v>
      </c>
      <c r="C12" s="48">
        <f>0.12+1.053+2.24</f>
        <v>3.413</v>
      </c>
      <c r="D12" s="48">
        <f>30.003+25.683+4.832-20</f>
        <v>40.518</v>
      </c>
      <c r="E12" s="48">
        <f>D12+C12</f>
        <v>43.931</v>
      </c>
      <c r="F12" s="48">
        <f>1.2746+0.3249+0.8868+1</f>
        <v>3.4863</v>
      </c>
      <c r="G12" s="49">
        <f>3+12+24</f>
        <v>39</v>
      </c>
      <c r="H12" s="23" t="s">
        <v>137</v>
      </c>
      <c r="I12" s="49"/>
      <c r="R12" s="113">
        <v>4</v>
      </c>
      <c r="S12" s="49" t="s">
        <v>217</v>
      </c>
      <c r="T12" s="42">
        <v>4.2560000000000002</v>
      </c>
      <c r="U12" s="42">
        <v>26.672999999999998</v>
      </c>
      <c r="V12" s="41">
        <f t="shared" si="0"/>
        <v>30.929</v>
      </c>
      <c r="W12" s="41">
        <v>3.9798</v>
      </c>
      <c r="X12" s="32">
        <v>47</v>
      </c>
      <c r="Y12" s="33" t="s">
        <v>137</v>
      </c>
      <c r="Z12" s="49"/>
    </row>
    <row r="13" spans="1:34">
      <c r="A13" s="110"/>
      <c r="B13" s="49" t="s">
        <v>218</v>
      </c>
      <c r="C13" s="48">
        <f>0.12+0.991+3.016</f>
        <v>4.127</v>
      </c>
      <c r="D13" s="48">
        <f>32.339+27.18+4.842-20-7</f>
        <v>37.361</v>
      </c>
      <c r="E13" s="48">
        <f>C13+D13</f>
        <v>41.488</v>
      </c>
      <c r="F13" s="48">
        <f>0.9609+1.2748+2</f>
        <v>4.2357</v>
      </c>
      <c r="G13" s="49">
        <f>3+11+32</f>
        <v>46</v>
      </c>
      <c r="H13" s="23" t="s">
        <v>137</v>
      </c>
      <c r="I13" s="49"/>
      <c r="R13" s="110"/>
      <c r="S13" s="49" t="s">
        <v>218</v>
      </c>
      <c r="T13" s="42">
        <v>4.0730000000000004</v>
      </c>
      <c r="U13" s="42">
        <v>26.698699999999999</v>
      </c>
      <c r="V13" s="41">
        <f t="shared" si="0"/>
        <v>30.7717</v>
      </c>
      <c r="W13" s="41">
        <v>2.7395999999999998</v>
      </c>
      <c r="X13" s="32">
        <v>46</v>
      </c>
      <c r="Y13" s="33" t="s">
        <v>137</v>
      </c>
      <c r="Z13" s="49"/>
    </row>
    <row r="14" spans="1:34">
      <c r="A14" s="111"/>
      <c r="B14" s="49" t="s">
        <v>222</v>
      </c>
      <c r="C14" s="48">
        <f>0.12+1.043+2.243</f>
        <v>3.406</v>
      </c>
      <c r="D14" s="48">
        <f>27.996+30.764+4.832-20-7</f>
        <v>36.592</v>
      </c>
      <c r="E14" s="48">
        <f>D14+C14</f>
        <v>39.998</v>
      </c>
      <c r="F14" s="48">
        <f>1.2743+0.3239+0.912+1</f>
        <v>3.5102</v>
      </c>
      <c r="G14" s="49">
        <f>3+12+24</f>
        <v>39</v>
      </c>
      <c r="H14" s="23" t="s">
        <v>137</v>
      </c>
      <c r="I14" s="49"/>
      <c r="R14" s="111"/>
      <c r="S14" s="49" t="s">
        <v>222</v>
      </c>
      <c r="T14" s="42">
        <v>4.069</v>
      </c>
      <c r="U14" s="42">
        <v>28.797999999999998</v>
      </c>
      <c r="V14" s="41">
        <f t="shared" si="0"/>
        <v>32.867</v>
      </c>
      <c r="W14" s="41">
        <v>3.2511999999999999</v>
      </c>
      <c r="X14" s="32">
        <v>46</v>
      </c>
      <c r="Y14" s="33" t="s">
        <v>137</v>
      </c>
      <c r="Z14" s="49"/>
    </row>
    <row r="15" spans="1:34">
      <c r="A15" s="113">
        <v>5</v>
      </c>
      <c r="B15" s="49" t="s">
        <v>217</v>
      </c>
      <c r="C15" s="48">
        <f>0.12+1.044+2.255</f>
        <v>3.419</v>
      </c>
      <c r="D15" s="48">
        <f>22.643+25.779+4.878-20</f>
        <v>33.3</v>
      </c>
      <c r="E15" s="48">
        <f>D15+C15</f>
        <v>36.719</v>
      </c>
      <c r="F15" s="48">
        <f>1.3116+0.1996+1.078+1</f>
        <v>3.5892</v>
      </c>
      <c r="G15" s="49">
        <f>3+12+24</f>
        <v>39</v>
      </c>
      <c r="H15" s="23" t="s">
        <v>137</v>
      </c>
      <c r="I15" s="49"/>
      <c r="R15" s="113">
        <v>5</v>
      </c>
      <c r="S15" s="49" t="s">
        <v>217</v>
      </c>
      <c r="T15" s="42">
        <v>3.823</v>
      </c>
      <c r="U15" s="42">
        <v>28.815000000000001</v>
      </c>
      <c r="V15" s="41">
        <f t="shared" si="0"/>
        <v>32.638</v>
      </c>
      <c r="W15" s="41">
        <v>3.5181</v>
      </c>
      <c r="X15" s="32">
        <v>43</v>
      </c>
      <c r="Y15" s="33" t="s">
        <v>137</v>
      </c>
      <c r="Z15" s="49"/>
    </row>
    <row r="16" spans="1:34">
      <c r="A16" s="110"/>
      <c r="B16" s="49" t="s">
        <v>218</v>
      </c>
      <c r="C16" s="48">
        <f>2.421+0.95+0.12</f>
        <v>3.491</v>
      </c>
      <c r="D16" s="48">
        <f>4.727+25.59+28.026-20</f>
        <v>38.343</v>
      </c>
      <c r="E16" s="48">
        <f>C16+D16</f>
        <v>41.834</v>
      </c>
      <c r="F16" s="48">
        <f>1.1315+1.3116+2</f>
        <v>4.4431</v>
      </c>
      <c r="G16" s="49">
        <f>3+11+26</f>
        <v>40</v>
      </c>
      <c r="H16" s="23" t="s">
        <v>137</v>
      </c>
      <c r="I16" s="49"/>
      <c r="R16" s="110"/>
      <c r="S16" s="49" t="s">
        <v>218</v>
      </c>
      <c r="T16" s="42">
        <v>4.4390000000000001</v>
      </c>
      <c r="U16" s="42">
        <v>26.742000000000001</v>
      </c>
      <c r="V16" s="41">
        <f t="shared" si="0"/>
        <v>31.181</v>
      </c>
      <c r="W16" s="41">
        <v>4.3399000000000001</v>
      </c>
      <c r="X16" s="32">
        <v>49</v>
      </c>
      <c r="Y16" s="33" t="s">
        <v>137</v>
      </c>
      <c r="Z16" s="49"/>
    </row>
    <row r="17" spans="1:26">
      <c r="A17" s="111"/>
      <c r="B17" s="49" t="s">
        <v>222</v>
      </c>
      <c r="C17" s="48">
        <f>0.12+0.95+2.121</f>
        <v>3.191</v>
      </c>
      <c r="D17" s="48">
        <f>32.415+26.748+4.727-20-7</f>
        <v>36.89</v>
      </c>
      <c r="E17" s="48">
        <f t="shared" ref="E17:E24" si="1">D17+C17</f>
        <v>40.081</v>
      </c>
      <c r="F17" s="48">
        <f>1.3114+0.3051+1.165+1</f>
        <v>3.7815</v>
      </c>
      <c r="G17" s="49">
        <f>3+11+23</f>
        <v>37</v>
      </c>
      <c r="H17" s="23" t="s">
        <v>137</v>
      </c>
      <c r="I17" s="49"/>
      <c r="R17" s="111"/>
      <c r="S17" s="49" t="s">
        <v>222</v>
      </c>
      <c r="T17" s="42">
        <v>3.7559999999999998</v>
      </c>
      <c r="U17" s="42">
        <v>28.754000000000001</v>
      </c>
      <c r="V17" s="41">
        <f t="shared" si="0"/>
        <v>32.51</v>
      </c>
      <c r="W17" s="41">
        <v>3.5975999999999999</v>
      </c>
      <c r="X17" s="32">
        <v>42</v>
      </c>
      <c r="Y17" s="33" t="s">
        <v>137</v>
      </c>
      <c r="Z17" s="49"/>
    </row>
    <row r="18" spans="1:26">
      <c r="A18" s="113">
        <v>6</v>
      </c>
      <c r="B18" s="49" t="s">
        <v>217</v>
      </c>
      <c r="C18" s="48">
        <f>0.12+1.022+2.115</f>
        <v>3.257</v>
      </c>
      <c r="D18" s="48">
        <f>26.012+23.912+5.726-20</f>
        <v>35.65</v>
      </c>
      <c r="E18" s="48">
        <f t="shared" si="1"/>
        <v>38.907</v>
      </c>
      <c r="F18" s="48">
        <f>1.1762+0.5437+1.0715+1</f>
        <v>3.7914</v>
      </c>
      <c r="G18" s="49">
        <f>3+12+23</f>
        <v>38</v>
      </c>
      <c r="H18" s="23" t="s">
        <v>137</v>
      </c>
      <c r="I18" s="49"/>
      <c r="R18" s="113">
        <v>6</v>
      </c>
      <c r="S18" s="49" t="s">
        <v>217</v>
      </c>
      <c r="T18" s="42">
        <v>4.4539999999999997</v>
      </c>
      <c r="U18" s="42">
        <v>27.155000000000001</v>
      </c>
      <c r="V18" s="41">
        <f t="shared" si="0"/>
        <v>31.609</v>
      </c>
      <c r="W18" s="41">
        <v>3.3763000000000001</v>
      </c>
      <c r="X18" s="32">
        <v>49</v>
      </c>
      <c r="Y18" s="33" t="s">
        <v>137</v>
      </c>
      <c r="Z18" s="49"/>
    </row>
    <row r="19" spans="1:26">
      <c r="A19" s="110"/>
      <c r="B19" s="49" t="s">
        <v>218</v>
      </c>
      <c r="C19" s="48">
        <f>0.12+1.032+2.116</f>
        <v>3.268</v>
      </c>
      <c r="D19" s="48">
        <f>28.891+27.356+4.728-20-7</f>
        <v>33.975</v>
      </c>
      <c r="E19" s="48">
        <f t="shared" si="1"/>
        <v>37.243</v>
      </c>
      <c r="F19" s="48">
        <f>1.1601+1.1125+2</f>
        <v>4.2726</v>
      </c>
      <c r="G19" s="49">
        <f>3+12+23</f>
        <v>38</v>
      </c>
      <c r="H19" s="23" t="s">
        <v>137</v>
      </c>
      <c r="I19" s="49"/>
      <c r="R19" s="110"/>
      <c r="S19" s="49" t="s">
        <v>218</v>
      </c>
      <c r="T19" s="42">
        <v>3.7288999999999999</v>
      </c>
      <c r="U19" s="42">
        <v>29.757000000000001</v>
      </c>
      <c r="V19" s="41">
        <f t="shared" si="0"/>
        <v>33.4859</v>
      </c>
      <c r="W19" s="41">
        <v>3.7168999999999999</v>
      </c>
      <c r="X19" s="32">
        <v>42</v>
      </c>
      <c r="Y19" s="33" t="s">
        <v>137</v>
      </c>
      <c r="Z19" s="49"/>
    </row>
    <row r="20" spans="1:26">
      <c r="A20" s="111"/>
      <c r="B20" s="49" t="s">
        <v>222</v>
      </c>
      <c r="C20" s="48">
        <f>0.12+0.956+2.988</f>
        <v>4.064</v>
      </c>
      <c r="D20" s="48">
        <f>34.245+24.392+5.581-20-7</f>
        <v>37.218</v>
      </c>
      <c r="E20" s="48">
        <f t="shared" si="1"/>
        <v>41.282</v>
      </c>
      <c r="F20" s="48">
        <f>1.1775+0.5438+1.1405+1</f>
        <v>3.8618</v>
      </c>
      <c r="G20" s="49">
        <f>3+11+31</f>
        <v>45</v>
      </c>
      <c r="H20" s="23" t="s">
        <v>137</v>
      </c>
      <c r="I20" s="49"/>
      <c r="R20" s="111"/>
      <c r="S20" s="49" t="s">
        <v>222</v>
      </c>
      <c r="T20" s="42">
        <v>3.6783000000000001</v>
      </c>
      <c r="U20" s="42">
        <v>29.972000000000001</v>
      </c>
      <c r="V20" s="41">
        <f t="shared" si="0"/>
        <v>33.6503</v>
      </c>
      <c r="W20" s="41">
        <v>3.4358</v>
      </c>
      <c r="X20" s="32">
        <v>49</v>
      </c>
      <c r="Y20" s="33" t="s">
        <v>137</v>
      </c>
      <c r="Z20" s="49"/>
    </row>
    <row r="21" spans="1:26">
      <c r="A21" s="113">
        <v>7</v>
      </c>
      <c r="B21" s="49" t="s">
        <v>217</v>
      </c>
      <c r="C21" s="48">
        <f>0.12+0.96+3.006</f>
        <v>4.086</v>
      </c>
      <c r="D21" s="48">
        <f>25.062+30.674+5.626-20-7</f>
        <v>34.362</v>
      </c>
      <c r="E21" s="48">
        <f t="shared" si="1"/>
        <v>38.448</v>
      </c>
      <c r="F21" s="48">
        <f>1.3134+0.1992+0.9699+1</f>
        <v>3.4825</v>
      </c>
      <c r="G21" s="49">
        <f>3+11+32</f>
        <v>46</v>
      </c>
      <c r="H21" s="23" t="s">
        <v>137</v>
      </c>
      <c r="I21" s="49"/>
      <c r="R21" s="113">
        <v>7</v>
      </c>
      <c r="S21" s="49" t="s">
        <v>217</v>
      </c>
      <c r="T21" s="42">
        <v>3.911</v>
      </c>
      <c r="U21" s="42">
        <v>26.244</v>
      </c>
      <c r="V21" s="41">
        <f t="shared" si="0"/>
        <v>30.155</v>
      </c>
      <c r="W21" s="41">
        <v>3.6486999999999998</v>
      </c>
      <c r="X21" s="32">
        <v>44</v>
      </c>
      <c r="Y21" s="33" t="s">
        <v>137</v>
      </c>
      <c r="Z21" s="49"/>
    </row>
    <row r="22" spans="1:26">
      <c r="A22" s="110"/>
      <c r="B22" s="49" t="s">
        <v>218</v>
      </c>
      <c r="C22" s="48">
        <f>0.12+1.085+2.883</f>
        <v>4.088</v>
      </c>
      <c r="D22" s="48">
        <f>23.193+35.309+5.476-20-7</f>
        <v>36.978</v>
      </c>
      <c r="E22" s="48">
        <f t="shared" si="1"/>
        <v>41.066</v>
      </c>
      <c r="F22" s="48">
        <f>1.3147+1.1759+2</f>
        <v>4.4906</v>
      </c>
      <c r="G22" s="49">
        <f>3+12+32</f>
        <v>47</v>
      </c>
      <c r="H22" s="23" t="s">
        <v>137</v>
      </c>
      <c r="I22" s="49"/>
      <c r="R22" s="110"/>
      <c r="S22" s="49" t="s">
        <v>218</v>
      </c>
      <c r="T22" s="42">
        <v>4.0720000000000001</v>
      </c>
      <c r="U22" s="42">
        <v>29.143999999999998</v>
      </c>
      <c r="V22" s="41">
        <f t="shared" si="0"/>
        <v>33.216</v>
      </c>
      <c r="W22" s="41">
        <v>6.2220000000000004</v>
      </c>
      <c r="X22" s="32">
        <v>46</v>
      </c>
      <c r="Y22" s="33" t="s">
        <v>137</v>
      </c>
      <c r="Z22" s="49"/>
    </row>
    <row r="23" spans="1:26">
      <c r="A23" s="111"/>
      <c r="B23" s="49" t="s">
        <v>222</v>
      </c>
      <c r="C23" s="48">
        <f>0.12+0.951+2.319</f>
        <v>3.39</v>
      </c>
      <c r="D23" s="48">
        <f>27.891+24.874+4.925-20</f>
        <v>37.69</v>
      </c>
      <c r="E23" s="48">
        <f t="shared" si="1"/>
        <v>41.08</v>
      </c>
      <c r="F23" s="48">
        <f>1.3139+0.5436+1.058+1</f>
        <v>3.9155</v>
      </c>
      <c r="G23" s="49">
        <f>3+11+25</f>
        <v>39</v>
      </c>
      <c r="H23" s="23" t="s">
        <v>137</v>
      </c>
      <c r="I23" s="49"/>
      <c r="R23" s="111"/>
      <c r="S23" s="49" t="s">
        <v>222</v>
      </c>
      <c r="T23" s="42">
        <v>3.99</v>
      </c>
      <c r="U23" s="42">
        <v>29.065000000000001</v>
      </c>
      <c r="V23" s="41">
        <f t="shared" si="0"/>
        <v>33.055</v>
      </c>
      <c r="W23" s="41">
        <v>3.7852000000000001</v>
      </c>
      <c r="X23" s="32">
        <v>44</v>
      </c>
      <c r="Y23" s="33" t="s">
        <v>137</v>
      </c>
      <c r="Z23" s="49"/>
    </row>
    <row r="24" spans="1:26">
      <c r="A24" s="113">
        <v>8</v>
      </c>
      <c r="B24" s="49" t="s">
        <v>217</v>
      </c>
      <c r="C24" s="48">
        <v>6.274</v>
      </c>
      <c r="D24" s="48">
        <f>24.266+28.223+2.922-20</f>
        <v>35.411</v>
      </c>
      <c r="E24" s="48">
        <f t="shared" si="1"/>
        <v>41.685</v>
      </c>
      <c r="F24" s="48">
        <f>1.3277+0.7045+0.7768+1</f>
        <v>3.809</v>
      </c>
      <c r="G24" s="49">
        <f>3+15+31</f>
        <v>49</v>
      </c>
      <c r="H24" s="23" t="s">
        <v>137</v>
      </c>
      <c r="I24" s="49"/>
      <c r="R24" s="113">
        <v>8</v>
      </c>
      <c r="S24" s="49" t="s">
        <v>217</v>
      </c>
      <c r="T24" s="42">
        <v>4.4039999999999999</v>
      </c>
      <c r="U24" s="42">
        <v>30</v>
      </c>
      <c r="V24" s="41">
        <f t="shared" si="0"/>
        <v>34.404</v>
      </c>
      <c r="W24" s="41">
        <v>6.6794000000000002</v>
      </c>
      <c r="X24" s="32">
        <v>57</v>
      </c>
      <c r="Y24" s="33" t="s">
        <v>137</v>
      </c>
      <c r="Z24" s="31" t="s">
        <v>223</v>
      </c>
    </row>
    <row r="25" spans="1:26">
      <c r="A25" s="110"/>
      <c r="B25" s="49" t="s">
        <v>218</v>
      </c>
      <c r="C25" s="48">
        <f>0.12+1.038+2.193</f>
        <v>3.351</v>
      </c>
      <c r="D25" s="48">
        <f>46.474+41.901+4.772-20-20-7-7</f>
        <v>39.147</v>
      </c>
      <c r="E25" s="48">
        <f>C25+D25</f>
        <v>42.498</v>
      </c>
      <c r="F25" s="48">
        <f>1.3268+1.0419+2</f>
        <v>4.3687</v>
      </c>
      <c r="G25" s="49">
        <f>3+12+23</f>
        <v>38</v>
      </c>
      <c r="H25" s="23" t="s">
        <v>137</v>
      </c>
      <c r="I25" s="49"/>
      <c r="R25" s="110"/>
      <c r="S25" s="49" t="s">
        <v>218</v>
      </c>
      <c r="T25" s="42">
        <v>3.7370000000000001</v>
      </c>
      <c r="U25" s="42">
        <v>29.279</v>
      </c>
      <c r="V25" s="41">
        <f t="shared" si="0"/>
        <v>33.016</v>
      </c>
      <c r="W25" s="41">
        <v>4.4950999999999999</v>
      </c>
      <c r="X25" s="32">
        <v>42</v>
      </c>
      <c r="Y25" s="33" t="s">
        <v>137</v>
      </c>
      <c r="Z25" s="49"/>
    </row>
    <row r="26" spans="1:26">
      <c r="A26" s="111"/>
      <c r="B26" s="49" t="s">
        <v>222</v>
      </c>
      <c r="C26" s="48">
        <f>0.12+1.021+2.198</f>
        <v>3.339</v>
      </c>
      <c r="D26" s="48">
        <f>30.33+30.03+4.759-20-7</f>
        <v>38.119</v>
      </c>
      <c r="E26" s="48">
        <f t="shared" ref="E26:E32" si="2">D26+C26</f>
        <v>41.458</v>
      </c>
      <c r="F26" s="48">
        <f>1.3272+0.644+1.041+1</f>
        <v>4.0122</v>
      </c>
      <c r="G26" s="49">
        <f>3+12+23</f>
        <v>38</v>
      </c>
      <c r="H26" s="23" t="s">
        <v>137</v>
      </c>
      <c r="I26" s="49"/>
      <c r="R26" s="111"/>
      <c r="S26" s="49" t="s">
        <v>222</v>
      </c>
      <c r="T26" s="42">
        <v>3.7509999999999999</v>
      </c>
      <c r="U26" s="42">
        <v>29.222000000000001</v>
      </c>
      <c r="V26" s="41">
        <f t="shared" si="0"/>
        <v>32.973</v>
      </c>
      <c r="W26" s="41">
        <v>3.8887</v>
      </c>
      <c r="X26" s="32">
        <v>42</v>
      </c>
      <c r="Y26" s="33" t="s">
        <v>137</v>
      </c>
      <c r="Z26" s="49"/>
    </row>
    <row r="27" spans="1:26">
      <c r="A27" s="113">
        <v>9</v>
      </c>
      <c r="B27" s="49" t="s">
        <v>217</v>
      </c>
      <c r="C27" s="48">
        <v>3.609</v>
      </c>
      <c r="D27" s="48">
        <f>58.9301-20-7</f>
        <v>31.9301</v>
      </c>
      <c r="E27" s="48">
        <f t="shared" si="2"/>
        <v>35.5391</v>
      </c>
      <c r="F27" s="48">
        <f>2.7821+1</f>
        <v>3.7821</v>
      </c>
      <c r="G27" s="49">
        <v>45</v>
      </c>
      <c r="H27" s="23" t="s">
        <v>137</v>
      </c>
      <c r="I27" s="49"/>
      <c r="R27" s="113">
        <v>9</v>
      </c>
      <c r="S27" s="49" t="s">
        <v>217</v>
      </c>
      <c r="T27" s="42">
        <v>3.7570000000000001</v>
      </c>
      <c r="U27" s="42">
        <v>28.407</v>
      </c>
      <c r="V27" s="41">
        <f t="shared" si="0"/>
        <v>32.164</v>
      </c>
      <c r="W27" s="41">
        <v>5.8853</v>
      </c>
      <c r="X27" s="32">
        <v>42</v>
      </c>
      <c r="Y27" s="33" t="s">
        <v>137</v>
      </c>
      <c r="Z27" s="49"/>
    </row>
    <row r="28" spans="1:26">
      <c r="A28" s="110"/>
      <c r="B28" s="49" t="s">
        <v>218</v>
      </c>
      <c r="C28" s="48">
        <f>0.12+0.994+2.926</f>
        <v>4.04</v>
      </c>
      <c r="D28" s="48">
        <f>36.177+31.996+5.523-20-7</f>
        <v>46.696</v>
      </c>
      <c r="E28" s="48">
        <f t="shared" si="2"/>
        <v>50.736</v>
      </c>
      <c r="F28" s="48">
        <f>1.1773+1.3259+2</f>
        <v>4.5032</v>
      </c>
      <c r="G28" s="49">
        <f>31+11+3</f>
        <v>45</v>
      </c>
      <c r="H28" s="23" t="s">
        <v>137</v>
      </c>
      <c r="I28" s="49"/>
      <c r="R28" s="110"/>
      <c r="S28" s="49" t="s">
        <v>218</v>
      </c>
      <c r="T28" s="42">
        <v>3.762</v>
      </c>
      <c r="U28" s="42">
        <v>31.789000000000001</v>
      </c>
      <c r="V28" s="41">
        <f t="shared" si="0"/>
        <v>35.551</v>
      </c>
      <c r="W28" s="41">
        <v>6.7469999999999999</v>
      </c>
      <c r="X28" s="32">
        <v>42</v>
      </c>
      <c r="Y28" s="33" t="s">
        <v>137</v>
      </c>
      <c r="Z28" s="49"/>
    </row>
    <row r="29" spans="1:26">
      <c r="A29" s="111"/>
      <c r="B29" s="49" t="s">
        <v>222</v>
      </c>
      <c r="C29" s="48">
        <f>0.12+1.002+2.927</f>
        <v>4.049</v>
      </c>
      <c r="D29" s="48">
        <f>51.438+28.679+5.535-20-20-7</f>
        <v>38.652</v>
      </c>
      <c r="E29" s="48">
        <f t="shared" si="2"/>
        <v>42.701</v>
      </c>
      <c r="F29" s="48">
        <f>1.3261+0.7039+1.1773+1</f>
        <v>4.2073</v>
      </c>
      <c r="G29" s="49">
        <f>31+12+3</f>
        <v>46</v>
      </c>
      <c r="H29" s="23" t="s">
        <v>137</v>
      </c>
      <c r="I29" s="49"/>
      <c r="R29" s="111"/>
      <c r="S29" s="49" t="s">
        <v>222</v>
      </c>
      <c r="T29" s="42">
        <v>3.7</v>
      </c>
      <c r="U29" s="42">
        <v>30.204000000000001</v>
      </c>
      <c r="V29" s="41">
        <f t="shared" si="0"/>
        <v>33.904</v>
      </c>
      <c r="W29" s="41">
        <v>4.6124000000000001</v>
      </c>
      <c r="X29" s="32">
        <v>41</v>
      </c>
      <c r="Y29" s="33" t="s">
        <v>137</v>
      </c>
      <c r="Z29" s="49"/>
    </row>
    <row r="30" spans="1:26" ht="11.55" customHeight="1">
      <c r="A30" s="113">
        <v>10</v>
      </c>
      <c r="B30" s="49" t="s">
        <v>217</v>
      </c>
      <c r="C30" s="48">
        <v>3.6509999999999998</v>
      </c>
      <c r="D30" s="48">
        <f>59.551-20-7</f>
        <v>32.551</v>
      </c>
      <c r="E30" s="48">
        <f t="shared" si="2"/>
        <v>36.202</v>
      </c>
      <c r="F30" s="48">
        <f>2.8107+1</f>
        <v>3.8107</v>
      </c>
      <c r="G30" s="49">
        <v>47</v>
      </c>
      <c r="H30" s="23" t="s">
        <v>137</v>
      </c>
      <c r="I30" s="49"/>
      <c r="R30" s="113">
        <v>10</v>
      </c>
      <c r="S30" s="49" t="s">
        <v>217</v>
      </c>
      <c r="T30" s="42" t="s">
        <v>39</v>
      </c>
      <c r="U30" s="42" t="s">
        <v>39</v>
      </c>
      <c r="V30" s="42" t="s">
        <v>39</v>
      </c>
      <c r="W30" s="42" t="s">
        <v>39</v>
      </c>
      <c r="X30" s="34" t="s">
        <v>39</v>
      </c>
      <c r="Y30" s="35" t="s">
        <v>224</v>
      </c>
      <c r="Z30" s="31" t="s">
        <v>225</v>
      </c>
    </row>
    <row r="31" spans="1:26">
      <c r="A31" s="110"/>
      <c r="B31" s="49" t="s">
        <v>218</v>
      </c>
      <c r="C31" s="48">
        <f>0.12+1.003+3.019</f>
        <v>4.142</v>
      </c>
      <c r="D31" s="48">
        <f>29.286+37.088+5.64-20-10-15</f>
        <v>27.014</v>
      </c>
      <c r="E31" s="48">
        <f t="shared" si="2"/>
        <v>31.156</v>
      </c>
      <c r="F31" s="48">
        <f>1.4231+0.9715+2</f>
        <v>4.3946</v>
      </c>
      <c r="G31" s="49">
        <f>3+12+33</f>
        <v>48</v>
      </c>
      <c r="H31" s="23" t="s">
        <v>137</v>
      </c>
      <c r="I31" s="49"/>
      <c r="R31" s="110"/>
      <c r="S31" s="49" t="s">
        <v>218</v>
      </c>
      <c r="T31" s="42">
        <v>3.9780000000000002</v>
      </c>
      <c r="U31" s="42">
        <v>29.164000000000001</v>
      </c>
      <c r="V31" s="41">
        <f>U31+T31</f>
        <v>33.142</v>
      </c>
      <c r="W31" s="41">
        <v>4.1147999999999998</v>
      </c>
      <c r="X31" s="32">
        <v>45</v>
      </c>
      <c r="Y31" s="33" t="s">
        <v>137</v>
      </c>
      <c r="Z31" s="49"/>
    </row>
    <row r="32" spans="1:26">
      <c r="A32" s="111"/>
      <c r="B32" s="49" t="s">
        <v>222</v>
      </c>
      <c r="C32" s="48">
        <f>2.296+1.049+0.12</f>
        <v>3.465</v>
      </c>
      <c r="D32" s="48">
        <f>27.539+34.325+4.877-20-10</f>
        <v>36.741</v>
      </c>
      <c r="E32" s="48">
        <f t="shared" si="2"/>
        <v>40.206</v>
      </c>
      <c r="F32" s="48">
        <f>0.9011+0.7026+1.4206+1</f>
        <v>4.0243</v>
      </c>
      <c r="G32" s="49">
        <f>24+12+3</f>
        <v>39</v>
      </c>
      <c r="H32" s="23" t="s">
        <v>137</v>
      </c>
      <c r="I32" s="49"/>
      <c r="R32" s="111"/>
      <c r="S32" s="49" t="s">
        <v>222</v>
      </c>
      <c r="T32" s="42">
        <v>4.1609999999999996</v>
      </c>
      <c r="U32" s="42">
        <v>33.700000000000003</v>
      </c>
      <c r="V32" s="41">
        <f>U32+T32</f>
        <v>37.861</v>
      </c>
      <c r="W32" s="41">
        <v>5.3423999999999996</v>
      </c>
      <c r="X32" s="32">
        <v>47</v>
      </c>
      <c r="Y32" s="33" t="s">
        <v>137</v>
      </c>
      <c r="Z32" s="49"/>
    </row>
    <row r="33" spans="1:33">
      <c r="C33" s="2"/>
      <c r="D33" s="2"/>
      <c r="E33" s="2"/>
      <c r="F33" s="2"/>
    </row>
    <row r="35" spans="1:33">
      <c r="A35" s="131" t="s">
        <v>226</v>
      </c>
      <c r="B35" s="132"/>
      <c r="C35" s="132"/>
      <c r="D35" s="132"/>
      <c r="E35" s="132"/>
      <c r="F35" s="132"/>
      <c r="G35" s="132"/>
      <c r="H35" s="132"/>
      <c r="I35" s="132"/>
      <c r="R35" s="131" t="s">
        <v>227</v>
      </c>
      <c r="S35" s="132"/>
      <c r="T35" s="132"/>
      <c r="U35" s="132"/>
      <c r="V35" s="132"/>
      <c r="W35" s="132"/>
      <c r="X35" s="132"/>
      <c r="Y35" s="132"/>
      <c r="Z35" s="132"/>
    </row>
    <row r="36" spans="1:33" ht="29.55" customHeight="1">
      <c r="A36" s="8" t="s">
        <v>208</v>
      </c>
      <c r="B36" s="8" t="s">
        <v>209</v>
      </c>
      <c r="C36" s="8" t="s">
        <v>210</v>
      </c>
      <c r="D36" s="8" t="s">
        <v>211</v>
      </c>
      <c r="E36" s="8" t="s">
        <v>212</v>
      </c>
      <c r="F36" s="8" t="s">
        <v>213</v>
      </c>
      <c r="G36" s="8" t="s">
        <v>214</v>
      </c>
      <c r="H36" s="8" t="s">
        <v>215</v>
      </c>
      <c r="I36" s="8" t="s">
        <v>216</v>
      </c>
      <c r="R36" s="8" t="s">
        <v>208</v>
      </c>
      <c r="S36" s="8" t="s">
        <v>209</v>
      </c>
      <c r="T36" s="8" t="s">
        <v>210</v>
      </c>
      <c r="U36" s="8" t="s">
        <v>211</v>
      </c>
      <c r="V36" s="8" t="s">
        <v>212</v>
      </c>
      <c r="W36" s="8" t="s">
        <v>213</v>
      </c>
      <c r="X36" s="8" t="s">
        <v>214</v>
      </c>
      <c r="Y36" s="8" t="s">
        <v>215</v>
      </c>
      <c r="Z36" s="8" t="s">
        <v>216</v>
      </c>
    </row>
    <row r="37" spans="1:33">
      <c r="A37" s="113">
        <v>1</v>
      </c>
      <c r="B37" s="49" t="s">
        <v>217</v>
      </c>
      <c r="C37" s="48">
        <v>3.823</v>
      </c>
      <c r="D37" s="48">
        <v>28.129000000000001</v>
      </c>
      <c r="E37" s="48">
        <f>D37+C37</f>
        <v>31.952</v>
      </c>
      <c r="F37" s="48">
        <v>4.7203999999999997</v>
      </c>
      <c r="G37" s="49">
        <v>42</v>
      </c>
      <c r="H37" s="23" t="s">
        <v>137</v>
      </c>
      <c r="I37" s="49"/>
      <c r="R37" s="113">
        <v>1</v>
      </c>
      <c r="S37" s="49" t="s">
        <v>217</v>
      </c>
      <c r="T37" s="48">
        <v>4.3689999999999998</v>
      </c>
      <c r="U37" s="48">
        <v>27.350999999999999</v>
      </c>
      <c r="V37" s="48">
        <f t="shared" ref="V37:V66" si="3">U37+T37</f>
        <v>31.72</v>
      </c>
      <c r="W37" s="48">
        <v>3.1366000000000001</v>
      </c>
      <c r="X37" s="49">
        <v>48</v>
      </c>
      <c r="Y37" s="23" t="s">
        <v>137</v>
      </c>
      <c r="Z37" s="49"/>
    </row>
    <row r="38" spans="1:33">
      <c r="A38" s="110"/>
      <c r="B38" s="49" t="s">
        <v>218</v>
      </c>
      <c r="C38" s="48">
        <v>3.786</v>
      </c>
      <c r="D38" s="48">
        <v>27.38</v>
      </c>
      <c r="E38" s="48">
        <f>D38+C38</f>
        <v>31.166</v>
      </c>
      <c r="F38" s="48">
        <v>3.7629000000000001</v>
      </c>
      <c r="G38" s="49">
        <v>42</v>
      </c>
      <c r="H38" s="23" t="s">
        <v>137</v>
      </c>
      <c r="I38" s="49"/>
      <c r="L38" s="130" t="s">
        <v>138</v>
      </c>
      <c r="M38" s="105"/>
      <c r="N38" s="105"/>
      <c r="O38" s="105"/>
      <c r="P38" s="106"/>
      <c r="R38" s="110"/>
      <c r="S38" s="49" t="s">
        <v>218</v>
      </c>
      <c r="T38" s="48">
        <v>3.8180000000000001</v>
      </c>
      <c r="U38" s="48">
        <v>30.263000000000002</v>
      </c>
      <c r="V38" s="48">
        <f t="shared" si="3"/>
        <v>34.081</v>
      </c>
      <c r="W38" s="48">
        <v>5.4729000000000001</v>
      </c>
      <c r="X38" s="49">
        <v>48</v>
      </c>
      <c r="Y38" s="23" t="s">
        <v>137</v>
      </c>
      <c r="Z38" s="49"/>
      <c r="AC38" s="130" t="s">
        <v>138</v>
      </c>
      <c r="AD38" s="105"/>
      <c r="AE38" s="105"/>
      <c r="AF38" s="105"/>
      <c r="AG38" s="106"/>
    </row>
    <row r="39" spans="1:33" ht="32.25" customHeight="1">
      <c r="A39" s="111"/>
      <c r="B39" s="49" t="s">
        <v>222</v>
      </c>
      <c r="C39" s="48">
        <v>3.7989999999999999</v>
      </c>
      <c r="D39" s="48">
        <v>31.026</v>
      </c>
      <c r="E39" s="48">
        <f>D39+C39</f>
        <v>34.825</v>
      </c>
      <c r="F39" s="48">
        <v>4.8452000000000002</v>
      </c>
      <c r="G39" s="49">
        <v>42</v>
      </c>
      <c r="H39" s="23" t="s">
        <v>137</v>
      </c>
      <c r="I39" s="49"/>
      <c r="L39" s="23" t="s">
        <v>210</v>
      </c>
      <c r="M39" s="23" t="s">
        <v>211</v>
      </c>
      <c r="N39" s="23" t="s">
        <v>219</v>
      </c>
      <c r="O39" s="23" t="s">
        <v>220</v>
      </c>
      <c r="P39" s="23" t="s">
        <v>221</v>
      </c>
      <c r="R39" s="111"/>
      <c r="S39" s="49" t="s">
        <v>222</v>
      </c>
      <c r="T39" s="40">
        <v>3.4786000000000001</v>
      </c>
      <c r="U39" s="41">
        <v>28.931100000000001</v>
      </c>
      <c r="V39" s="41">
        <f t="shared" si="3"/>
        <v>32.4097</v>
      </c>
      <c r="W39" s="41">
        <v>6.657</v>
      </c>
      <c r="X39" s="32">
        <v>54</v>
      </c>
      <c r="Y39" s="33" t="s">
        <v>137</v>
      </c>
      <c r="Z39" s="31" t="s">
        <v>223</v>
      </c>
      <c r="AC39" s="23" t="s">
        <v>210</v>
      </c>
      <c r="AD39" s="23" t="s">
        <v>211</v>
      </c>
      <c r="AE39" s="23" t="s">
        <v>219</v>
      </c>
      <c r="AF39" s="23" t="s">
        <v>220</v>
      </c>
      <c r="AG39" s="23" t="s">
        <v>221</v>
      </c>
    </row>
    <row r="40" spans="1:33">
      <c r="A40" s="113">
        <v>2</v>
      </c>
      <c r="B40" s="49" t="s">
        <v>217</v>
      </c>
      <c r="C40" s="48">
        <v>4.1109999999999998</v>
      </c>
      <c r="D40" s="48">
        <v>25.981000000000002</v>
      </c>
      <c r="E40" s="48">
        <v>30.091999999999999</v>
      </c>
      <c r="F40" s="48">
        <v>3.3239999999999998</v>
      </c>
      <c r="G40" s="49">
        <v>46</v>
      </c>
      <c r="H40" s="23" t="s">
        <v>137</v>
      </c>
      <c r="I40" s="49"/>
      <c r="K40" s="22" t="s">
        <v>217</v>
      </c>
      <c r="L40" s="38">
        <f>AVERAGEIF(B37:B66,"RRTConnect",C37:C66)</f>
        <v>4.18231</v>
      </c>
      <c r="M40" s="39">
        <f>AVERAGEIF(B37:B66,"RRTConnect",D37:D66)</f>
        <v>26.7723</v>
      </c>
      <c r="N40" s="39">
        <f>AVERAGEIF(B37:B66,"RRTConnect",E37:E66)</f>
        <v>30.95461</v>
      </c>
      <c r="O40" s="39">
        <f>AVERAGEIF(B37:B66,"RRTConnect",F37:F66)</f>
        <v>3.76568</v>
      </c>
      <c r="P40" s="37">
        <f>AVERAGEIF(B37:B66,"RRTConnect",G37:G66)</f>
        <v>45.6</v>
      </c>
      <c r="R40" s="113">
        <v>2</v>
      </c>
      <c r="S40" s="49" t="s">
        <v>217</v>
      </c>
      <c r="T40" s="48">
        <v>3.9529999999999998</v>
      </c>
      <c r="U40" s="48">
        <v>28.986000000000001</v>
      </c>
      <c r="V40" s="48">
        <f t="shared" si="3"/>
        <v>32.939</v>
      </c>
      <c r="W40" s="48">
        <v>3.3641999999999999</v>
      </c>
      <c r="X40" s="49">
        <v>44</v>
      </c>
      <c r="Y40" s="23" t="s">
        <v>137</v>
      </c>
      <c r="Z40" s="49"/>
      <c r="AB40" s="22" t="s">
        <v>217</v>
      </c>
      <c r="AC40" s="38">
        <f>AVERAGEIF(S37:S67,"RRTConnect",T37:T67)</f>
        <v>4.0304</v>
      </c>
      <c r="AD40" s="38">
        <f>AVERAGEIF(S37:S66,"RRTConnect",U37:U66)</f>
        <v>28.3417</v>
      </c>
      <c r="AE40" s="38">
        <f>AVERAGEIF(S37:S66,"RRTConnect",V37:V67)</f>
        <v>32.3721</v>
      </c>
      <c r="AF40" s="39">
        <f>AVERAGEIF(S37:S66,"RRTConnect",W37:W66)</f>
        <v>3.8212</v>
      </c>
      <c r="AG40" s="36">
        <f ca="1">AVERAGEIF(S37:S67,"RRTConnect",X37:X66)</f>
        <v>47.3</v>
      </c>
    </row>
    <row r="41" spans="1:33">
      <c r="A41" s="110"/>
      <c r="B41" s="49" t="s">
        <v>218</v>
      </c>
      <c r="C41" s="48">
        <v>6.6180000000000003</v>
      </c>
      <c r="D41" s="48">
        <v>29.986999999999998</v>
      </c>
      <c r="E41" s="48">
        <f t="shared" ref="E41:E66" si="4">D41+C41</f>
        <v>36.605</v>
      </c>
      <c r="F41" s="48">
        <v>6.6493000000000002</v>
      </c>
      <c r="G41" s="49">
        <v>71</v>
      </c>
      <c r="H41" s="23" t="s">
        <v>137</v>
      </c>
      <c r="I41" s="31" t="s">
        <v>223</v>
      </c>
      <c r="K41" s="22" t="s">
        <v>218</v>
      </c>
      <c r="L41" s="38">
        <f>AVERAGEIF(B37:B66,"PRMstar",C37:C66)</f>
        <v>4.4851</v>
      </c>
      <c r="M41" s="38">
        <f>AVERAGEIF(B37:B66,"PRMstar",D37:D66)</f>
        <v>29.2109</v>
      </c>
      <c r="N41" s="38">
        <f>AVERAGEIF(B37:B66,"PRMstar",E37:E66)</f>
        <v>33.696</v>
      </c>
      <c r="O41" s="38">
        <f>AVERAGEIF(B37:B66,"PRMstar",F37:F66)</f>
        <v>5.21046</v>
      </c>
      <c r="P41" s="36">
        <f>AVERAGEIF(B37:B66,"PRMstar",G37:G66)</f>
        <v>53.3</v>
      </c>
      <c r="R41" s="110"/>
      <c r="S41" s="49" t="s">
        <v>218</v>
      </c>
      <c r="T41" s="48">
        <v>4.0419999999999998</v>
      </c>
      <c r="U41" s="48">
        <v>28.704000000000001</v>
      </c>
      <c r="V41" s="48">
        <f t="shared" si="3"/>
        <v>32.746</v>
      </c>
      <c r="W41" s="48">
        <v>5.0766</v>
      </c>
      <c r="X41" s="49">
        <v>47</v>
      </c>
      <c r="Y41" s="23" t="s">
        <v>137</v>
      </c>
      <c r="Z41" s="49"/>
      <c r="AB41" s="22" t="s">
        <v>218</v>
      </c>
      <c r="AC41" s="38">
        <f>AVERAGEIF(S37:S66,"PRMstar",T37:T66)</f>
        <v>4.0714</v>
      </c>
      <c r="AD41" s="38">
        <f>AVERAGEIF(S37:S66,"PRMstar",U37:U66)</f>
        <v>28.4594</v>
      </c>
      <c r="AE41" s="38">
        <f>AVERAGEIF(S37:S66,"PRMstar",V37:V66)</f>
        <v>32.5308</v>
      </c>
      <c r="AF41" s="38">
        <f>AVERAGEIF(S37:S66,"PRMstar",W37:W66)</f>
        <v>4.474684</v>
      </c>
      <c r="AG41" s="37">
        <f>AVERAGEIF(S37:S66,"PRMstar",X37:X66)</f>
        <v>46.3</v>
      </c>
    </row>
    <row r="42" spans="1:33">
      <c r="A42" s="111"/>
      <c r="B42" s="49" t="s">
        <v>222</v>
      </c>
      <c r="C42" s="48">
        <v>3.9209999999999998</v>
      </c>
      <c r="D42" s="48">
        <v>31.611999999999998</v>
      </c>
      <c r="E42" s="48">
        <f t="shared" si="4"/>
        <v>35.533</v>
      </c>
      <c r="F42" s="48">
        <v>5.1689999999999996</v>
      </c>
      <c r="G42" s="49">
        <v>44</v>
      </c>
      <c r="H42" s="23" t="s">
        <v>137</v>
      </c>
      <c r="I42" s="49"/>
      <c r="K42" s="22" t="s">
        <v>222</v>
      </c>
      <c r="L42" s="39">
        <f>AVERAGEIF(B37:B66,"RRTstar",C37:C66)</f>
        <v>4.02074</v>
      </c>
      <c r="M42" s="38">
        <f>AVERAGEIF(B37:B66,"RRTstar",D37:D66)</f>
        <v>30.35412</v>
      </c>
      <c r="N42" s="38">
        <f>AVERAGEIF(B37:B66,"RRTstar",E37:E66)</f>
        <v>34.37486</v>
      </c>
      <c r="O42" s="38">
        <f>AVERAGEIF(B37:B66,"RRTstar",F37:F66)</f>
        <v>4.64556</v>
      </c>
      <c r="P42" s="37">
        <f>AVERAGEIF(B37:B66,"RRTstar",G37:G66)</f>
        <v>46.2</v>
      </c>
      <c r="R42" s="111"/>
      <c r="S42" s="49" t="s">
        <v>222</v>
      </c>
      <c r="T42" s="48">
        <f>0.12+1.047+2.255</f>
        <v>3.422</v>
      </c>
      <c r="U42" s="48">
        <f>33.285+27.697+4.876-20-20</f>
        <v>25.858</v>
      </c>
      <c r="V42" s="48">
        <f t="shared" si="3"/>
        <v>29.28</v>
      </c>
      <c r="W42" s="48">
        <f>1.2525+0.3813+1.0361+1</f>
        <v>3.6699</v>
      </c>
      <c r="X42" s="49">
        <f>3+12+23</f>
        <v>38</v>
      </c>
      <c r="Y42" s="23" t="s">
        <v>137</v>
      </c>
      <c r="Z42" s="49"/>
      <c r="AB42" s="22" t="s">
        <v>222</v>
      </c>
      <c r="AC42" s="39">
        <f>AVERAGEIF(S37:S66,"RRTstar",T37:T66)</f>
        <v>3.68009</v>
      </c>
      <c r="AD42" s="39">
        <f>AVERAGEIF(S37:S66,"RRTstar",U37:U66)</f>
        <v>28.12791</v>
      </c>
      <c r="AE42" s="39">
        <f>AVERAGEIF(S37:S66,"RRTstar",V37:V66)</f>
        <v>31.808</v>
      </c>
      <c r="AF42" s="38">
        <f>AVERAGEIF(S37:S66,"RRTstar",W37:W66)</f>
        <v>4.60693</v>
      </c>
      <c r="AG42" s="37">
        <f>AVERAGEIF(S37:S66,"RRTstar",X37:X66)</f>
        <v>45.6</v>
      </c>
    </row>
    <row r="43" spans="1:33">
      <c r="A43" s="113">
        <v>3</v>
      </c>
      <c r="B43" s="49" t="s">
        <v>217</v>
      </c>
      <c r="C43" s="48">
        <v>3.8971</v>
      </c>
      <c r="D43" s="48">
        <v>24.052</v>
      </c>
      <c r="E43" s="48">
        <f t="shared" si="4"/>
        <v>27.9491</v>
      </c>
      <c r="F43" s="48">
        <v>3.0327000000000002</v>
      </c>
      <c r="G43" s="49">
        <v>48</v>
      </c>
      <c r="H43" s="23" t="s">
        <v>137</v>
      </c>
      <c r="I43" s="49"/>
      <c r="R43" s="113">
        <v>3</v>
      </c>
      <c r="S43" s="49" t="s">
        <v>217</v>
      </c>
      <c r="T43" s="48">
        <v>4.2510000000000003</v>
      </c>
      <c r="U43" s="48">
        <v>35.188000000000002</v>
      </c>
      <c r="V43" s="48">
        <f t="shared" si="3"/>
        <v>39.439</v>
      </c>
      <c r="W43" s="48">
        <v>5.0233999999999996</v>
      </c>
      <c r="X43" s="49">
        <v>58</v>
      </c>
      <c r="Y43" s="23" t="s">
        <v>137</v>
      </c>
      <c r="Z43" s="31" t="s">
        <v>223</v>
      </c>
    </row>
    <row r="44" spans="1:33">
      <c r="A44" s="110"/>
      <c r="B44" s="49" t="s">
        <v>218</v>
      </c>
      <c r="C44" s="48">
        <v>4.4260000000000002</v>
      </c>
      <c r="D44" s="48">
        <v>29.631</v>
      </c>
      <c r="E44" s="48">
        <f t="shared" si="4"/>
        <v>34.057</v>
      </c>
      <c r="F44" s="48">
        <v>3.4781</v>
      </c>
      <c r="G44" s="49">
        <v>48</v>
      </c>
      <c r="H44" s="23" t="s">
        <v>137</v>
      </c>
      <c r="I44" s="49"/>
      <c r="R44" s="110"/>
      <c r="S44" s="49" t="s">
        <v>218</v>
      </c>
      <c r="T44" s="48">
        <v>3.996</v>
      </c>
      <c r="U44" s="48">
        <v>29.376999999999999</v>
      </c>
      <c r="V44" s="48">
        <f t="shared" si="3"/>
        <v>33.373</v>
      </c>
      <c r="W44" s="48">
        <v>3.0700400000000001</v>
      </c>
      <c r="X44" s="49">
        <v>42</v>
      </c>
      <c r="Y44" s="23" t="s">
        <v>137</v>
      </c>
      <c r="Z44" s="49"/>
    </row>
    <row r="45" spans="1:33">
      <c r="A45" s="111"/>
      <c r="B45" s="49" t="s">
        <v>222</v>
      </c>
      <c r="C45" s="48">
        <v>3.7669999999999999</v>
      </c>
      <c r="D45" s="48">
        <v>29.114999999999998</v>
      </c>
      <c r="E45" s="48">
        <f t="shared" si="4"/>
        <v>32.882</v>
      </c>
      <c r="F45" s="48">
        <v>3.738</v>
      </c>
      <c r="G45" s="49">
        <v>42</v>
      </c>
      <c r="H45" s="23" t="s">
        <v>137</v>
      </c>
      <c r="I45" s="49"/>
      <c r="R45" s="111"/>
      <c r="S45" s="49" t="s">
        <v>222</v>
      </c>
      <c r="T45" s="41">
        <v>3.7719999999999998</v>
      </c>
      <c r="U45" s="41">
        <v>27.113</v>
      </c>
      <c r="V45" s="41">
        <f t="shared" si="3"/>
        <v>30.885</v>
      </c>
      <c r="W45" s="41">
        <v>3.7366999999999999</v>
      </c>
      <c r="X45" s="32">
        <v>42</v>
      </c>
      <c r="Y45" s="23" t="s">
        <v>137</v>
      </c>
      <c r="Z45" s="49"/>
    </row>
    <row r="46" spans="1:33">
      <c r="A46" s="113">
        <v>4</v>
      </c>
      <c r="B46" s="49" t="s">
        <v>217</v>
      </c>
      <c r="C46" s="48">
        <v>4.1230000000000002</v>
      </c>
      <c r="D46" s="48">
        <v>26.507000000000001</v>
      </c>
      <c r="E46" s="48">
        <f t="shared" si="4"/>
        <v>30.63</v>
      </c>
      <c r="F46" s="48">
        <v>3.6149</v>
      </c>
      <c r="G46" s="49">
        <v>46</v>
      </c>
      <c r="H46" s="23" t="s">
        <v>137</v>
      </c>
      <c r="I46" s="49"/>
      <c r="R46" s="113">
        <v>4</v>
      </c>
      <c r="S46" s="49" t="s">
        <v>217</v>
      </c>
      <c r="T46" s="48">
        <v>4.0679999999999996</v>
      </c>
      <c r="U46" s="48">
        <v>26.719000000000001</v>
      </c>
      <c r="V46" s="48">
        <f t="shared" si="3"/>
        <v>30.787</v>
      </c>
      <c r="W46" s="48">
        <v>3.1547000000000001</v>
      </c>
      <c r="X46" s="49">
        <v>46</v>
      </c>
      <c r="Y46" s="23" t="s">
        <v>137</v>
      </c>
      <c r="Z46" s="49"/>
    </row>
    <row r="47" spans="1:33">
      <c r="A47" s="110"/>
      <c r="B47" s="49" t="s">
        <v>218</v>
      </c>
      <c r="C47" s="48">
        <v>4.024</v>
      </c>
      <c r="D47" s="48">
        <v>31.102</v>
      </c>
      <c r="E47" s="48">
        <f t="shared" si="4"/>
        <v>35.126</v>
      </c>
      <c r="F47" s="48">
        <v>4.0446999999999997</v>
      </c>
      <c r="G47" s="49">
        <v>45</v>
      </c>
      <c r="H47" s="23" t="s">
        <v>137</v>
      </c>
      <c r="I47" s="49"/>
      <c r="R47" s="110"/>
      <c r="S47" s="49" t="s">
        <v>218</v>
      </c>
      <c r="T47" s="48">
        <v>3.7530000000000001</v>
      </c>
      <c r="U47" s="48">
        <v>29.896000000000001</v>
      </c>
      <c r="V47" s="48">
        <f t="shared" si="3"/>
        <v>33.649</v>
      </c>
      <c r="W47" s="48">
        <v>3.6147999999999998</v>
      </c>
      <c r="X47" s="49">
        <v>46</v>
      </c>
      <c r="Y47" s="23" t="s">
        <v>137</v>
      </c>
      <c r="Z47" s="49"/>
    </row>
    <row r="48" spans="1:33">
      <c r="A48" s="111"/>
      <c r="B48" s="49" t="s">
        <v>222</v>
      </c>
      <c r="C48" s="48">
        <v>4.125</v>
      </c>
      <c r="D48" s="48">
        <v>29.34</v>
      </c>
      <c r="E48" s="48">
        <f t="shared" si="4"/>
        <v>33.465</v>
      </c>
      <c r="F48" s="48">
        <v>3.6778</v>
      </c>
      <c r="G48" s="49">
        <v>46</v>
      </c>
      <c r="H48" s="23" t="s">
        <v>137</v>
      </c>
      <c r="I48" s="49"/>
      <c r="R48" s="111"/>
      <c r="S48" s="49" t="s">
        <v>222</v>
      </c>
      <c r="T48" s="48">
        <v>4.125</v>
      </c>
      <c r="U48" s="48">
        <v>28.34</v>
      </c>
      <c r="V48" s="48">
        <f t="shared" si="3"/>
        <v>32.465</v>
      </c>
      <c r="W48" s="48">
        <v>3.6778</v>
      </c>
      <c r="X48" s="49">
        <v>46</v>
      </c>
      <c r="Y48" s="23" t="s">
        <v>137</v>
      </c>
      <c r="Z48" s="49"/>
    </row>
    <row r="49" spans="1:26">
      <c r="A49" s="113">
        <v>5</v>
      </c>
      <c r="B49" s="49" t="s">
        <v>217</v>
      </c>
      <c r="C49" s="48">
        <v>3.7610000000000001</v>
      </c>
      <c r="D49" s="48">
        <v>25.850999999999999</v>
      </c>
      <c r="E49" s="48">
        <f t="shared" si="4"/>
        <v>29.612</v>
      </c>
      <c r="F49" s="48">
        <v>3.4944999999999999</v>
      </c>
      <c r="G49" s="49">
        <v>42</v>
      </c>
      <c r="H49" s="23" t="s">
        <v>137</v>
      </c>
      <c r="I49" s="49"/>
      <c r="R49" s="113">
        <v>5</v>
      </c>
      <c r="S49" s="49" t="s">
        <v>217</v>
      </c>
      <c r="T49" s="48">
        <v>4.3860000000000001</v>
      </c>
      <c r="U49" s="48">
        <v>25.399000000000001</v>
      </c>
      <c r="V49" s="48">
        <f t="shared" si="3"/>
        <v>29.785</v>
      </c>
      <c r="W49" s="48">
        <v>2.5962000000000001</v>
      </c>
      <c r="X49" s="49">
        <v>48</v>
      </c>
      <c r="Y49" s="23" t="s">
        <v>137</v>
      </c>
      <c r="Z49" s="49"/>
    </row>
    <row r="50" spans="1:26">
      <c r="A50" s="110"/>
      <c r="B50" s="49" t="s">
        <v>218</v>
      </c>
      <c r="C50" s="48">
        <v>4.431</v>
      </c>
      <c r="D50" s="48">
        <v>27.318000000000001</v>
      </c>
      <c r="E50" s="48">
        <f t="shared" si="4"/>
        <v>31.749</v>
      </c>
      <c r="F50" s="48">
        <v>4.3696000000000002</v>
      </c>
      <c r="G50" s="49">
        <v>49</v>
      </c>
      <c r="H50" s="23" t="s">
        <v>137</v>
      </c>
      <c r="I50" s="49"/>
      <c r="R50" s="110"/>
      <c r="S50" s="49" t="s">
        <v>218</v>
      </c>
      <c r="T50" s="48">
        <v>4.202</v>
      </c>
      <c r="U50" s="48">
        <v>27.164000000000001</v>
      </c>
      <c r="V50" s="48">
        <f t="shared" si="3"/>
        <v>31.366</v>
      </c>
      <c r="W50" s="48">
        <v>4.6047000000000002</v>
      </c>
      <c r="X50" s="49">
        <v>50</v>
      </c>
      <c r="Y50" s="23" t="s">
        <v>137</v>
      </c>
      <c r="Z50" s="49"/>
    </row>
    <row r="51" spans="1:26">
      <c r="A51" s="111"/>
      <c r="B51" s="49" t="s">
        <v>222</v>
      </c>
      <c r="C51" s="48">
        <v>3.8679999999999999</v>
      </c>
      <c r="D51" s="48">
        <v>28.853999999999999</v>
      </c>
      <c r="E51" s="48">
        <f t="shared" si="4"/>
        <v>32.722</v>
      </c>
      <c r="F51" s="48">
        <v>3.6295000000000002</v>
      </c>
      <c r="G51" s="49">
        <v>43</v>
      </c>
      <c r="H51" s="23" t="s">
        <v>137</v>
      </c>
      <c r="I51" s="49"/>
      <c r="R51" s="111"/>
      <c r="S51" s="49" t="s">
        <v>222</v>
      </c>
      <c r="T51" s="41">
        <v>3.7559999999999998</v>
      </c>
      <c r="U51" s="41">
        <v>28.754000000000001</v>
      </c>
      <c r="V51" s="41">
        <f t="shared" si="3"/>
        <v>32.51</v>
      </c>
      <c r="W51" s="41">
        <v>3.5975999999999999</v>
      </c>
      <c r="X51" s="32">
        <v>42</v>
      </c>
      <c r="Y51" s="33" t="s">
        <v>137</v>
      </c>
      <c r="Z51" s="49"/>
    </row>
    <row r="52" spans="1:26">
      <c r="A52" s="113">
        <v>6</v>
      </c>
      <c r="B52" s="49" t="s">
        <v>217</v>
      </c>
      <c r="C52" s="48">
        <v>4.4539999999999997</v>
      </c>
      <c r="D52" s="48">
        <v>27.2</v>
      </c>
      <c r="E52" s="48">
        <f t="shared" si="4"/>
        <v>31.654</v>
      </c>
      <c r="F52" s="48">
        <v>3.3782999999999999</v>
      </c>
      <c r="G52" s="49">
        <v>49</v>
      </c>
      <c r="H52" s="23" t="s">
        <v>137</v>
      </c>
      <c r="I52" s="49"/>
      <c r="R52" s="113">
        <v>6</v>
      </c>
      <c r="S52" s="49" t="s">
        <v>217</v>
      </c>
      <c r="T52" s="48">
        <v>4.4489999999999998</v>
      </c>
      <c r="U52" s="48">
        <v>30.016999999999999</v>
      </c>
      <c r="V52" s="48">
        <f t="shared" si="3"/>
        <v>34.466</v>
      </c>
      <c r="W52" s="48">
        <v>3.3782000000000001</v>
      </c>
      <c r="X52" s="49">
        <v>49</v>
      </c>
      <c r="Y52" s="23" t="s">
        <v>137</v>
      </c>
      <c r="Z52" s="49"/>
    </row>
    <row r="53" spans="1:26">
      <c r="A53" s="110"/>
      <c r="B53" s="49" t="s">
        <v>218</v>
      </c>
      <c r="C53" s="48">
        <v>4.4450000000000003</v>
      </c>
      <c r="D53" s="48">
        <v>29.937999999999999</v>
      </c>
      <c r="E53" s="48">
        <f t="shared" si="4"/>
        <v>34.383</v>
      </c>
      <c r="F53" s="48">
        <v>4.2956000000000003</v>
      </c>
      <c r="G53" s="49">
        <v>49</v>
      </c>
      <c r="H53" s="23" t="s">
        <v>137</v>
      </c>
      <c r="I53" s="49"/>
      <c r="R53" s="110"/>
      <c r="S53" s="49" t="s">
        <v>218</v>
      </c>
      <c r="T53" s="48">
        <v>4.3970000000000002</v>
      </c>
      <c r="U53" s="48">
        <v>27.178999999999998</v>
      </c>
      <c r="V53" s="48">
        <f t="shared" si="3"/>
        <v>31.576</v>
      </c>
      <c r="W53" s="48">
        <v>4.2967000000000004</v>
      </c>
      <c r="X53" s="49">
        <v>49</v>
      </c>
      <c r="Y53" s="23" t="s">
        <v>137</v>
      </c>
      <c r="Z53" s="49"/>
    </row>
    <row r="54" spans="1:26">
      <c r="A54" s="111"/>
      <c r="B54" s="49" t="s">
        <v>222</v>
      </c>
      <c r="C54" s="48">
        <v>4.4509999999999996</v>
      </c>
      <c r="D54" s="48">
        <v>30</v>
      </c>
      <c r="E54" s="48">
        <f t="shared" si="4"/>
        <v>34.451</v>
      </c>
      <c r="F54" s="48">
        <v>3.4287000000000001</v>
      </c>
      <c r="G54" s="49">
        <v>49</v>
      </c>
      <c r="H54" s="23" t="s">
        <v>137</v>
      </c>
      <c r="I54" s="49"/>
      <c r="R54" s="111"/>
      <c r="S54" s="49" t="s">
        <v>222</v>
      </c>
      <c r="T54" s="41">
        <v>3.6783000000000001</v>
      </c>
      <c r="U54" s="41">
        <v>25.972000000000001</v>
      </c>
      <c r="V54" s="41">
        <f t="shared" si="3"/>
        <v>29.6503</v>
      </c>
      <c r="W54" s="41">
        <v>3.4358</v>
      </c>
      <c r="X54" s="32">
        <v>49</v>
      </c>
      <c r="Y54" s="23" t="s">
        <v>137</v>
      </c>
      <c r="Z54" s="49"/>
    </row>
    <row r="55" spans="1:26">
      <c r="A55" s="113">
        <v>7</v>
      </c>
      <c r="B55" s="49" t="s">
        <v>217</v>
      </c>
      <c r="C55" s="48">
        <v>3.915</v>
      </c>
      <c r="D55" s="48">
        <v>25.393999999999998</v>
      </c>
      <c r="E55" s="48">
        <f t="shared" si="4"/>
        <v>29.309</v>
      </c>
      <c r="F55" s="48">
        <v>3.5225</v>
      </c>
      <c r="G55" s="49">
        <v>44</v>
      </c>
      <c r="H55" s="23" t="s">
        <v>137</v>
      </c>
      <c r="I55" s="49"/>
      <c r="R55" s="113">
        <v>7</v>
      </c>
      <c r="S55" s="49" t="s">
        <v>217</v>
      </c>
      <c r="T55" s="48">
        <v>4.3769999999999998</v>
      </c>
      <c r="U55" s="48">
        <v>29.36</v>
      </c>
      <c r="V55" s="48">
        <f t="shared" si="3"/>
        <v>33.737</v>
      </c>
      <c r="W55" s="48">
        <v>6.9531000000000001</v>
      </c>
      <c r="X55" s="49">
        <v>55</v>
      </c>
      <c r="Y55" s="23" t="s">
        <v>137</v>
      </c>
      <c r="Z55" s="31" t="s">
        <v>223</v>
      </c>
    </row>
    <row r="56" spans="1:26">
      <c r="A56" s="110"/>
      <c r="B56" s="49" t="s">
        <v>218</v>
      </c>
      <c r="C56" s="48">
        <v>4.3879999999999999</v>
      </c>
      <c r="D56" s="48">
        <v>27.742999999999999</v>
      </c>
      <c r="E56" s="48">
        <f t="shared" si="4"/>
        <v>32.131</v>
      </c>
      <c r="F56" s="48">
        <v>8.3405000000000005</v>
      </c>
      <c r="G56" s="49">
        <v>80</v>
      </c>
      <c r="H56" s="23" t="s">
        <v>137</v>
      </c>
      <c r="I56" s="31" t="s">
        <v>223</v>
      </c>
      <c r="R56" s="110"/>
      <c r="S56" s="49" t="s">
        <v>218</v>
      </c>
      <c r="T56" s="48">
        <v>4.6159999999999997</v>
      </c>
      <c r="U56" s="48">
        <v>30.934000000000001</v>
      </c>
      <c r="V56" s="48">
        <f t="shared" si="3"/>
        <v>35.55</v>
      </c>
      <c r="W56" s="48">
        <v>6.8186999999999998</v>
      </c>
      <c r="X56" s="49">
        <v>50</v>
      </c>
      <c r="Y56" s="23" t="s">
        <v>137</v>
      </c>
      <c r="Z56" s="49"/>
    </row>
    <row r="57" spans="1:26">
      <c r="A57" s="111"/>
      <c r="B57" s="49" t="s">
        <v>222</v>
      </c>
      <c r="C57" s="48">
        <v>4.4809999999999999</v>
      </c>
      <c r="D57" s="48">
        <v>33.335999999999999</v>
      </c>
      <c r="E57" s="48">
        <f t="shared" si="4"/>
        <v>37.817</v>
      </c>
      <c r="F57" s="48">
        <v>8.4626000000000001</v>
      </c>
      <c r="G57" s="49">
        <v>60</v>
      </c>
      <c r="H57" s="23" t="s">
        <v>137</v>
      </c>
      <c r="I57" s="31" t="s">
        <v>223</v>
      </c>
      <c r="R57" s="111"/>
      <c r="S57" s="49" t="s">
        <v>222</v>
      </c>
      <c r="T57" s="48">
        <v>4.4809999999999999</v>
      </c>
      <c r="U57" s="48">
        <v>25.335999999999999</v>
      </c>
      <c r="V57" s="48">
        <f t="shared" si="3"/>
        <v>29.817</v>
      </c>
      <c r="W57" s="48">
        <v>8.4626000000000001</v>
      </c>
      <c r="X57" s="49">
        <v>60</v>
      </c>
      <c r="Y57" s="23" t="s">
        <v>137</v>
      </c>
      <c r="Z57" s="31" t="s">
        <v>223</v>
      </c>
    </row>
    <row r="58" spans="1:26">
      <c r="A58" s="113">
        <v>8</v>
      </c>
      <c r="B58" s="49" t="s">
        <v>217</v>
      </c>
      <c r="C58" s="48">
        <v>3.7749999999999999</v>
      </c>
      <c r="D58" s="48">
        <v>25.442</v>
      </c>
      <c r="E58" s="48">
        <f t="shared" si="4"/>
        <v>29.217</v>
      </c>
      <c r="F58" s="48">
        <v>3.6734</v>
      </c>
      <c r="G58" s="49">
        <v>43</v>
      </c>
      <c r="H58" s="23" t="s">
        <v>137</v>
      </c>
      <c r="I58" s="49"/>
      <c r="R58" s="113">
        <v>8</v>
      </c>
      <c r="S58" s="49" t="s">
        <v>217</v>
      </c>
      <c r="T58" s="48">
        <v>3.7589999999999999</v>
      </c>
      <c r="U58" s="48">
        <v>26.282</v>
      </c>
      <c r="V58" s="48">
        <f t="shared" si="3"/>
        <v>30.041</v>
      </c>
      <c r="W58" s="48">
        <v>3.8018999999999998</v>
      </c>
      <c r="X58" s="49">
        <v>42</v>
      </c>
      <c r="Y58" s="23" t="s">
        <v>137</v>
      </c>
      <c r="Z58" s="49"/>
    </row>
    <row r="59" spans="1:26">
      <c r="A59" s="110"/>
      <c r="B59" s="49" t="s">
        <v>218</v>
      </c>
      <c r="C59" s="48">
        <v>3.9660000000000002</v>
      </c>
      <c r="D59" s="48">
        <v>30.388999999999999</v>
      </c>
      <c r="E59" s="48">
        <f t="shared" si="4"/>
        <v>34.355</v>
      </c>
      <c r="F59" s="48">
        <v>6.9333999999999998</v>
      </c>
      <c r="G59" s="49">
        <v>52</v>
      </c>
      <c r="H59" s="23" t="s">
        <v>137</v>
      </c>
      <c r="I59" s="49"/>
      <c r="R59" s="110"/>
      <c r="S59" s="49" t="s">
        <v>218</v>
      </c>
      <c r="T59" s="48">
        <v>4.3769999999999998</v>
      </c>
      <c r="U59" s="48">
        <v>29.027000000000001</v>
      </c>
      <c r="V59" s="48">
        <f t="shared" si="3"/>
        <v>33.404</v>
      </c>
      <c r="W59" s="48">
        <v>4.5347999999999997</v>
      </c>
      <c r="X59" s="49">
        <v>42</v>
      </c>
      <c r="Y59" s="23" t="s">
        <v>137</v>
      </c>
      <c r="Z59" s="49"/>
    </row>
    <row r="60" spans="1:26">
      <c r="A60" s="111"/>
      <c r="B60" s="49" t="s">
        <v>222</v>
      </c>
      <c r="C60" s="48">
        <v>3.7890000000000001</v>
      </c>
      <c r="D60" s="48">
        <v>29.18</v>
      </c>
      <c r="E60" s="48">
        <f t="shared" si="4"/>
        <v>32.969</v>
      </c>
      <c r="F60" s="48">
        <v>3.9310999999999998</v>
      </c>
      <c r="G60" s="49">
        <v>43</v>
      </c>
      <c r="H60" s="23" t="s">
        <v>137</v>
      </c>
      <c r="I60" s="49"/>
      <c r="R60" s="111"/>
      <c r="S60" s="49" t="s">
        <v>222</v>
      </c>
      <c r="T60" s="48">
        <f>0.12+1.021+2.198</f>
        <v>3.339</v>
      </c>
      <c r="U60" s="48">
        <f>30.33+30.03+4.759-20-10</f>
        <v>35.119</v>
      </c>
      <c r="V60" s="48">
        <f t="shared" si="3"/>
        <v>38.458</v>
      </c>
      <c r="W60" s="48">
        <f>1.3272+0.644+1.041+1</f>
        <v>4.0122</v>
      </c>
      <c r="X60" s="49">
        <f>3+12+23</f>
        <v>38</v>
      </c>
      <c r="Y60" s="23" t="s">
        <v>137</v>
      </c>
      <c r="Z60" s="49"/>
    </row>
    <row r="61" spans="1:26">
      <c r="A61" s="113">
        <v>9</v>
      </c>
      <c r="B61" s="49" t="s">
        <v>217</v>
      </c>
      <c r="C61" s="48">
        <v>5.8289999999999997</v>
      </c>
      <c r="D61" s="48">
        <v>31.108000000000001</v>
      </c>
      <c r="E61" s="48">
        <f t="shared" si="4"/>
        <v>36.937</v>
      </c>
      <c r="F61" s="48">
        <v>4.0195999999999996</v>
      </c>
      <c r="G61" s="49">
        <v>50</v>
      </c>
      <c r="H61" s="23" t="s">
        <v>137</v>
      </c>
      <c r="I61" s="49"/>
      <c r="R61" s="113">
        <v>9</v>
      </c>
      <c r="S61" s="49" t="s">
        <v>217</v>
      </c>
      <c r="T61" s="48">
        <v>3.6890000000000001</v>
      </c>
      <c r="U61" s="48">
        <v>24.957000000000001</v>
      </c>
      <c r="V61" s="48">
        <f t="shared" si="3"/>
        <v>28.646</v>
      </c>
      <c r="W61" s="48">
        <v>3.0145</v>
      </c>
      <c r="X61" s="49">
        <v>39</v>
      </c>
      <c r="Y61" s="23" t="s">
        <v>137</v>
      </c>
      <c r="Z61" s="49"/>
    </row>
    <row r="62" spans="1:26">
      <c r="A62" s="110"/>
      <c r="B62" s="49" t="s">
        <v>218</v>
      </c>
      <c r="C62" s="48">
        <v>4.4219999999999997</v>
      </c>
      <c r="D62" s="48">
        <v>30.974</v>
      </c>
      <c r="E62" s="48">
        <f t="shared" si="4"/>
        <v>35.396</v>
      </c>
      <c r="F62" s="48">
        <v>5.0919999999999996</v>
      </c>
      <c r="G62" s="49">
        <v>49</v>
      </c>
      <c r="H62" s="23" t="s">
        <v>137</v>
      </c>
      <c r="I62" s="49"/>
      <c r="R62" s="110"/>
      <c r="S62" s="49" t="s">
        <v>218</v>
      </c>
      <c r="T62" s="48">
        <v>3.7850000000000001</v>
      </c>
      <c r="U62" s="48">
        <v>27.648</v>
      </c>
      <c r="V62" s="48">
        <f t="shared" si="3"/>
        <v>31.433</v>
      </c>
      <c r="W62" s="48">
        <v>3.3111000000000002</v>
      </c>
      <c r="X62" s="49">
        <v>41</v>
      </c>
      <c r="Y62" s="23" t="s">
        <v>137</v>
      </c>
      <c r="Z62" s="49"/>
    </row>
    <row r="63" spans="1:26">
      <c r="A63" s="111"/>
      <c r="B63" s="49" t="s">
        <v>222</v>
      </c>
      <c r="C63" s="48">
        <v>3.9940000000000002</v>
      </c>
      <c r="D63" s="48">
        <v>30.986999999999998</v>
      </c>
      <c r="E63" s="48">
        <f t="shared" si="4"/>
        <v>34.981</v>
      </c>
      <c r="F63" s="48">
        <v>4.5750000000000002</v>
      </c>
      <c r="G63" s="49">
        <v>45</v>
      </c>
      <c r="H63" s="23" t="s">
        <v>137</v>
      </c>
      <c r="I63" s="49"/>
      <c r="R63" s="111"/>
      <c r="S63" s="49" t="s">
        <v>222</v>
      </c>
      <c r="T63" s="48">
        <f>0.12+1.002+1.927</f>
        <v>3.049</v>
      </c>
      <c r="U63" s="48">
        <f>51.438+28.679+5.535-20-20-20</f>
        <v>25.652</v>
      </c>
      <c r="V63" s="48">
        <f t="shared" si="3"/>
        <v>28.701</v>
      </c>
      <c r="W63" s="48">
        <f>1.3261+0.7039+1.1773+1</f>
        <v>4.2073</v>
      </c>
      <c r="X63" s="49">
        <f>31+12+3</f>
        <v>46</v>
      </c>
      <c r="Y63" s="23" t="s">
        <v>137</v>
      </c>
      <c r="Z63" s="49"/>
    </row>
    <row r="64" spans="1:26">
      <c r="A64" s="113">
        <v>10</v>
      </c>
      <c r="B64" s="49" t="s">
        <v>217</v>
      </c>
      <c r="C64" s="48">
        <v>4.1349999999999998</v>
      </c>
      <c r="D64" s="48">
        <v>28.059000000000001</v>
      </c>
      <c r="E64" s="48">
        <f t="shared" si="4"/>
        <v>32.194</v>
      </c>
      <c r="F64" s="48">
        <v>4.8765000000000001</v>
      </c>
      <c r="G64" s="49">
        <v>46</v>
      </c>
      <c r="H64" s="23" t="s">
        <v>137</v>
      </c>
      <c r="I64" s="49"/>
      <c r="R64" s="113">
        <v>10</v>
      </c>
      <c r="S64" s="49" t="s">
        <v>217</v>
      </c>
      <c r="T64" s="48">
        <v>3.0030000000000001</v>
      </c>
      <c r="U64" s="48">
        <v>29.158000000000001</v>
      </c>
      <c r="V64" s="48">
        <f t="shared" si="3"/>
        <v>32.161</v>
      </c>
      <c r="W64" s="48">
        <v>3.7892000000000001</v>
      </c>
      <c r="X64" s="49">
        <v>44</v>
      </c>
      <c r="Y64" s="23" t="s">
        <v>137</v>
      </c>
      <c r="Z64" s="49"/>
    </row>
    <row r="65" spans="1:26">
      <c r="A65" s="110"/>
      <c r="B65" s="49" t="s">
        <v>218</v>
      </c>
      <c r="C65" s="48">
        <v>4.3449999999999998</v>
      </c>
      <c r="D65" s="48">
        <v>27.646999999999998</v>
      </c>
      <c r="E65" s="48">
        <f t="shared" si="4"/>
        <v>31.992</v>
      </c>
      <c r="F65" s="48">
        <v>5.1384999999999996</v>
      </c>
      <c r="G65" s="49">
        <v>48</v>
      </c>
      <c r="H65" s="23" t="s">
        <v>137</v>
      </c>
      <c r="I65" s="49"/>
      <c r="R65" s="110"/>
      <c r="S65" s="49" t="s">
        <v>218</v>
      </c>
      <c r="T65" s="48">
        <v>3.7280000000000002</v>
      </c>
      <c r="U65" s="48">
        <v>24.402000000000001</v>
      </c>
      <c r="V65" s="48">
        <f t="shared" si="3"/>
        <v>28.13</v>
      </c>
      <c r="W65" s="48">
        <v>3.9464999999999999</v>
      </c>
      <c r="X65" s="49">
        <v>48</v>
      </c>
      <c r="Y65" s="23" t="s">
        <v>137</v>
      </c>
      <c r="Z65" s="49"/>
    </row>
    <row r="66" spans="1:26">
      <c r="A66" s="111"/>
      <c r="B66" s="49" t="s">
        <v>222</v>
      </c>
      <c r="C66" s="48">
        <v>4.0124000000000004</v>
      </c>
      <c r="D66" s="48">
        <v>30.091200000000001</v>
      </c>
      <c r="E66" s="48">
        <f t="shared" si="4"/>
        <v>34.1036</v>
      </c>
      <c r="F66" s="48">
        <v>4.9987000000000004</v>
      </c>
      <c r="G66" s="49">
        <v>48</v>
      </c>
      <c r="H66" s="23" t="s">
        <v>137</v>
      </c>
      <c r="I66" s="49"/>
      <c r="R66" s="111"/>
      <c r="S66" s="49" t="s">
        <v>222</v>
      </c>
      <c r="T66" s="41">
        <v>3.7</v>
      </c>
      <c r="U66" s="41">
        <v>30.204000000000001</v>
      </c>
      <c r="V66" s="41">
        <f t="shared" si="3"/>
        <v>33.904</v>
      </c>
      <c r="W66" s="41">
        <v>4.6124000000000001</v>
      </c>
      <c r="X66" s="32">
        <v>41</v>
      </c>
      <c r="Y66" s="33" t="s">
        <v>137</v>
      </c>
      <c r="Z66" s="49"/>
    </row>
    <row r="68" spans="1:26">
      <c r="A68" s="131" t="s">
        <v>228</v>
      </c>
      <c r="B68" s="132"/>
      <c r="C68" s="132"/>
      <c r="D68" s="132"/>
      <c r="E68" s="132"/>
      <c r="F68" s="132"/>
      <c r="G68" s="132"/>
      <c r="H68" s="132"/>
      <c r="I68" s="132"/>
    </row>
    <row r="69" spans="1:26" ht="19.2" customHeight="1">
      <c r="A69" s="8" t="s">
        <v>208</v>
      </c>
      <c r="B69" s="8" t="s">
        <v>209</v>
      </c>
      <c r="C69" s="8" t="s">
        <v>210</v>
      </c>
      <c r="D69" s="8" t="s">
        <v>211</v>
      </c>
      <c r="E69" s="8" t="s">
        <v>212</v>
      </c>
      <c r="F69" s="8" t="s">
        <v>213</v>
      </c>
      <c r="G69" s="8" t="s">
        <v>214</v>
      </c>
      <c r="H69" s="8" t="s">
        <v>215</v>
      </c>
      <c r="I69" s="8" t="s">
        <v>216</v>
      </c>
    </row>
    <row r="70" spans="1:26">
      <c r="A70" s="113">
        <v>1</v>
      </c>
      <c r="B70" s="49" t="s">
        <v>217</v>
      </c>
      <c r="C70" s="48">
        <v>3.758</v>
      </c>
      <c r="D70" s="48">
        <v>27.727</v>
      </c>
      <c r="E70" s="48">
        <f>D70+C70</f>
        <v>31.485</v>
      </c>
      <c r="F70" s="48">
        <v>3.1012</v>
      </c>
      <c r="G70" s="49">
        <v>42</v>
      </c>
      <c r="H70" s="23" t="s">
        <v>137</v>
      </c>
      <c r="I70" s="49"/>
    </row>
    <row r="71" spans="1:26">
      <c r="A71" s="110"/>
      <c r="B71" s="49" t="s">
        <v>218</v>
      </c>
      <c r="C71" s="48">
        <v>4.3570000000000002</v>
      </c>
      <c r="D71" s="48">
        <v>32.442</v>
      </c>
      <c r="E71" s="48">
        <f>D71+C71</f>
        <v>36.799</v>
      </c>
      <c r="F71" s="48">
        <v>5.6033999999999997</v>
      </c>
      <c r="G71" s="49">
        <v>43</v>
      </c>
      <c r="H71" s="23" t="s">
        <v>137</v>
      </c>
      <c r="I71" s="49"/>
      <c r="L71" s="130" t="s">
        <v>138</v>
      </c>
      <c r="M71" s="105"/>
      <c r="N71" s="105"/>
      <c r="O71" s="105"/>
      <c r="P71" s="106"/>
    </row>
    <row r="72" spans="1:26" ht="25.95" customHeight="1">
      <c r="A72" s="111"/>
      <c r="B72" s="49" t="s">
        <v>222</v>
      </c>
      <c r="C72" s="48">
        <f>0.12+0.949+2.148</f>
        <v>3.217</v>
      </c>
      <c r="D72" s="48">
        <f>26.029+29.266+4.727-26</f>
        <v>34.022</v>
      </c>
      <c r="E72" s="48">
        <f>C72+D72</f>
        <v>37.239</v>
      </c>
      <c r="F72" s="48">
        <f>1.2006+0.505+1.1139+1</f>
        <v>3.8195</v>
      </c>
      <c r="G72" s="49">
        <f>3+11+23</f>
        <v>37</v>
      </c>
      <c r="H72" s="23" t="s">
        <v>137</v>
      </c>
      <c r="I72" s="49"/>
      <c r="L72" s="23" t="s">
        <v>210</v>
      </c>
      <c r="M72" s="23" t="s">
        <v>211</v>
      </c>
      <c r="N72" s="23" t="s">
        <v>219</v>
      </c>
      <c r="O72" s="23" t="s">
        <v>220</v>
      </c>
      <c r="P72" s="23" t="s">
        <v>221</v>
      </c>
    </row>
    <row r="73" spans="1:26">
      <c r="A73" s="113">
        <v>2</v>
      </c>
      <c r="B73" s="49" t="s">
        <v>217</v>
      </c>
      <c r="C73" s="48">
        <v>4.0149999999999997</v>
      </c>
      <c r="D73" s="48">
        <v>23.963000000000001</v>
      </c>
      <c r="E73" s="48">
        <f t="shared" ref="E73:E99" si="5">D73+C73</f>
        <v>27.978</v>
      </c>
      <c r="F73" s="48">
        <v>3.2603</v>
      </c>
      <c r="G73" s="49">
        <v>45</v>
      </c>
      <c r="H73" s="23" t="s">
        <v>137</v>
      </c>
      <c r="I73" s="49"/>
      <c r="K73" s="22" t="s">
        <v>217</v>
      </c>
      <c r="L73" s="38">
        <f>AVERAGEIF(B70:B99,"RRTConnect",C70:C99)</f>
        <v>4.0918</v>
      </c>
      <c r="M73" s="39">
        <f>AVERAGEIF(B70:B99,"RRTConnect",D70:D99)</f>
        <v>27.2284</v>
      </c>
      <c r="N73" s="39">
        <f>AVERAGEIF(B70:B99,"RRTConnect",E70:E99)</f>
        <v>31.3202</v>
      </c>
      <c r="O73" s="39">
        <f>AVERAGEIF(B70:B99,"RRTConnect",F70:F99)</f>
        <v>3.95372</v>
      </c>
      <c r="P73" s="36">
        <f>AVERAGEIF(B70:B99,"RRTConnect",G70:G99)</f>
        <v>46.2</v>
      </c>
    </row>
    <row r="74" spans="1:26">
      <c r="A74" s="110"/>
      <c r="B74" s="49" t="s">
        <v>218</v>
      </c>
      <c r="C74" s="48">
        <v>3.8220000000000001</v>
      </c>
      <c r="D74" s="48">
        <v>28.044</v>
      </c>
      <c r="E74" s="48">
        <f t="shared" si="5"/>
        <v>31.866</v>
      </c>
      <c r="F74" s="48">
        <v>4.1946000000000003</v>
      </c>
      <c r="G74" s="49">
        <v>45</v>
      </c>
      <c r="H74" s="23" t="s">
        <v>137</v>
      </c>
      <c r="I74" s="49"/>
      <c r="K74" s="22" t="s">
        <v>218</v>
      </c>
      <c r="L74" s="38">
        <f>AVERAGEIF(B70:B99,"PRMstar",C70:C99)</f>
        <v>4.0103</v>
      </c>
      <c r="M74" s="38">
        <f>AVERAGEIF(B70:B99,"PRMstar",D70:D99)</f>
        <v>28.4762</v>
      </c>
      <c r="N74" s="38">
        <f>AVERAGEIF(B70:B99,"PRMstar",E70:E99)</f>
        <v>32.4865</v>
      </c>
      <c r="O74" s="38">
        <f>AVERAGEIF(B70:B99,"PRMstar",F70:F99)</f>
        <v>4.62055</v>
      </c>
      <c r="P74" s="37">
        <f>AVERAGEIF(B70:B99,"PRMstar",G70:G99)</f>
        <v>45.4</v>
      </c>
    </row>
    <row r="75" spans="1:26">
      <c r="A75" s="111"/>
      <c r="B75" s="49" t="s">
        <v>222</v>
      </c>
      <c r="C75" s="48">
        <v>3.9209999999999998</v>
      </c>
      <c r="D75" s="48">
        <v>31.611999999999998</v>
      </c>
      <c r="E75" s="48">
        <f t="shared" si="5"/>
        <v>35.533</v>
      </c>
      <c r="F75" s="48">
        <v>5.1689999999999996</v>
      </c>
      <c r="G75" s="49">
        <v>44</v>
      </c>
      <c r="H75" s="23" t="s">
        <v>137</v>
      </c>
      <c r="I75" s="49"/>
      <c r="K75" s="22" t="s">
        <v>222</v>
      </c>
      <c r="L75" s="39">
        <f>AVERAGEIF(B70:B99,"RRTstar",C70:C99)</f>
        <v>3.83043</v>
      </c>
      <c r="M75" s="38">
        <f>AVERAGEIF(B70:B99,"RRTstar",D70:D99)</f>
        <v>31.5075</v>
      </c>
      <c r="N75" s="38">
        <f>AVERAGEIF(B70:B99,"RRTstar",E70:E99)</f>
        <v>35.33793</v>
      </c>
      <c r="O75" s="38">
        <f>AVERAGEIF(B70:B99,"RRTstar",F70:F99)</f>
        <v>4.52017</v>
      </c>
      <c r="P75" s="37">
        <f>AVERAGEIF(B70:B99,"RRTstar",G70:G99)</f>
        <v>44.9</v>
      </c>
    </row>
    <row r="76" spans="1:26">
      <c r="A76" s="113">
        <v>3</v>
      </c>
      <c r="B76" s="49" t="s">
        <v>217</v>
      </c>
      <c r="C76" s="48">
        <v>4.6239999999999997</v>
      </c>
      <c r="D76" s="48">
        <v>29.914000000000001</v>
      </c>
      <c r="E76" s="48">
        <f t="shared" si="5"/>
        <v>34.538</v>
      </c>
      <c r="F76" s="48">
        <v>5.0495999999999999</v>
      </c>
      <c r="G76" s="49">
        <v>51</v>
      </c>
      <c r="H76" s="23" t="s">
        <v>137</v>
      </c>
      <c r="I76" s="49"/>
    </row>
    <row r="77" spans="1:26">
      <c r="A77" s="110"/>
      <c r="B77" s="49" t="s">
        <v>218</v>
      </c>
      <c r="C77" s="48">
        <v>4.0090000000000003</v>
      </c>
      <c r="D77" s="48">
        <v>31.535</v>
      </c>
      <c r="E77" s="48">
        <f t="shared" si="5"/>
        <v>35.544</v>
      </c>
      <c r="F77" s="48">
        <v>5.8891</v>
      </c>
      <c r="G77" s="49">
        <v>43</v>
      </c>
      <c r="H77" s="23" t="s">
        <v>137</v>
      </c>
      <c r="I77" s="49"/>
    </row>
    <row r="78" spans="1:26">
      <c r="A78" s="111"/>
      <c r="B78" s="49" t="s">
        <v>222</v>
      </c>
      <c r="C78" s="41">
        <v>3.7719999999999998</v>
      </c>
      <c r="D78" s="41">
        <v>27.113</v>
      </c>
      <c r="E78" s="41">
        <f t="shared" si="5"/>
        <v>30.885</v>
      </c>
      <c r="F78" s="41">
        <v>3.7366999999999999</v>
      </c>
      <c r="G78" s="32">
        <v>42</v>
      </c>
      <c r="H78" s="23" t="s">
        <v>137</v>
      </c>
      <c r="I78" s="49"/>
    </row>
    <row r="79" spans="1:26">
      <c r="A79" s="113">
        <v>4</v>
      </c>
      <c r="B79" s="49" t="s">
        <v>217</v>
      </c>
      <c r="C79" s="48">
        <v>4.109</v>
      </c>
      <c r="D79" s="48">
        <v>25.408999999999999</v>
      </c>
      <c r="E79" s="48">
        <f t="shared" si="5"/>
        <v>29.518</v>
      </c>
      <c r="F79" s="48">
        <v>3.4906999999999999</v>
      </c>
      <c r="G79" s="49">
        <v>46</v>
      </c>
      <c r="H79" s="23" t="s">
        <v>137</v>
      </c>
      <c r="I79" s="49"/>
    </row>
    <row r="80" spans="1:26">
      <c r="A80" s="110"/>
      <c r="B80" s="49" t="s">
        <v>218</v>
      </c>
      <c r="C80" s="48">
        <v>3.8460000000000001</v>
      </c>
      <c r="D80" s="48">
        <v>25.968</v>
      </c>
      <c r="E80" s="48">
        <f t="shared" si="5"/>
        <v>29.814</v>
      </c>
      <c r="F80" s="48">
        <v>3.0619000000000001</v>
      </c>
      <c r="G80" s="49">
        <v>45</v>
      </c>
      <c r="H80" s="23" t="s">
        <v>137</v>
      </c>
      <c r="I80" s="49"/>
    </row>
    <row r="81" spans="1:9">
      <c r="A81" s="111"/>
      <c r="B81" s="49" t="s">
        <v>222</v>
      </c>
      <c r="C81" s="48">
        <f>0.12+1.043+2.243</f>
        <v>3.406</v>
      </c>
      <c r="D81" s="48">
        <f>27.996+30.764+4.832-20-10</f>
        <v>33.592</v>
      </c>
      <c r="E81" s="48">
        <f t="shared" si="5"/>
        <v>36.998</v>
      </c>
      <c r="F81" s="48">
        <f>1.2743+0.3239+0.912+1</f>
        <v>3.5102</v>
      </c>
      <c r="G81" s="49">
        <f>3+12+24</f>
        <v>39</v>
      </c>
      <c r="H81" s="23" t="s">
        <v>137</v>
      </c>
      <c r="I81" s="49"/>
    </row>
    <row r="82" spans="1:9">
      <c r="A82" s="113">
        <v>5</v>
      </c>
      <c r="B82" s="49" t="s">
        <v>217</v>
      </c>
      <c r="C82" s="48">
        <v>3.7290000000000001</v>
      </c>
      <c r="D82" s="48">
        <v>24.709</v>
      </c>
      <c r="E82" s="48">
        <f t="shared" si="5"/>
        <v>28.438</v>
      </c>
      <c r="F82" s="48">
        <v>2.1951000000000001</v>
      </c>
      <c r="G82" s="49">
        <v>42</v>
      </c>
      <c r="H82" s="23" t="s">
        <v>137</v>
      </c>
      <c r="I82" s="49"/>
    </row>
    <row r="83" spans="1:9">
      <c r="A83" s="110"/>
      <c r="B83" s="49" t="s">
        <v>218</v>
      </c>
      <c r="C83" s="48">
        <v>3.98</v>
      </c>
      <c r="D83" s="48">
        <v>26.957999999999998</v>
      </c>
      <c r="E83" s="48">
        <f t="shared" si="5"/>
        <v>30.938</v>
      </c>
      <c r="F83" s="48">
        <v>4.3941999999999997</v>
      </c>
      <c r="G83" s="49">
        <v>50</v>
      </c>
      <c r="H83" s="23" t="s">
        <v>137</v>
      </c>
      <c r="I83" s="31" t="s">
        <v>223</v>
      </c>
    </row>
    <row r="84" spans="1:9">
      <c r="A84" s="111"/>
      <c r="B84" s="49" t="s">
        <v>222</v>
      </c>
      <c r="C84" s="48">
        <v>3.8679999999999999</v>
      </c>
      <c r="D84" s="48">
        <v>28.853999999999999</v>
      </c>
      <c r="E84" s="48">
        <f t="shared" si="5"/>
        <v>32.722</v>
      </c>
      <c r="F84" s="48">
        <v>3.6295000000000002</v>
      </c>
      <c r="G84" s="49">
        <v>43</v>
      </c>
      <c r="H84" s="23" t="s">
        <v>137</v>
      </c>
      <c r="I84" s="49"/>
    </row>
    <row r="85" spans="1:9">
      <c r="A85" s="113">
        <v>6</v>
      </c>
      <c r="B85" s="49" t="s">
        <v>217</v>
      </c>
      <c r="C85" s="48">
        <v>4.452</v>
      </c>
      <c r="D85" s="48">
        <v>28.609000000000002</v>
      </c>
      <c r="E85" s="48">
        <f t="shared" si="5"/>
        <v>33.061</v>
      </c>
      <c r="F85" s="48">
        <v>3.3628</v>
      </c>
      <c r="G85" s="49">
        <v>49</v>
      </c>
      <c r="H85" s="23" t="s">
        <v>137</v>
      </c>
      <c r="I85" s="49"/>
    </row>
    <row r="86" spans="1:9">
      <c r="A86" s="110"/>
      <c r="B86" s="49" t="s">
        <v>218</v>
      </c>
      <c r="C86" s="48">
        <v>4.4050000000000002</v>
      </c>
      <c r="D86" s="48">
        <v>27.07</v>
      </c>
      <c r="E86" s="48">
        <f t="shared" si="5"/>
        <v>31.475</v>
      </c>
      <c r="F86" s="48">
        <v>6.0174000000000003</v>
      </c>
      <c r="G86" s="49">
        <v>42</v>
      </c>
      <c r="H86" s="23" t="s">
        <v>137</v>
      </c>
      <c r="I86" s="49"/>
    </row>
    <row r="87" spans="1:9">
      <c r="A87" s="111"/>
      <c r="B87" s="49" t="s">
        <v>222</v>
      </c>
      <c r="C87" s="41">
        <v>3.6783000000000001</v>
      </c>
      <c r="D87" s="41">
        <v>29.972000000000001</v>
      </c>
      <c r="E87" s="41">
        <f t="shared" si="5"/>
        <v>33.6503</v>
      </c>
      <c r="F87" s="41">
        <v>3.4358</v>
      </c>
      <c r="G87" s="32">
        <v>49</v>
      </c>
      <c r="H87" s="33" t="s">
        <v>137</v>
      </c>
      <c r="I87" s="49"/>
    </row>
    <row r="88" spans="1:9">
      <c r="A88" s="113">
        <v>7</v>
      </c>
      <c r="B88" s="49" t="s">
        <v>217</v>
      </c>
      <c r="C88" s="48">
        <v>4.3899999999999997</v>
      </c>
      <c r="D88" s="48">
        <v>26.654</v>
      </c>
      <c r="E88" s="48">
        <f t="shared" si="5"/>
        <v>31.044</v>
      </c>
      <c r="F88" s="48">
        <v>6.8110999999999997</v>
      </c>
      <c r="G88" s="49">
        <v>55</v>
      </c>
      <c r="H88" s="23" t="s">
        <v>137</v>
      </c>
      <c r="I88" s="31" t="s">
        <v>223</v>
      </c>
    </row>
    <row r="89" spans="1:9">
      <c r="A89" s="110"/>
      <c r="B89" s="49" t="s">
        <v>218</v>
      </c>
      <c r="C89" s="48">
        <v>3.8069999999999999</v>
      </c>
      <c r="D89" s="48">
        <v>27.052</v>
      </c>
      <c r="E89" s="48">
        <f t="shared" si="5"/>
        <v>30.859</v>
      </c>
      <c r="F89" s="48">
        <v>3.7623000000000002</v>
      </c>
      <c r="G89" s="49">
        <v>48</v>
      </c>
      <c r="H89" s="23" t="s">
        <v>137</v>
      </c>
      <c r="I89" s="49"/>
    </row>
    <row r="90" spans="1:9">
      <c r="A90" s="111"/>
      <c r="B90" s="49" t="s">
        <v>222</v>
      </c>
      <c r="C90" s="48">
        <v>4.4809999999999999</v>
      </c>
      <c r="D90" s="48">
        <v>33.335999999999999</v>
      </c>
      <c r="E90" s="48">
        <f t="shared" si="5"/>
        <v>37.817</v>
      </c>
      <c r="F90" s="48">
        <v>8.4626000000000001</v>
      </c>
      <c r="G90" s="49">
        <v>60</v>
      </c>
      <c r="H90" s="23" t="s">
        <v>137</v>
      </c>
      <c r="I90" s="31" t="s">
        <v>223</v>
      </c>
    </row>
    <row r="91" spans="1:9">
      <c r="A91" s="113">
        <v>8</v>
      </c>
      <c r="B91" s="49" t="s">
        <v>217</v>
      </c>
      <c r="C91" s="48">
        <v>3.8519999999999999</v>
      </c>
      <c r="D91" s="48">
        <v>28.108000000000001</v>
      </c>
      <c r="E91" s="48">
        <f t="shared" si="5"/>
        <v>31.96</v>
      </c>
      <c r="F91" s="48">
        <v>3.8123</v>
      </c>
      <c r="G91" s="49">
        <v>43</v>
      </c>
      <c r="H91" s="23" t="s">
        <v>137</v>
      </c>
      <c r="I91" s="49"/>
    </row>
    <row r="92" spans="1:9">
      <c r="A92" s="110"/>
      <c r="B92" s="49" t="s">
        <v>218</v>
      </c>
      <c r="C92" s="48">
        <v>4.3949999999999996</v>
      </c>
      <c r="D92" s="48">
        <v>29.754000000000001</v>
      </c>
      <c r="E92" s="48">
        <f t="shared" si="5"/>
        <v>34.149</v>
      </c>
      <c r="F92" s="48">
        <v>4.0008999999999997</v>
      </c>
      <c r="G92" s="49">
        <v>43</v>
      </c>
      <c r="H92" s="23" t="s">
        <v>137</v>
      </c>
      <c r="I92" s="49"/>
    </row>
    <row r="93" spans="1:9">
      <c r="A93" s="111"/>
      <c r="B93" s="49" t="s">
        <v>222</v>
      </c>
      <c r="C93" s="41">
        <v>3.7509999999999999</v>
      </c>
      <c r="D93" s="41">
        <v>29.222000000000001</v>
      </c>
      <c r="E93" s="41">
        <f t="shared" si="5"/>
        <v>32.973</v>
      </c>
      <c r="F93" s="41">
        <v>3.8887</v>
      </c>
      <c r="G93" s="32">
        <v>42</v>
      </c>
      <c r="H93" s="23" t="s">
        <v>137</v>
      </c>
      <c r="I93" s="49"/>
    </row>
    <row r="94" spans="1:9">
      <c r="A94" s="113">
        <v>9</v>
      </c>
      <c r="B94" s="49" t="s">
        <v>217</v>
      </c>
      <c r="C94" s="48">
        <v>3.6560000000000001</v>
      </c>
      <c r="D94" s="48">
        <v>27.577999999999999</v>
      </c>
      <c r="E94" s="48">
        <f t="shared" si="5"/>
        <v>31.234</v>
      </c>
      <c r="F94" s="48">
        <v>4.593</v>
      </c>
      <c r="G94" s="49">
        <v>41</v>
      </c>
      <c r="H94" s="23" t="s">
        <v>137</v>
      </c>
      <c r="I94" s="49"/>
    </row>
    <row r="95" spans="1:9">
      <c r="A95" s="110"/>
      <c r="B95" s="49" t="s">
        <v>218</v>
      </c>
      <c r="C95" s="48">
        <v>3.746</v>
      </c>
      <c r="D95" s="48">
        <v>28.143000000000001</v>
      </c>
      <c r="E95" s="48">
        <f t="shared" si="5"/>
        <v>31.889</v>
      </c>
      <c r="F95" s="48">
        <v>4.7816999999999998</v>
      </c>
      <c r="G95" s="49">
        <v>53</v>
      </c>
      <c r="H95" s="23" t="s">
        <v>137</v>
      </c>
      <c r="I95" s="49"/>
    </row>
    <row r="96" spans="1:9">
      <c r="A96" s="111"/>
      <c r="B96" s="49" t="s">
        <v>222</v>
      </c>
      <c r="C96" s="48">
        <f>0.12+1.002+2.927</f>
        <v>4.049</v>
      </c>
      <c r="D96" s="48">
        <f>51.438+28.679+5.535-20-20-6-6</f>
        <v>33.652</v>
      </c>
      <c r="E96" s="48">
        <f t="shared" si="5"/>
        <v>37.701</v>
      </c>
      <c r="F96" s="48">
        <f>1.3261+0.7039+1.1773+1</f>
        <v>4.2073</v>
      </c>
      <c r="G96" s="49">
        <f>31+12+3</f>
        <v>46</v>
      </c>
      <c r="H96" s="23" t="s">
        <v>137</v>
      </c>
      <c r="I96" s="49"/>
    </row>
    <row r="97" spans="1:9">
      <c r="A97" s="113">
        <v>10</v>
      </c>
      <c r="B97" s="49" t="s">
        <v>217</v>
      </c>
      <c r="C97" s="48">
        <v>4.3330000000000002</v>
      </c>
      <c r="D97" s="48">
        <v>29.613</v>
      </c>
      <c r="E97" s="48">
        <f t="shared" si="5"/>
        <v>33.946</v>
      </c>
      <c r="F97" s="48">
        <v>3.8611</v>
      </c>
      <c r="G97" s="49">
        <v>48</v>
      </c>
      <c r="H97" s="23" t="s">
        <v>137</v>
      </c>
      <c r="I97" s="49"/>
    </row>
    <row r="98" spans="1:9">
      <c r="A98" s="110"/>
      <c r="B98" s="49" t="s">
        <v>218</v>
      </c>
      <c r="C98" s="48">
        <v>3.7360000000000002</v>
      </c>
      <c r="D98" s="48">
        <v>27.795999999999999</v>
      </c>
      <c r="E98" s="48">
        <f t="shared" si="5"/>
        <v>31.532</v>
      </c>
      <c r="F98" s="48">
        <v>4.5</v>
      </c>
      <c r="G98" s="49">
        <v>42</v>
      </c>
      <c r="H98" s="23" t="s">
        <v>137</v>
      </c>
      <c r="I98" s="49"/>
    </row>
    <row r="99" spans="1:9">
      <c r="A99" s="111"/>
      <c r="B99" s="49" t="s">
        <v>222</v>
      </c>
      <c r="C99" s="41">
        <v>4.1609999999999996</v>
      </c>
      <c r="D99" s="41">
        <v>33.700000000000003</v>
      </c>
      <c r="E99" s="41">
        <f t="shared" si="5"/>
        <v>37.861</v>
      </c>
      <c r="F99" s="41">
        <v>5.3423999999999996</v>
      </c>
      <c r="G99" s="32">
        <v>47</v>
      </c>
      <c r="H99" s="33" t="s">
        <v>137</v>
      </c>
      <c r="I99" s="49"/>
    </row>
  </sheetData>
  <mergeCells count="60">
    <mergeCell ref="R21:R23"/>
    <mergeCell ref="A37:A39"/>
    <mergeCell ref="A46:A48"/>
    <mergeCell ref="R27:R29"/>
    <mergeCell ref="A18:A20"/>
    <mergeCell ref="A27:A29"/>
    <mergeCell ref="A21:A23"/>
    <mergeCell ref="AC38:AG38"/>
    <mergeCell ref="A94:A96"/>
    <mergeCell ref="R1:Z1"/>
    <mergeCell ref="A61:A63"/>
    <mergeCell ref="R6:R8"/>
    <mergeCell ref="A6:A8"/>
    <mergeCell ref="R55:R57"/>
    <mergeCell ref="R24:R26"/>
    <mergeCell ref="R40:R42"/>
    <mergeCell ref="R37:R39"/>
    <mergeCell ref="R49:R51"/>
    <mergeCell ref="R12:R14"/>
    <mergeCell ref="R30:R32"/>
    <mergeCell ref="A3:A5"/>
    <mergeCell ref="A1:I1"/>
    <mergeCell ref="R15:R17"/>
    <mergeCell ref="A73:A75"/>
    <mergeCell ref="A88:A90"/>
    <mergeCell ref="A82:A84"/>
    <mergeCell ref="L38:P38"/>
    <mergeCell ref="A55:A57"/>
    <mergeCell ref="A97:A99"/>
    <mergeCell ref="R18:R20"/>
    <mergeCell ref="R9:R11"/>
    <mergeCell ref="L3:P3"/>
    <mergeCell ref="A43:A45"/>
    <mergeCell ref="A58:A60"/>
    <mergeCell ref="R43:R45"/>
    <mergeCell ref="R58:R60"/>
    <mergeCell ref="R61:R63"/>
    <mergeCell ref="A52:A54"/>
    <mergeCell ref="L71:P71"/>
    <mergeCell ref="A15:A17"/>
    <mergeCell ref="A64:A66"/>
    <mergeCell ref="R64:R66"/>
    <mergeCell ref="A79:A81"/>
    <mergeCell ref="A24:A26"/>
    <mergeCell ref="A12:A14"/>
    <mergeCell ref="AD3:AH3"/>
    <mergeCell ref="A76:A78"/>
    <mergeCell ref="A91:A93"/>
    <mergeCell ref="R52:R54"/>
    <mergeCell ref="R3:R5"/>
    <mergeCell ref="A85:A87"/>
    <mergeCell ref="R46:R48"/>
    <mergeCell ref="R35:Z35"/>
    <mergeCell ref="A35:I35"/>
    <mergeCell ref="A49:A51"/>
    <mergeCell ref="A40:A42"/>
    <mergeCell ref="A9:A11"/>
    <mergeCell ref="A30:A32"/>
    <mergeCell ref="A70:A72"/>
    <mergeCell ref="A68:I6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sqref="A1:I1"/>
    </sheetView>
  </sheetViews>
  <sheetFormatPr defaultRowHeight="13.8"/>
  <cols>
    <col min="1" max="1" width="8" customWidth="1"/>
    <col min="2" max="2" width="35" customWidth="1"/>
    <col min="3" max="3" width="35.19921875" customWidth="1"/>
    <col min="4" max="4" width="35.69921875" customWidth="1"/>
    <col min="5" max="5" width="149.19921875" customWidth="1"/>
    <col min="6" max="6" width="60.59765625" customWidth="1"/>
    <col min="7" max="8" width="37.69921875" customWidth="1"/>
    <col min="9" max="9" width="98.09765625" customWidth="1"/>
  </cols>
  <sheetData>
    <row r="1" spans="1:9" ht="10.65" customHeight="1">
      <c r="A1" s="133" t="s">
        <v>229</v>
      </c>
      <c r="B1" s="105"/>
      <c r="C1" s="105"/>
      <c r="D1" s="105"/>
      <c r="E1" s="105"/>
      <c r="F1" s="105"/>
      <c r="G1" s="105"/>
      <c r="H1" s="105"/>
      <c r="I1" s="106"/>
    </row>
    <row r="2" spans="1:9">
      <c r="A2" s="73" t="s">
        <v>230</v>
      </c>
      <c r="B2" s="73" t="s">
        <v>231</v>
      </c>
      <c r="C2" s="73" t="s">
        <v>232</v>
      </c>
      <c r="D2" s="73" t="s">
        <v>233</v>
      </c>
      <c r="E2" s="73" t="s">
        <v>12</v>
      </c>
      <c r="F2" s="73" t="s">
        <v>13</v>
      </c>
      <c r="G2" s="73" t="s">
        <v>234</v>
      </c>
      <c r="H2" s="73" t="s">
        <v>235</v>
      </c>
      <c r="I2" s="73" t="s">
        <v>180</v>
      </c>
    </row>
    <row r="3" spans="1:9" ht="9.3000000000000007" customHeight="1">
      <c r="A3" s="5" t="s">
        <v>236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74" t="s">
        <v>243</v>
      </c>
      <c r="I3" s="5" t="s">
        <v>244</v>
      </c>
    </row>
    <row r="4" spans="1:9" ht="9.3000000000000007" customHeight="1">
      <c r="A4" s="5" t="s">
        <v>245</v>
      </c>
      <c r="B4" s="5" t="s">
        <v>246</v>
      </c>
      <c r="C4" s="5" t="s">
        <v>247</v>
      </c>
      <c r="D4" s="5" t="s">
        <v>248</v>
      </c>
      <c r="E4" s="5" t="s">
        <v>249</v>
      </c>
      <c r="F4" s="5" t="s">
        <v>250</v>
      </c>
      <c r="G4" s="5" t="s">
        <v>251</v>
      </c>
      <c r="H4" s="4" t="s">
        <v>38</v>
      </c>
      <c r="I4" s="6" t="s">
        <v>252</v>
      </c>
    </row>
    <row r="5" spans="1:9" ht="9.3000000000000007" customHeight="1">
      <c r="A5" s="5" t="s">
        <v>253</v>
      </c>
      <c r="B5" s="5" t="s">
        <v>254</v>
      </c>
      <c r="C5" s="5" t="s">
        <v>255</v>
      </c>
      <c r="D5" s="5" t="s">
        <v>256</v>
      </c>
      <c r="E5" s="5" t="s">
        <v>257</v>
      </c>
      <c r="F5" s="5" t="s">
        <v>258</v>
      </c>
      <c r="G5" s="5" t="s">
        <v>59</v>
      </c>
      <c r="H5" s="4" t="s">
        <v>38</v>
      </c>
      <c r="I5" s="6" t="s">
        <v>259</v>
      </c>
    </row>
    <row r="6" spans="1:9" ht="9.3000000000000007" customHeight="1">
      <c r="A6" s="5" t="s">
        <v>260</v>
      </c>
      <c r="B6" s="5" t="s">
        <v>261</v>
      </c>
      <c r="C6" s="5" t="s">
        <v>262</v>
      </c>
      <c r="D6" s="5" t="s">
        <v>263</v>
      </c>
      <c r="E6" s="5" t="s">
        <v>264</v>
      </c>
      <c r="F6" s="5" t="s">
        <v>265</v>
      </c>
      <c r="G6" s="5" t="s">
        <v>266</v>
      </c>
      <c r="H6" s="74" t="s">
        <v>243</v>
      </c>
      <c r="I6" s="5" t="s">
        <v>244</v>
      </c>
    </row>
    <row r="7" spans="1:9" ht="9.3000000000000007" customHeight="1">
      <c r="A7" s="5" t="s">
        <v>267</v>
      </c>
      <c r="B7" s="5" t="s">
        <v>268</v>
      </c>
      <c r="C7" s="5" t="s">
        <v>269</v>
      </c>
      <c r="D7" s="5" t="s">
        <v>263</v>
      </c>
      <c r="E7" s="5" t="s">
        <v>270</v>
      </c>
      <c r="F7" s="5" t="s">
        <v>271</v>
      </c>
      <c r="G7" s="5" t="s">
        <v>272</v>
      </c>
      <c r="H7" s="74" t="s">
        <v>243</v>
      </c>
      <c r="I7" s="5" t="s">
        <v>244</v>
      </c>
    </row>
    <row r="8" spans="1:9" ht="9.3000000000000007" customHeight="1">
      <c r="A8" s="5" t="s">
        <v>273</v>
      </c>
      <c r="B8" s="5" t="s">
        <v>274</v>
      </c>
      <c r="C8" s="5" t="s">
        <v>275</v>
      </c>
      <c r="D8" s="5" t="s">
        <v>276</v>
      </c>
      <c r="E8" s="5" t="s">
        <v>277</v>
      </c>
      <c r="F8" s="5" t="s">
        <v>241</v>
      </c>
      <c r="G8" s="5" t="s">
        <v>278</v>
      </c>
      <c r="H8" s="74" t="s">
        <v>243</v>
      </c>
      <c r="I8" s="5" t="s">
        <v>244</v>
      </c>
    </row>
    <row r="9" spans="1:9" ht="9.3000000000000007" customHeight="1">
      <c r="A9" s="5" t="s">
        <v>279</v>
      </c>
      <c r="B9" s="5" t="s">
        <v>280</v>
      </c>
      <c r="C9" s="5" t="s">
        <v>281</v>
      </c>
      <c r="D9" s="5" t="s">
        <v>282</v>
      </c>
      <c r="E9" s="5" t="s">
        <v>45</v>
      </c>
      <c r="F9" s="5" t="s">
        <v>283</v>
      </c>
      <c r="G9" s="5" t="s">
        <v>284</v>
      </c>
      <c r="H9" s="4" t="s">
        <v>38</v>
      </c>
      <c r="I9" s="6" t="s">
        <v>285</v>
      </c>
    </row>
    <row r="10" spans="1:9" ht="9.3000000000000007" customHeight="1">
      <c r="A10" s="5" t="s">
        <v>286</v>
      </c>
      <c r="B10" s="5" t="s">
        <v>287</v>
      </c>
      <c r="C10" s="5" t="s">
        <v>288</v>
      </c>
      <c r="D10" s="5" t="s">
        <v>289</v>
      </c>
      <c r="E10" s="5" t="s">
        <v>49</v>
      </c>
      <c r="F10" s="5" t="s">
        <v>241</v>
      </c>
      <c r="G10" s="5" t="s">
        <v>290</v>
      </c>
      <c r="H10" s="4" t="s">
        <v>38</v>
      </c>
      <c r="I10" s="6" t="s">
        <v>291</v>
      </c>
    </row>
    <row r="11" spans="1:9" ht="9.3000000000000007" customHeight="1">
      <c r="A11" s="5" t="s">
        <v>292</v>
      </c>
      <c r="B11" s="5" t="s">
        <v>293</v>
      </c>
      <c r="C11" s="5" t="s">
        <v>294</v>
      </c>
      <c r="D11" s="5" t="s">
        <v>295</v>
      </c>
      <c r="E11" s="5" t="s">
        <v>58</v>
      </c>
      <c r="F11" s="5" t="s">
        <v>296</v>
      </c>
      <c r="G11" s="5" t="s">
        <v>59</v>
      </c>
      <c r="H11" s="4" t="s">
        <v>38</v>
      </c>
      <c r="I11" s="6" t="s">
        <v>297</v>
      </c>
    </row>
    <row r="12" spans="1:9" ht="9.3000000000000007" customHeight="1">
      <c r="A12" s="5" t="s">
        <v>298</v>
      </c>
      <c r="B12" s="5" t="s">
        <v>299</v>
      </c>
      <c r="C12" s="5" t="s">
        <v>300</v>
      </c>
      <c r="D12" s="5" t="s">
        <v>301</v>
      </c>
      <c r="E12" s="5" t="s">
        <v>62</v>
      </c>
      <c r="F12" s="5" t="s">
        <v>302</v>
      </c>
      <c r="G12" s="5" t="s">
        <v>303</v>
      </c>
      <c r="H12" s="4" t="s">
        <v>38</v>
      </c>
      <c r="I12" s="6" t="s">
        <v>304</v>
      </c>
    </row>
    <row r="13" spans="1:9" ht="9.3000000000000007" customHeight="1">
      <c r="A13" s="5" t="s">
        <v>305</v>
      </c>
      <c r="B13" s="5" t="s">
        <v>306</v>
      </c>
      <c r="C13" s="5" t="s">
        <v>307</v>
      </c>
      <c r="D13" s="5" t="s">
        <v>308</v>
      </c>
      <c r="E13" s="5" t="s">
        <v>309</v>
      </c>
      <c r="F13" s="5" t="s">
        <v>310</v>
      </c>
      <c r="G13" s="5" t="s">
        <v>310</v>
      </c>
      <c r="H13" s="4" t="s">
        <v>38</v>
      </c>
      <c r="I13" s="6" t="s">
        <v>311</v>
      </c>
    </row>
    <row r="14" spans="1:9" ht="9.3000000000000007" customHeight="1">
      <c r="A14" s="5" t="s">
        <v>312</v>
      </c>
      <c r="B14" s="5" t="s">
        <v>313</v>
      </c>
      <c r="C14" s="5" t="s">
        <v>314</v>
      </c>
      <c r="D14" s="5" t="s">
        <v>315</v>
      </c>
      <c r="E14" s="5" t="s">
        <v>309</v>
      </c>
      <c r="F14" s="5" t="s">
        <v>241</v>
      </c>
      <c r="G14" s="5" t="s">
        <v>316</v>
      </c>
      <c r="H14" s="74" t="s">
        <v>243</v>
      </c>
      <c r="I14" s="6" t="s">
        <v>317</v>
      </c>
    </row>
    <row r="15" spans="1:9" ht="9.3000000000000007" customHeight="1">
      <c r="A15" s="5" t="s">
        <v>318</v>
      </c>
      <c r="B15" s="5" t="s">
        <v>319</v>
      </c>
      <c r="C15" s="5" t="s">
        <v>320</v>
      </c>
      <c r="D15" s="5" t="s">
        <v>295</v>
      </c>
      <c r="E15" s="5" t="s">
        <v>309</v>
      </c>
      <c r="F15" s="5" t="s">
        <v>321</v>
      </c>
      <c r="G15" s="5" t="s">
        <v>310</v>
      </c>
      <c r="H15" s="4" t="s">
        <v>38</v>
      </c>
      <c r="I15" s="6" t="s">
        <v>304</v>
      </c>
    </row>
    <row r="16" spans="1:9" ht="9.3000000000000007" customHeight="1">
      <c r="A16" s="5" t="s">
        <v>322</v>
      </c>
      <c r="B16" s="5" t="s">
        <v>323</v>
      </c>
      <c r="C16" s="5" t="s">
        <v>324</v>
      </c>
      <c r="D16" s="5" t="s">
        <v>325</v>
      </c>
      <c r="E16" s="5" t="s">
        <v>309</v>
      </c>
      <c r="F16" s="5" t="s">
        <v>241</v>
      </c>
      <c r="G16" s="5" t="s">
        <v>316</v>
      </c>
      <c r="H16" s="74" t="s">
        <v>243</v>
      </c>
      <c r="I16" s="6" t="s">
        <v>326</v>
      </c>
    </row>
    <row r="17" spans="1:9" ht="9.3000000000000007" customHeight="1">
      <c r="A17" s="5" t="s">
        <v>327</v>
      </c>
      <c r="B17" s="5" t="s">
        <v>328</v>
      </c>
      <c r="C17" s="5" t="s">
        <v>329</v>
      </c>
      <c r="D17" s="5" t="s">
        <v>330</v>
      </c>
      <c r="E17" s="5" t="s">
        <v>49</v>
      </c>
      <c r="F17" s="5" t="s">
        <v>331</v>
      </c>
      <c r="G17" s="5" t="s">
        <v>331</v>
      </c>
      <c r="H17" s="4" t="s">
        <v>38</v>
      </c>
      <c r="I17" s="6" t="s">
        <v>332</v>
      </c>
    </row>
    <row r="18" spans="1:9" ht="9.3000000000000007" customHeight="1">
      <c r="A18" s="5" t="s">
        <v>333</v>
      </c>
      <c r="B18" s="5" t="s">
        <v>334</v>
      </c>
      <c r="C18" s="5" t="s">
        <v>335</v>
      </c>
      <c r="D18" s="5" t="s">
        <v>336</v>
      </c>
      <c r="E18" s="5" t="s">
        <v>337</v>
      </c>
      <c r="F18" s="5" t="s">
        <v>338</v>
      </c>
      <c r="G18" s="5" t="s">
        <v>316</v>
      </c>
      <c r="H18" s="74" t="s">
        <v>243</v>
      </c>
      <c r="I18" s="6" t="s">
        <v>339</v>
      </c>
    </row>
    <row r="19" spans="1:9" ht="9.3000000000000007" customHeight="1">
      <c r="A19" s="5" t="s">
        <v>340</v>
      </c>
      <c r="B19" s="5" t="s">
        <v>341</v>
      </c>
      <c r="C19" s="5" t="s">
        <v>342</v>
      </c>
      <c r="D19" s="5" t="s">
        <v>341</v>
      </c>
      <c r="E19" s="5" t="s">
        <v>66</v>
      </c>
      <c r="F19" s="5" t="s">
        <v>343</v>
      </c>
      <c r="G19" s="5" t="s">
        <v>343</v>
      </c>
      <c r="H19" s="4" t="s">
        <v>38</v>
      </c>
      <c r="I19" s="5" t="s">
        <v>244</v>
      </c>
    </row>
    <row r="20" spans="1:9" ht="9.3000000000000007" customHeight="1">
      <c r="A20" s="5" t="s">
        <v>344</v>
      </c>
      <c r="B20" s="5" t="s">
        <v>345</v>
      </c>
      <c r="C20" s="5" t="s">
        <v>346</v>
      </c>
      <c r="D20" s="5" t="s">
        <v>347</v>
      </c>
      <c r="E20" s="5" t="s">
        <v>348</v>
      </c>
      <c r="F20" s="5" t="s">
        <v>349</v>
      </c>
      <c r="G20" s="5" t="s">
        <v>350</v>
      </c>
      <c r="H20" s="74" t="s">
        <v>243</v>
      </c>
      <c r="I20" s="5" t="s">
        <v>244</v>
      </c>
    </row>
    <row r="21" spans="1:9" ht="9.3000000000000007" customHeight="1">
      <c r="A21" s="5" t="s">
        <v>351</v>
      </c>
      <c r="B21" s="5" t="s">
        <v>352</v>
      </c>
      <c r="C21" s="5" t="s">
        <v>353</v>
      </c>
      <c r="D21" s="5" t="s">
        <v>354</v>
      </c>
      <c r="E21" s="5" t="s">
        <v>348</v>
      </c>
      <c r="F21" s="5" t="s">
        <v>355</v>
      </c>
      <c r="G21" s="5" t="s">
        <v>356</v>
      </c>
      <c r="H21" s="4" t="s">
        <v>38</v>
      </c>
      <c r="I21" s="5" t="s">
        <v>244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2"/>
  <sheetViews>
    <sheetView showGridLines="0" workbookViewId="0">
      <selection activeCell="C7" sqref="C7"/>
    </sheetView>
  </sheetViews>
  <sheetFormatPr defaultRowHeight="13.8"/>
  <cols>
    <col min="1" max="1" width="29.09765625" customWidth="1"/>
    <col min="2" max="2" width="23" customWidth="1"/>
    <col min="3" max="3" width="35" customWidth="1"/>
    <col min="4" max="4" width="80" customWidth="1"/>
    <col min="5" max="5" width="33.296875" customWidth="1"/>
    <col min="6" max="6" width="28" customWidth="1"/>
    <col min="7" max="7" width="18" customWidth="1"/>
    <col min="8" max="8" width="101" customWidth="1"/>
  </cols>
  <sheetData>
    <row r="1" spans="1:8" ht="26.1" customHeight="1">
      <c r="A1" s="134" t="s">
        <v>357</v>
      </c>
      <c r="B1" s="105"/>
      <c r="C1" s="105"/>
      <c r="D1" s="105"/>
      <c r="E1" s="105"/>
      <c r="F1" s="105"/>
      <c r="G1" s="105"/>
      <c r="H1" s="106"/>
    </row>
    <row r="2" spans="1:8" ht="27.9" customHeight="1">
      <c r="A2" s="75" t="s">
        <v>230</v>
      </c>
      <c r="B2" s="75" t="s">
        <v>358</v>
      </c>
      <c r="C2" s="75" t="s">
        <v>232</v>
      </c>
      <c r="D2" s="75" t="s">
        <v>12</v>
      </c>
      <c r="E2" s="75" t="s">
        <v>13</v>
      </c>
      <c r="F2" s="75" t="s">
        <v>133</v>
      </c>
      <c r="G2" s="75" t="s">
        <v>359</v>
      </c>
      <c r="H2" s="75" t="s">
        <v>180</v>
      </c>
    </row>
    <row r="3" spans="1:8" ht="42" customHeight="1">
      <c r="A3" s="94" t="s">
        <v>360</v>
      </c>
      <c r="B3" s="94" t="s">
        <v>361</v>
      </c>
      <c r="C3" s="94" t="s">
        <v>362</v>
      </c>
      <c r="D3" s="94" t="s">
        <v>363</v>
      </c>
      <c r="E3" s="94" t="s">
        <v>364</v>
      </c>
      <c r="F3" s="94" t="s">
        <v>364</v>
      </c>
      <c r="G3" s="76" t="s">
        <v>243</v>
      </c>
      <c r="H3" s="94" t="s">
        <v>365</v>
      </c>
    </row>
    <row r="4" spans="1:8" ht="42" customHeight="1">
      <c r="A4" s="94" t="s">
        <v>366</v>
      </c>
      <c r="B4" s="94" t="s">
        <v>361</v>
      </c>
      <c r="C4" s="94" t="s">
        <v>367</v>
      </c>
      <c r="D4" s="94" t="s">
        <v>368</v>
      </c>
      <c r="E4" s="94" t="s">
        <v>364</v>
      </c>
      <c r="F4" s="94" t="s">
        <v>364</v>
      </c>
      <c r="G4" s="76" t="s">
        <v>243</v>
      </c>
      <c r="H4" s="94" t="s">
        <v>369</v>
      </c>
    </row>
    <row r="5" spans="1:8" ht="42" customHeight="1">
      <c r="A5" s="94" t="s">
        <v>370</v>
      </c>
      <c r="B5" s="94" t="s">
        <v>361</v>
      </c>
      <c r="C5" s="94" t="s">
        <v>371</v>
      </c>
      <c r="D5" s="94" t="s">
        <v>372</v>
      </c>
      <c r="E5" s="94" t="s">
        <v>364</v>
      </c>
      <c r="F5" s="94" t="s">
        <v>364</v>
      </c>
      <c r="G5" s="76" t="s">
        <v>243</v>
      </c>
      <c r="H5" s="94" t="s">
        <v>373</v>
      </c>
    </row>
    <row r="6" spans="1:8" ht="42" customHeight="1">
      <c r="A6" s="94" t="s">
        <v>374</v>
      </c>
      <c r="B6" s="94" t="s">
        <v>375</v>
      </c>
      <c r="C6" s="94" t="s">
        <v>376</v>
      </c>
      <c r="D6" s="94" t="s">
        <v>377</v>
      </c>
      <c r="E6" s="94" t="s">
        <v>364</v>
      </c>
      <c r="F6" s="94" t="s">
        <v>364</v>
      </c>
      <c r="G6" s="76" t="s">
        <v>243</v>
      </c>
      <c r="H6" s="94" t="s">
        <v>378</v>
      </c>
    </row>
    <row r="7" spans="1:8" ht="42" customHeight="1">
      <c r="A7" s="94" t="s">
        <v>379</v>
      </c>
      <c r="B7" s="94" t="s">
        <v>361</v>
      </c>
      <c r="C7" s="94" t="s">
        <v>380</v>
      </c>
      <c r="D7" s="94" t="s">
        <v>381</v>
      </c>
      <c r="E7" s="94" t="s">
        <v>382</v>
      </c>
      <c r="F7" s="94" t="s">
        <v>382</v>
      </c>
      <c r="G7" s="76" t="s">
        <v>243</v>
      </c>
      <c r="H7" s="94"/>
    </row>
    <row r="8" spans="1:8" ht="42" customHeight="1">
      <c r="A8" s="94" t="s">
        <v>383</v>
      </c>
      <c r="B8" s="94" t="s">
        <v>361</v>
      </c>
      <c r="C8" s="94" t="s">
        <v>384</v>
      </c>
      <c r="D8" s="94" t="s">
        <v>385</v>
      </c>
      <c r="E8" s="94" t="s">
        <v>382</v>
      </c>
      <c r="F8" s="94" t="s">
        <v>382</v>
      </c>
      <c r="G8" s="76" t="s">
        <v>243</v>
      </c>
      <c r="H8" s="94"/>
    </row>
    <row r="9" spans="1:8" ht="42" customHeight="1">
      <c r="A9" s="94" t="s">
        <v>386</v>
      </c>
      <c r="B9" s="94" t="s">
        <v>375</v>
      </c>
      <c r="C9" s="94" t="s">
        <v>387</v>
      </c>
      <c r="D9" s="94" t="s">
        <v>388</v>
      </c>
      <c r="E9" s="94" t="s">
        <v>382</v>
      </c>
      <c r="F9" s="94" t="s">
        <v>382</v>
      </c>
      <c r="G9" s="76" t="s">
        <v>243</v>
      </c>
      <c r="H9" s="94" t="s">
        <v>378</v>
      </c>
    </row>
    <row r="10" spans="1:8" ht="42" customHeight="1">
      <c r="A10" s="94" t="s">
        <v>389</v>
      </c>
      <c r="B10" s="94" t="s">
        <v>390</v>
      </c>
      <c r="C10" s="94" t="s">
        <v>391</v>
      </c>
      <c r="D10" s="94" t="s">
        <v>392</v>
      </c>
      <c r="E10" s="94" t="s">
        <v>393</v>
      </c>
      <c r="F10" s="94" t="s">
        <v>394</v>
      </c>
      <c r="G10" s="76" t="s">
        <v>243</v>
      </c>
      <c r="H10" s="94"/>
    </row>
    <row r="11" spans="1:8" ht="42" customHeight="1">
      <c r="A11" s="94" t="s">
        <v>395</v>
      </c>
      <c r="B11" s="94" t="s">
        <v>390</v>
      </c>
      <c r="C11" s="94" t="s">
        <v>396</v>
      </c>
      <c r="D11" s="94" t="s">
        <v>397</v>
      </c>
      <c r="E11" s="94" t="s">
        <v>398</v>
      </c>
      <c r="F11" s="94" t="s">
        <v>399</v>
      </c>
      <c r="G11" s="76" t="s">
        <v>243</v>
      </c>
      <c r="H11" s="94"/>
    </row>
    <row r="12" spans="1:8" ht="42" customHeight="1">
      <c r="A12" s="94" t="s">
        <v>400</v>
      </c>
      <c r="B12" s="94" t="s">
        <v>401</v>
      </c>
      <c r="C12" s="94" t="s">
        <v>402</v>
      </c>
      <c r="D12" s="94" t="s">
        <v>403</v>
      </c>
      <c r="E12" s="94" t="s">
        <v>136</v>
      </c>
      <c r="F12" s="94" t="s">
        <v>136</v>
      </c>
      <c r="G12" s="69" t="s">
        <v>599</v>
      </c>
      <c r="H12" s="94"/>
    </row>
    <row r="13" spans="1:8" ht="42" customHeight="1">
      <c r="A13" s="94" t="s">
        <v>404</v>
      </c>
      <c r="B13" s="94" t="s">
        <v>401</v>
      </c>
      <c r="C13" s="94" t="s">
        <v>405</v>
      </c>
      <c r="D13" s="94" t="s">
        <v>406</v>
      </c>
      <c r="E13" s="94" t="s">
        <v>136</v>
      </c>
      <c r="F13" s="94" t="s">
        <v>136</v>
      </c>
      <c r="G13" s="69" t="s">
        <v>599</v>
      </c>
      <c r="H13" s="94" t="s">
        <v>407</v>
      </c>
    </row>
    <row r="14" spans="1:8" ht="42" customHeight="1">
      <c r="A14" s="94" t="s">
        <v>626</v>
      </c>
      <c r="B14" s="94" t="s">
        <v>401</v>
      </c>
      <c r="C14" s="94" t="s">
        <v>409</v>
      </c>
      <c r="D14" s="94" t="s">
        <v>410</v>
      </c>
      <c r="E14" s="94" t="s">
        <v>136</v>
      </c>
      <c r="F14" s="94" t="s">
        <v>136</v>
      </c>
      <c r="G14" s="69" t="s">
        <v>599</v>
      </c>
      <c r="H14" s="94"/>
    </row>
    <row r="15" spans="1:8" ht="42" customHeight="1">
      <c r="A15" s="94" t="s">
        <v>408</v>
      </c>
      <c r="B15" s="94" t="s">
        <v>401</v>
      </c>
      <c r="C15" s="94" t="s">
        <v>412</v>
      </c>
      <c r="D15" s="94" t="s">
        <v>413</v>
      </c>
      <c r="E15" s="94" t="s">
        <v>136</v>
      </c>
      <c r="F15" s="94" t="s">
        <v>136</v>
      </c>
      <c r="G15" s="69" t="s">
        <v>599</v>
      </c>
      <c r="H15" s="94" t="s">
        <v>407</v>
      </c>
    </row>
    <row r="16" spans="1:8" ht="42" customHeight="1">
      <c r="A16" s="94" t="s">
        <v>411</v>
      </c>
      <c r="B16" s="94" t="s">
        <v>401</v>
      </c>
      <c r="C16" s="94" t="s">
        <v>415</v>
      </c>
      <c r="D16" s="94" t="s">
        <v>416</v>
      </c>
      <c r="E16" s="94" t="s">
        <v>42</v>
      </c>
      <c r="F16" s="94" t="s">
        <v>42</v>
      </c>
      <c r="G16" s="69" t="s">
        <v>599</v>
      </c>
      <c r="H16" s="94"/>
    </row>
    <row r="17" spans="1:8" ht="42" customHeight="1">
      <c r="A17" s="94" t="s">
        <v>627</v>
      </c>
      <c r="B17" s="94" t="s">
        <v>401</v>
      </c>
      <c r="C17" s="94" t="s">
        <v>418</v>
      </c>
      <c r="D17" s="94" t="s">
        <v>419</v>
      </c>
      <c r="E17" s="94" t="s">
        <v>42</v>
      </c>
      <c r="F17" s="94" t="s">
        <v>42</v>
      </c>
      <c r="G17" s="69" t="s">
        <v>599</v>
      </c>
      <c r="H17" s="94" t="s">
        <v>420</v>
      </c>
    </row>
    <row r="18" spans="1:8" ht="42" customHeight="1">
      <c r="A18" s="94" t="s">
        <v>414</v>
      </c>
      <c r="B18" s="94" t="s">
        <v>401</v>
      </c>
      <c r="C18" s="94" t="s">
        <v>422</v>
      </c>
      <c r="D18" s="94" t="s">
        <v>423</v>
      </c>
      <c r="E18" s="94" t="s">
        <v>42</v>
      </c>
      <c r="F18" s="94" t="s">
        <v>42</v>
      </c>
      <c r="G18" s="69" t="s">
        <v>599</v>
      </c>
      <c r="H18" s="94"/>
    </row>
    <row r="19" spans="1:8" ht="42" customHeight="1">
      <c r="A19" s="94" t="s">
        <v>417</v>
      </c>
      <c r="B19" s="94" t="s">
        <v>401</v>
      </c>
      <c r="C19" s="94" t="s">
        <v>425</v>
      </c>
      <c r="D19" s="94" t="s">
        <v>426</v>
      </c>
      <c r="E19" s="94" t="s">
        <v>42</v>
      </c>
      <c r="F19" s="94" t="s">
        <v>42</v>
      </c>
      <c r="G19" s="69" t="s">
        <v>599</v>
      </c>
      <c r="H19" s="94" t="s">
        <v>420</v>
      </c>
    </row>
    <row r="20" spans="1:8" ht="42" customHeight="1">
      <c r="A20" s="94" t="s">
        <v>628</v>
      </c>
      <c r="B20" s="94" t="s">
        <v>401</v>
      </c>
      <c r="C20" s="94" t="s">
        <v>428</v>
      </c>
      <c r="D20" s="94" t="s">
        <v>429</v>
      </c>
      <c r="E20" s="94" t="s">
        <v>382</v>
      </c>
      <c r="F20" s="94" t="s">
        <v>382</v>
      </c>
      <c r="G20" s="76" t="s">
        <v>243</v>
      </c>
      <c r="H20" s="94" t="s">
        <v>430</v>
      </c>
    </row>
    <row r="21" spans="1:8" ht="42" customHeight="1">
      <c r="A21" s="94" t="s">
        <v>421</v>
      </c>
      <c r="B21" s="94" t="s">
        <v>432</v>
      </c>
      <c r="C21" s="94" t="s">
        <v>433</v>
      </c>
      <c r="D21" s="94" t="s">
        <v>434</v>
      </c>
      <c r="E21" s="94" t="s">
        <v>136</v>
      </c>
      <c r="F21" s="94" t="s">
        <v>136</v>
      </c>
      <c r="G21" s="69" t="s">
        <v>599</v>
      </c>
      <c r="H21" s="94"/>
    </row>
    <row r="22" spans="1:8" ht="42" customHeight="1">
      <c r="A22" s="94" t="s">
        <v>424</v>
      </c>
      <c r="B22" s="94" t="s">
        <v>432</v>
      </c>
      <c r="C22" s="94" t="s">
        <v>436</v>
      </c>
      <c r="D22" s="94" t="s">
        <v>437</v>
      </c>
      <c r="E22" s="94" t="s">
        <v>136</v>
      </c>
      <c r="F22" s="94" t="s">
        <v>136</v>
      </c>
      <c r="G22" s="69" t="s">
        <v>599</v>
      </c>
      <c r="H22" s="94" t="s">
        <v>438</v>
      </c>
    </row>
    <row r="23" spans="1:8" ht="42" customHeight="1">
      <c r="A23" s="94" t="s">
        <v>427</v>
      </c>
      <c r="B23" s="94" t="s">
        <v>432</v>
      </c>
      <c r="C23" s="94" t="s">
        <v>440</v>
      </c>
      <c r="D23" s="94" t="s">
        <v>441</v>
      </c>
      <c r="E23" s="94" t="s">
        <v>364</v>
      </c>
      <c r="F23" s="94" t="s">
        <v>364</v>
      </c>
      <c r="G23" s="76" t="s">
        <v>243</v>
      </c>
      <c r="H23" s="94"/>
    </row>
    <row r="24" spans="1:8" ht="42" customHeight="1">
      <c r="A24" s="94" t="s">
        <v>431</v>
      </c>
      <c r="B24" s="94" t="s">
        <v>432</v>
      </c>
      <c r="C24" s="94" t="s">
        <v>443</v>
      </c>
      <c r="D24" s="94" t="s">
        <v>444</v>
      </c>
      <c r="E24" s="94" t="s">
        <v>42</v>
      </c>
      <c r="F24" s="94" t="s">
        <v>42</v>
      </c>
      <c r="G24" s="69" t="s">
        <v>599</v>
      </c>
      <c r="H24" s="94"/>
    </row>
    <row r="25" spans="1:8" ht="42" customHeight="1">
      <c r="A25" s="94" t="s">
        <v>435</v>
      </c>
      <c r="B25" s="94" t="s">
        <v>432</v>
      </c>
      <c r="C25" s="94" t="s">
        <v>446</v>
      </c>
      <c r="D25" s="94" t="s">
        <v>447</v>
      </c>
      <c r="E25" s="94" t="s">
        <v>42</v>
      </c>
      <c r="F25" s="94" t="s">
        <v>42</v>
      </c>
      <c r="G25" s="69" t="s">
        <v>599</v>
      </c>
      <c r="H25" s="94"/>
    </row>
    <row r="26" spans="1:8" ht="42" customHeight="1">
      <c r="A26" s="94" t="s">
        <v>439</v>
      </c>
      <c r="B26" s="94" t="s">
        <v>432</v>
      </c>
      <c r="C26" s="94" t="s">
        <v>449</v>
      </c>
      <c r="D26" s="94" t="s">
        <v>450</v>
      </c>
      <c r="E26" s="94" t="s">
        <v>382</v>
      </c>
      <c r="F26" s="94" t="s">
        <v>382</v>
      </c>
      <c r="G26" s="76" t="s">
        <v>243</v>
      </c>
      <c r="H26" s="94"/>
    </row>
    <row r="27" spans="1:8" ht="42" customHeight="1">
      <c r="A27" s="94" t="s">
        <v>442</v>
      </c>
      <c r="B27" s="94" t="s">
        <v>452</v>
      </c>
      <c r="C27" s="94" t="s">
        <v>453</v>
      </c>
      <c r="D27" s="94" t="s">
        <v>454</v>
      </c>
      <c r="E27" s="94" t="s">
        <v>42</v>
      </c>
      <c r="F27" s="94" t="s">
        <v>42</v>
      </c>
      <c r="G27" s="69" t="s">
        <v>599</v>
      </c>
      <c r="H27" s="94" t="s">
        <v>455</v>
      </c>
    </row>
    <row r="28" spans="1:8" ht="42" customHeight="1">
      <c r="A28" s="94" t="s">
        <v>445</v>
      </c>
      <c r="B28" s="94" t="s">
        <v>452</v>
      </c>
      <c r="C28" s="94" t="s">
        <v>457</v>
      </c>
      <c r="D28" s="94" t="s">
        <v>458</v>
      </c>
      <c r="E28" s="94" t="s">
        <v>42</v>
      </c>
      <c r="F28" s="94" t="s">
        <v>42</v>
      </c>
      <c r="G28" s="69" t="s">
        <v>599</v>
      </c>
      <c r="H28" s="94" t="s">
        <v>459</v>
      </c>
    </row>
    <row r="29" spans="1:8" ht="42" customHeight="1">
      <c r="A29" s="94" t="s">
        <v>448</v>
      </c>
      <c r="B29" s="94" t="s">
        <v>452</v>
      </c>
      <c r="C29" s="94" t="s">
        <v>461</v>
      </c>
      <c r="D29" s="94" t="s">
        <v>462</v>
      </c>
      <c r="E29" s="94" t="s">
        <v>382</v>
      </c>
      <c r="F29" s="94" t="s">
        <v>382</v>
      </c>
      <c r="G29" s="76" t="s">
        <v>243</v>
      </c>
      <c r="H29" s="94" t="s">
        <v>463</v>
      </c>
    </row>
    <row r="30" spans="1:8" ht="42" customHeight="1">
      <c r="A30" s="94" t="s">
        <v>451</v>
      </c>
      <c r="B30" s="94" t="s">
        <v>452</v>
      </c>
      <c r="C30" s="94" t="s">
        <v>465</v>
      </c>
      <c r="D30" s="94" t="s">
        <v>466</v>
      </c>
      <c r="E30" s="94" t="s">
        <v>42</v>
      </c>
      <c r="F30" s="94" t="s">
        <v>42</v>
      </c>
      <c r="G30" s="69" t="s">
        <v>599</v>
      </c>
      <c r="H30" s="94" t="s">
        <v>467</v>
      </c>
    </row>
    <row r="31" spans="1:8" ht="42" customHeight="1">
      <c r="A31" s="94" t="s">
        <v>456</v>
      </c>
      <c r="B31" s="94" t="s">
        <v>452</v>
      </c>
      <c r="C31" s="94" t="s">
        <v>469</v>
      </c>
      <c r="D31" s="94" t="s">
        <v>470</v>
      </c>
      <c r="E31" s="94" t="s">
        <v>42</v>
      </c>
      <c r="F31" s="94" t="s">
        <v>42</v>
      </c>
      <c r="G31" s="69" t="s">
        <v>599</v>
      </c>
      <c r="H31" s="94" t="s">
        <v>459</v>
      </c>
    </row>
    <row r="32" spans="1:8" ht="42" customHeight="1">
      <c r="A32" s="94" t="s">
        <v>460</v>
      </c>
      <c r="B32" s="94" t="s">
        <v>452</v>
      </c>
      <c r="C32" s="94" t="s">
        <v>472</v>
      </c>
      <c r="D32" s="94" t="s">
        <v>473</v>
      </c>
      <c r="E32" s="94" t="s">
        <v>382</v>
      </c>
      <c r="F32" s="94" t="s">
        <v>382</v>
      </c>
      <c r="G32" s="76" t="s">
        <v>243</v>
      </c>
      <c r="H32" s="94" t="s">
        <v>463</v>
      </c>
    </row>
    <row r="33" spans="1:8" ht="49.95" customHeight="1">
      <c r="A33" s="94" t="s">
        <v>464</v>
      </c>
      <c r="B33" s="94" t="s">
        <v>475</v>
      </c>
      <c r="C33" s="94" t="s">
        <v>476</v>
      </c>
      <c r="D33" s="94" t="s">
        <v>477</v>
      </c>
      <c r="E33" s="94" t="s">
        <v>499</v>
      </c>
      <c r="F33" s="94" t="s">
        <v>600</v>
      </c>
      <c r="G33" s="69" t="s">
        <v>601</v>
      </c>
      <c r="H33" s="94" t="s">
        <v>602</v>
      </c>
    </row>
    <row r="34" spans="1:8" ht="49.95" customHeight="1">
      <c r="A34" s="94" t="s">
        <v>468</v>
      </c>
      <c r="B34" s="94" t="s">
        <v>475</v>
      </c>
      <c r="C34" s="94" t="s">
        <v>479</v>
      </c>
      <c r="D34" s="94" t="s">
        <v>480</v>
      </c>
      <c r="E34" s="94" t="s">
        <v>499</v>
      </c>
      <c r="F34" s="94" t="s">
        <v>600</v>
      </c>
      <c r="G34" s="69" t="s">
        <v>601</v>
      </c>
      <c r="H34" s="94" t="s">
        <v>603</v>
      </c>
    </row>
    <row r="35" spans="1:8" ht="49.95" customHeight="1">
      <c r="A35" s="94" t="s">
        <v>471</v>
      </c>
      <c r="B35" s="94" t="s">
        <v>475</v>
      </c>
      <c r="C35" s="94" t="s">
        <v>482</v>
      </c>
      <c r="D35" s="94" t="s">
        <v>483</v>
      </c>
      <c r="E35" s="94" t="s">
        <v>488</v>
      </c>
      <c r="F35" s="94" t="s">
        <v>604</v>
      </c>
      <c r="G35" s="76" t="s">
        <v>243</v>
      </c>
      <c r="H35" s="94" t="s">
        <v>605</v>
      </c>
    </row>
    <row r="36" spans="1:8" ht="49.95" customHeight="1">
      <c r="A36" s="94" t="s">
        <v>474</v>
      </c>
      <c r="B36" s="94" t="s">
        <v>485</v>
      </c>
      <c r="C36" s="94" t="s">
        <v>486</v>
      </c>
      <c r="D36" s="94" t="s">
        <v>487</v>
      </c>
      <c r="E36" s="94" t="s">
        <v>488</v>
      </c>
      <c r="F36" s="94" t="s">
        <v>606</v>
      </c>
      <c r="G36" s="76" t="s">
        <v>243</v>
      </c>
      <c r="H36" s="94" t="s">
        <v>607</v>
      </c>
    </row>
    <row r="37" spans="1:8" ht="49.95" customHeight="1">
      <c r="A37" s="94" t="s">
        <v>478</v>
      </c>
      <c r="B37" s="94" t="s">
        <v>490</v>
      </c>
      <c r="C37" s="94" t="s">
        <v>491</v>
      </c>
      <c r="D37" s="94" t="s">
        <v>492</v>
      </c>
      <c r="E37" s="94" t="s">
        <v>488</v>
      </c>
      <c r="F37" s="94" t="s">
        <v>606</v>
      </c>
      <c r="G37" s="76" t="s">
        <v>243</v>
      </c>
      <c r="H37" s="94" t="s">
        <v>608</v>
      </c>
    </row>
    <row r="38" spans="1:8" ht="49.95" customHeight="1">
      <c r="A38" s="94" t="s">
        <v>481</v>
      </c>
      <c r="B38" s="94" t="s">
        <v>609</v>
      </c>
      <c r="C38" s="93" t="s">
        <v>610</v>
      </c>
      <c r="D38" s="94" t="s">
        <v>494</v>
      </c>
      <c r="E38" s="94" t="s">
        <v>499</v>
      </c>
      <c r="F38" s="94" t="s">
        <v>600</v>
      </c>
      <c r="G38" s="69" t="s">
        <v>601</v>
      </c>
      <c r="H38" s="94" t="s">
        <v>611</v>
      </c>
    </row>
    <row r="39" spans="1:8" ht="49.95" customHeight="1">
      <c r="A39" s="94" t="s">
        <v>484</v>
      </c>
      <c r="B39" s="94" t="s">
        <v>496</v>
      </c>
      <c r="C39" s="94" t="s">
        <v>497</v>
      </c>
      <c r="D39" s="94" t="s">
        <v>498</v>
      </c>
      <c r="E39" s="94" t="s">
        <v>499</v>
      </c>
      <c r="F39" s="94" t="s">
        <v>600</v>
      </c>
      <c r="G39" s="69" t="s">
        <v>601</v>
      </c>
      <c r="H39" s="94" t="s">
        <v>500</v>
      </c>
    </row>
    <row r="40" spans="1:8" ht="72" customHeight="1">
      <c r="A40" s="94" t="s">
        <v>489</v>
      </c>
      <c r="B40" s="94" t="s">
        <v>612</v>
      </c>
      <c r="C40" s="94" t="s">
        <v>613</v>
      </c>
      <c r="D40" s="94" t="s">
        <v>501</v>
      </c>
      <c r="E40" s="94" t="s">
        <v>488</v>
      </c>
      <c r="F40" s="94" t="s">
        <v>600</v>
      </c>
      <c r="G40" s="95" t="s">
        <v>614</v>
      </c>
      <c r="H40" s="88" t="s">
        <v>615</v>
      </c>
    </row>
    <row r="41" spans="1:8" ht="72" customHeight="1">
      <c r="A41" s="94" t="s">
        <v>493</v>
      </c>
      <c r="B41" s="94" t="s">
        <v>612</v>
      </c>
      <c r="C41" s="94" t="s">
        <v>616</v>
      </c>
      <c r="D41" s="94" t="s">
        <v>502</v>
      </c>
      <c r="E41" s="94" t="s">
        <v>499</v>
      </c>
      <c r="F41" s="94" t="s">
        <v>600</v>
      </c>
      <c r="G41" s="69" t="s">
        <v>601</v>
      </c>
      <c r="H41" s="88" t="s">
        <v>617</v>
      </c>
    </row>
    <row r="42" spans="1:8" ht="49.95" customHeight="1">
      <c r="A42" s="94" t="s">
        <v>495</v>
      </c>
      <c r="B42" s="94" t="s">
        <v>503</v>
      </c>
      <c r="C42" s="94" t="s">
        <v>504</v>
      </c>
      <c r="D42" s="94" t="s">
        <v>505</v>
      </c>
      <c r="E42" s="94" t="s">
        <v>364</v>
      </c>
      <c r="F42" s="94" t="s">
        <v>364</v>
      </c>
      <c r="G42" s="76" t="s">
        <v>243</v>
      </c>
      <c r="H42" s="94"/>
    </row>
    <row r="43" spans="1:8" ht="49.95" customHeight="1">
      <c r="A43" s="94" t="s">
        <v>629</v>
      </c>
      <c r="B43" s="94" t="s">
        <v>503</v>
      </c>
      <c r="C43" s="94" t="s">
        <v>506</v>
      </c>
      <c r="D43" s="94" t="s">
        <v>507</v>
      </c>
      <c r="E43" s="94" t="s">
        <v>382</v>
      </c>
      <c r="F43" s="94" t="s">
        <v>382</v>
      </c>
      <c r="G43" s="76" t="s">
        <v>243</v>
      </c>
      <c r="H43" s="94"/>
    </row>
    <row r="44" spans="1:8" ht="26.1" customHeight="1">
      <c r="A44" s="89"/>
      <c r="B44" s="90"/>
    </row>
    <row r="45" spans="1:8" ht="26.1" customHeight="1">
      <c r="A45" s="135" t="s">
        <v>508</v>
      </c>
      <c r="B45" s="136"/>
      <c r="C45" s="136"/>
    </row>
    <row r="46" spans="1:8" ht="26.1" customHeight="1">
      <c r="A46" s="91" t="s">
        <v>509</v>
      </c>
      <c r="B46" s="92">
        <v>0.16520000000000001</v>
      </c>
      <c r="C46" s="91" t="s">
        <v>510</v>
      </c>
    </row>
    <row r="47" spans="1:8" ht="26.1" customHeight="1">
      <c r="A47" s="91" t="s">
        <v>511</v>
      </c>
      <c r="B47" s="92">
        <v>1.3</v>
      </c>
      <c r="C47" s="91" t="s">
        <v>512</v>
      </c>
    </row>
    <row r="48" spans="1:8" ht="41.4">
      <c r="A48" s="91" t="s">
        <v>618</v>
      </c>
      <c r="B48" s="92">
        <v>1.194</v>
      </c>
      <c r="C48" s="91" t="s">
        <v>619</v>
      </c>
    </row>
    <row r="49" spans="1:3" ht="33.9" customHeight="1">
      <c r="A49" s="91" t="s">
        <v>513</v>
      </c>
      <c r="B49" s="91">
        <v>0.2</v>
      </c>
      <c r="C49" s="91" t="s">
        <v>514</v>
      </c>
    </row>
    <row r="50" spans="1:3" ht="33.9" customHeight="1">
      <c r="A50" s="91" t="s">
        <v>515</v>
      </c>
      <c r="B50" s="91">
        <v>-0.7</v>
      </c>
      <c r="C50" s="91" t="s">
        <v>516</v>
      </c>
    </row>
    <row r="51" spans="1:3" ht="27.6">
      <c r="A51" s="91" t="s">
        <v>517</v>
      </c>
      <c r="B51" s="91">
        <v>1.2</v>
      </c>
      <c r="C51" s="91" t="s">
        <v>518</v>
      </c>
    </row>
    <row r="52" spans="1:3" ht="41.4">
      <c r="A52" s="91" t="s">
        <v>519</v>
      </c>
      <c r="B52" s="91" t="s">
        <v>520</v>
      </c>
      <c r="C52" s="91" t="s">
        <v>521</v>
      </c>
    </row>
  </sheetData>
  <mergeCells count="2">
    <mergeCell ref="A1:H1"/>
    <mergeCell ref="A45:C45"/>
  </mergeCells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"/>
  <sheetViews>
    <sheetView topLeftCell="A10" workbookViewId="0">
      <selection activeCell="C15" sqref="C15"/>
    </sheetView>
  </sheetViews>
  <sheetFormatPr defaultRowHeight="13.8"/>
  <cols>
    <col min="1" max="1" width="65.19921875" customWidth="1"/>
    <col min="2" max="4" width="18" customWidth="1"/>
    <col min="5" max="5" width="27.19921875" customWidth="1"/>
    <col min="6" max="6" width="26.69921875" customWidth="1"/>
    <col min="7" max="7" width="17.5" customWidth="1"/>
    <col min="8" max="9" width="23.5" customWidth="1"/>
    <col min="10" max="10" width="26.69921875" customWidth="1"/>
    <col min="11" max="11" width="20.3984375" customWidth="1"/>
    <col min="12" max="12" width="28" customWidth="1"/>
    <col min="13" max="13" width="23.5" customWidth="1"/>
    <col min="14" max="14" width="17.19921875" customWidth="1"/>
    <col min="15" max="15" width="20.3984375" customWidth="1"/>
    <col min="16" max="16" width="16.69921875" customWidth="1"/>
  </cols>
  <sheetData>
    <row r="1" spans="1:15" ht="12.45" customHeight="1">
      <c r="A1" s="138" t="s">
        <v>630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5">
      <c r="A2" s="46" t="s">
        <v>523</v>
      </c>
      <c r="B2" s="2"/>
      <c r="C2" s="2"/>
      <c r="D2" s="2"/>
      <c r="E2" s="2"/>
      <c r="F2" s="137" t="s">
        <v>524</v>
      </c>
      <c r="G2" s="127"/>
      <c r="H2" s="127"/>
      <c r="I2" s="127"/>
      <c r="J2" s="127"/>
      <c r="K2" s="127"/>
      <c r="L2" s="127"/>
    </row>
    <row r="3" spans="1:15">
      <c r="A3" s="71" t="s">
        <v>525</v>
      </c>
      <c r="B3" s="71" t="s">
        <v>526</v>
      </c>
      <c r="C3" s="71" t="s">
        <v>527</v>
      </c>
      <c r="D3" s="71" t="s">
        <v>528</v>
      </c>
      <c r="E3" s="77" t="s">
        <v>529</v>
      </c>
      <c r="F3" s="71" t="s">
        <v>530</v>
      </c>
      <c r="G3" s="71" t="s">
        <v>531</v>
      </c>
      <c r="H3" s="71" t="s">
        <v>532</v>
      </c>
      <c r="I3" s="71" t="s">
        <v>533</v>
      </c>
      <c r="J3" s="71" t="s">
        <v>534</v>
      </c>
      <c r="K3" s="71" t="s">
        <v>535</v>
      </c>
      <c r="L3" s="71" t="s">
        <v>536</v>
      </c>
    </row>
    <row r="4" spans="1:15">
      <c r="A4" s="49" t="s">
        <v>537</v>
      </c>
      <c r="B4" s="49">
        <v>100</v>
      </c>
      <c r="C4" s="49">
        <f>COUNTIF('Métricas PICK_POSE'!K:W,"✓")</f>
        <v>100</v>
      </c>
      <c r="D4" s="24">
        <f t="shared" ref="D4:D9" si="0">B4-C4</f>
        <v>0</v>
      </c>
      <c r="E4" s="29">
        <f t="shared" ref="E4:E11" si="1">C4/(C4+D4)*100</f>
        <v>100</v>
      </c>
      <c r="F4" s="49" t="s">
        <v>538</v>
      </c>
      <c r="G4" s="52"/>
      <c r="H4" s="52"/>
      <c r="I4" s="52"/>
      <c r="J4" s="52"/>
      <c r="K4" s="52"/>
      <c r="L4" s="52"/>
      <c r="M4" s="28"/>
      <c r="N4" s="28"/>
      <c r="O4" s="28"/>
    </row>
    <row r="5" spans="1:15">
      <c r="A5" s="49" t="s">
        <v>539</v>
      </c>
      <c r="B5" s="49">
        <v>200</v>
      </c>
      <c r="C5" s="49">
        <f>COUNTIF('Métricas TARGET_POSE'!K:W,"✓")</f>
        <v>200</v>
      </c>
      <c r="D5" s="24">
        <f t="shared" si="0"/>
        <v>0</v>
      </c>
      <c r="E5" s="29">
        <f t="shared" si="1"/>
        <v>100</v>
      </c>
      <c r="F5" s="49" t="s">
        <v>538</v>
      </c>
      <c r="G5" s="52"/>
      <c r="H5" s="52"/>
      <c r="I5" s="52"/>
      <c r="J5" s="52"/>
      <c r="K5" s="52"/>
      <c r="L5" s="52"/>
      <c r="M5" s="28"/>
      <c r="N5" s="28"/>
      <c r="O5" s="28"/>
    </row>
    <row r="6" spans="1:15">
      <c r="A6" s="49" t="s">
        <v>540</v>
      </c>
      <c r="B6" s="49">
        <v>200</v>
      </c>
      <c r="C6" s="49">
        <f>B6-D6</f>
        <v>196</v>
      </c>
      <c r="D6" s="24">
        <v>4</v>
      </c>
      <c r="E6" s="29">
        <f t="shared" si="1"/>
        <v>98</v>
      </c>
      <c r="F6" s="49" t="s">
        <v>538</v>
      </c>
      <c r="G6" s="52" t="s">
        <v>538</v>
      </c>
      <c r="H6" s="52"/>
      <c r="I6" s="52"/>
      <c r="J6" s="52"/>
      <c r="K6" s="52"/>
      <c r="L6" s="52"/>
      <c r="M6" s="28" t="s">
        <v>631</v>
      </c>
      <c r="N6" s="28"/>
      <c r="O6" s="28"/>
    </row>
    <row r="7" spans="1:15">
      <c r="A7" s="49" t="s">
        <v>189</v>
      </c>
      <c r="B7" s="49">
        <v>100</v>
      </c>
      <c r="C7" s="49">
        <f>COUNTIFS('Métricas GRIPPER'!C:C,"FECHAR_GARRA",'Métricas GRIPPER'!K:K,"✓")+ COUNTIFS('Métricas GRIPPER'!O:O,"FECHAR_GARRA",'Métricas GRIPPER'!W:W,"✓")</f>
        <v>100</v>
      </c>
      <c r="D7" s="24">
        <f t="shared" si="0"/>
        <v>0</v>
      </c>
      <c r="E7" s="29">
        <f t="shared" si="1"/>
        <v>100</v>
      </c>
      <c r="F7" s="49" t="s">
        <v>538</v>
      </c>
      <c r="G7" s="52"/>
      <c r="H7" s="52"/>
      <c r="I7" s="52"/>
      <c r="J7" s="52"/>
      <c r="K7" s="52"/>
      <c r="L7" s="52"/>
      <c r="M7" s="28"/>
      <c r="N7" s="28"/>
      <c r="O7" s="28"/>
    </row>
    <row r="8" spans="1:15">
      <c r="A8" s="49" t="s">
        <v>192</v>
      </c>
      <c r="B8" s="49">
        <v>100</v>
      </c>
      <c r="C8" s="49">
        <f>COUNTIFS('Métricas GRIPPER'!C:C,"ABRIR_GARRA",'Métricas GRIPPER'!K:K,"✓")+ COUNTIFS('Métricas GRIPPER'!O:O,"ABRIR_GARRA",'Métricas GRIPPER'!W:W,"✓")</f>
        <v>100</v>
      </c>
      <c r="D8" s="24">
        <f t="shared" si="0"/>
        <v>0</v>
      </c>
      <c r="E8" s="29">
        <f t="shared" si="1"/>
        <v>100</v>
      </c>
      <c r="F8" s="49" t="s">
        <v>538</v>
      </c>
      <c r="G8" s="52"/>
      <c r="H8" s="52"/>
      <c r="I8" s="52"/>
      <c r="J8" s="52"/>
      <c r="K8" s="52"/>
      <c r="L8" s="52"/>
      <c r="M8" s="28"/>
      <c r="N8" s="28"/>
      <c r="O8" s="28"/>
    </row>
    <row r="9" spans="1:15">
      <c r="A9" s="49" t="s">
        <v>541</v>
      </c>
      <c r="B9" s="49">
        <v>100</v>
      </c>
      <c r="C9" s="49">
        <f>B9-D9</f>
        <v>98</v>
      </c>
      <c r="D9" s="24">
        <v>2</v>
      </c>
      <c r="E9" s="29">
        <f t="shared" si="1"/>
        <v>98</v>
      </c>
      <c r="F9" s="49" t="s">
        <v>538</v>
      </c>
      <c r="G9" s="52"/>
      <c r="H9" s="52"/>
      <c r="I9" s="52"/>
      <c r="J9" s="52"/>
      <c r="K9" s="52"/>
      <c r="L9" s="52"/>
      <c r="M9" s="28" t="s">
        <v>632</v>
      </c>
      <c r="N9" s="28"/>
      <c r="O9" s="28"/>
    </row>
    <row r="10" spans="1:15">
      <c r="A10" s="49" t="s">
        <v>542</v>
      </c>
      <c r="B10" s="49">
        <v>100</v>
      </c>
      <c r="C10" s="49">
        <f>100</f>
        <v>100</v>
      </c>
      <c r="D10" s="24">
        <v>0</v>
      </c>
      <c r="E10" s="29">
        <f t="shared" si="1"/>
        <v>100</v>
      </c>
      <c r="F10" s="49" t="s">
        <v>538</v>
      </c>
      <c r="G10" s="52"/>
      <c r="H10" s="52"/>
      <c r="I10" s="52"/>
      <c r="J10" s="52"/>
      <c r="K10" s="52"/>
      <c r="L10" s="52"/>
      <c r="M10" s="28"/>
      <c r="N10" s="28"/>
      <c r="O10" s="28"/>
    </row>
    <row r="11" spans="1:15">
      <c r="A11" s="20" t="s">
        <v>543</v>
      </c>
      <c r="B11" s="20">
        <f>SUM(B4:B10)</f>
        <v>900</v>
      </c>
      <c r="C11" s="20">
        <f>SUM(C4:C10)</f>
        <v>894</v>
      </c>
      <c r="D11" s="78">
        <f>SUM(D4:D10)</f>
        <v>6</v>
      </c>
      <c r="E11" s="79">
        <f t="shared" si="1"/>
        <v>99.3333333333333</v>
      </c>
      <c r="F11" s="2"/>
      <c r="G11" s="28"/>
      <c r="H11" s="28"/>
      <c r="I11" s="28"/>
      <c r="J11" s="28"/>
      <c r="K11" s="28"/>
      <c r="L11" s="28"/>
      <c r="M11" s="28"/>
      <c r="N11" s="28"/>
      <c r="O11" s="28"/>
    </row>
    <row r="12" spans="1:15">
      <c r="A12" s="21"/>
      <c r="B12" s="21"/>
      <c r="C12" s="21"/>
      <c r="D12" s="80"/>
      <c r="E12" s="81"/>
      <c r="F12" s="2"/>
      <c r="G12" s="28"/>
      <c r="H12" s="28"/>
      <c r="I12" s="28"/>
      <c r="J12" s="28"/>
      <c r="K12" s="28"/>
      <c r="L12" s="28"/>
      <c r="M12" s="28"/>
      <c r="N12" s="28"/>
      <c r="O12" s="28"/>
    </row>
    <row r="13" spans="1:15">
      <c r="A13" s="46" t="s">
        <v>620</v>
      </c>
      <c r="B13" s="2"/>
      <c r="C13" s="2"/>
      <c r="D13" s="2"/>
      <c r="E13" s="137" t="s">
        <v>524</v>
      </c>
      <c r="F13" s="127"/>
      <c r="G13" s="127"/>
      <c r="H13" s="127"/>
      <c r="I13" s="127"/>
      <c r="J13" s="127"/>
      <c r="K13" s="127"/>
      <c r="L13" s="28"/>
      <c r="M13" s="28"/>
      <c r="N13" s="28"/>
      <c r="O13" s="28"/>
    </row>
    <row r="14" spans="1:15" ht="27.15" customHeight="1">
      <c r="A14" s="82" t="s">
        <v>548</v>
      </c>
      <c r="B14" s="82" t="s">
        <v>621</v>
      </c>
      <c r="C14" s="82" t="s">
        <v>622</v>
      </c>
      <c r="D14" s="82" t="s">
        <v>623</v>
      </c>
      <c r="E14" s="71" t="s">
        <v>530</v>
      </c>
      <c r="F14" s="71" t="s">
        <v>531</v>
      </c>
      <c r="G14" s="71" t="s">
        <v>532</v>
      </c>
      <c r="H14" s="71" t="s">
        <v>533</v>
      </c>
      <c r="I14" s="71" t="s">
        <v>534</v>
      </c>
      <c r="J14" s="71" t="s">
        <v>535</v>
      </c>
      <c r="K14" s="71" t="s">
        <v>536</v>
      </c>
      <c r="L14" s="28"/>
      <c r="M14" s="28"/>
      <c r="N14" s="28"/>
      <c r="O14" s="28"/>
    </row>
    <row r="15" spans="1:15">
      <c r="A15" s="23" t="s">
        <v>624</v>
      </c>
      <c r="B15" s="23">
        <f>COUNTIF(Segurança!$G$3:$G$43,"✓ Bloqueio seguro")+COUNTIF(Segurança!$G$3:$G$43,"✓ Sucesso de validação")+COUNTIF(Segurança!$G$3:$G$43,"✓ Sucesso de execução")</f>
        <v>40</v>
      </c>
      <c r="C15" s="23">
        <f>COUNTIF(Segurança!$G$3:$G$43,"⚠ Hipótese não confirmada")</f>
        <v>1</v>
      </c>
      <c r="D15" s="96">
        <f>IF(B15+C15=0,0,B15/(B15+C15)*100)</f>
        <v>97.5609756097561</v>
      </c>
      <c r="E15" s="49" t="s">
        <v>538</v>
      </c>
      <c r="F15" s="52"/>
      <c r="G15" s="52"/>
      <c r="H15" s="52" t="s">
        <v>538</v>
      </c>
      <c r="I15" s="52" t="s">
        <v>538</v>
      </c>
      <c r="J15" s="52"/>
      <c r="K15" s="52"/>
      <c r="L15" s="28"/>
      <c r="M15" s="28"/>
      <c r="N15" s="28"/>
      <c r="O15" s="28"/>
    </row>
    <row r="16" spans="1:15">
      <c r="A16" s="23" t="s">
        <v>633</v>
      </c>
      <c r="B16" s="23">
        <v>94</v>
      </c>
      <c r="C16" s="23">
        <f>100-B16</f>
        <v>6</v>
      </c>
      <c r="D16" s="96">
        <f>IF(B16+C16=0,0,(B16/(B16+C16))*100)</f>
        <v>94</v>
      </c>
      <c r="E16" s="49" t="s">
        <v>538</v>
      </c>
      <c r="F16" s="52" t="s">
        <v>538</v>
      </c>
      <c r="G16" s="52" t="s">
        <v>538</v>
      </c>
      <c r="H16" s="52"/>
      <c r="I16" s="52"/>
      <c r="J16" s="52" t="s">
        <v>538</v>
      </c>
      <c r="K16" s="52"/>
      <c r="L16" s="28"/>
      <c r="M16" s="28"/>
      <c r="N16" s="28"/>
      <c r="O16" s="28"/>
    </row>
    <row r="17" spans="1:16">
      <c r="A17" s="23" t="s">
        <v>545</v>
      </c>
      <c r="B17" s="23">
        <f>COUNTIF(Robustez!A:H,"✓ Bloqueio seguro")+COUNTIF(Robustez!A:H,"✓ Sucesso execução")</f>
        <v>19</v>
      </c>
      <c r="C17" s="23">
        <f>COUNTA(Robustez!A3:A21)-B17</f>
        <v>0</v>
      </c>
      <c r="D17" s="96">
        <f>IF(B17+C17=0,0,(B17/(B17+C17))*100)</f>
        <v>100</v>
      </c>
      <c r="E17" s="49" t="s">
        <v>538</v>
      </c>
      <c r="F17" s="52"/>
      <c r="G17" s="52"/>
      <c r="H17" s="52" t="s">
        <v>538</v>
      </c>
      <c r="I17" s="52"/>
      <c r="J17" s="52"/>
      <c r="K17" s="52"/>
      <c r="L17" s="28"/>
      <c r="M17" s="28"/>
      <c r="N17" s="28"/>
      <c r="O17" s="28"/>
    </row>
    <row r="18" spans="1:16">
      <c r="A18" s="97" t="s">
        <v>546</v>
      </c>
      <c r="B18" s="97">
        <f>SUM(B15:B17)</f>
        <v>153</v>
      </c>
      <c r="C18" s="97">
        <f>SUM(C15:C17)</f>
        <v>7</v>
      </c>
      <c r="D18" s="98">
        <f>IF(B18+C18=0,0,B18/(B18+C18)*100)</f>
        <v>95.625</v>
      </c>
      <c r="E18" s="81"/>
      <c r="F18" s="2"/>
      <c r="G18" s="28"/>
      <c r="H18" s="28"/>
      <c r="I18" s="28"/>
      <c r="J18" s="28"/>
      <c r="K18" s="28"/>
      <c r="L18" s="28" t="s">
        <v>634</v>
      </c>
      <c r="M18" s="28"/>
      <c r="N18" s="28"/>
      <c r="O18" s="28"/>
    </row>
    <row r="19" spans="1:16">
      <c r="A19" s="21"/>
      <c r="B19" s="21"/>
      <c r="C19" s="21"/>
      <c r="D19" s="81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spans="1:16">
      <c r="A20" s="46" t="s">
        <v>547</v>
      </c>
      <c r="B20" s="2"/>
      <c r="C20" s="2"/>
      <c r="D20" s="2"/>
      <c r="J20" s="137" t="s">
        <v>524</v>
      </c>
      <c r="K20" s="127"/>
      <c r="L20" s="127"/>
      <c r="M20" s="127"/>
      <c r="N20" s="127"/>
      <c r="O20" s="127"/>
      <c r="P20" s="127"/>
    </row>
    <row r="21" spans="1:16" ht="19.2" customHeight="1">
      <c r="A21" s="71" t="s">
        <v>548</v>
      </c>
      <c r="B21" s="71" t="s">
        <v>527</v>
      </c>
      <c r="C21" s="71" t="s">
        <v>528</v>
      </c>
      <c r="D21" s="71" t="s">
        <v>529</v>
      </c>
      <c r="E21" s="82" t="s">
        <v>549</v>
      </c>
      <c r="F21" s="82" t="s">
        <v>550</v>
      </c>
      <c r="G21" s="82" t="s">
        <v>551</v>
      </c>
      <c r="H21" s="82" t="s">
        <v>552</v>
      </c>
      <c r="I21" s="82" t="s">
        <v>553</v>
      </c>
      <c r="J21" s="83" t="s">
        <v>530</v>
      </c>
      <c r="K21" s="83" t="s">
        <v>531</v>
      </c>
      <c r="L21" s="83" t="s">
        <v>532</v>
      </c>
      <c r="M21" s="83" t="s">
        <v>533</v>
      </c>
      <c r="N21" s="83" t="s">
        <v>534</v>
      </c>
      <c r="O21" s="83" t="s">
        <v>535</v>
      </c>
      <c r="P21" s="83" t="s">
        <v>536</v>
      </c>
    </row>
    <row r="22" spans="1:16">
      <c r="A22" s="49" t="s">
        <v>217</v>
      </c>
      <c r="B22" s="49">
        <f>'Análise Estatística'!C4</f>
        <v>49</v>
      </c>
      <c r="C22" s="49">
        <f>'Análise Estatística'!D4</f>
        <v>1</v>
      </c>
      <c r="D22" s="19">
        <f>'Análise Estatística'!E4*100</f>
        <v>98</v>
      </c>
      <c r="E22" s="43">
        <f>'Análise Estatística'!D11</f>
        <v>4.0238387755102</v>
      </c>
      <c r="F22" s="43">
        <f>'Análise Estatística'!D12</f>
        <v>29.2990836734694</v>
      </c>
      <c r="G22" s="43">
        <f>'Análise Estatística'!D13</f>
        <v>33.3229224489796</v>
      </c>
      <c r="H22" s="43">
        <f>'Análise Estatística'!D14</f>
        <v>3.88442857142857</v>
      </c>
      <c r="I22" s="44">
        <f>'Análise Estatística'!D15</f>
        <v>45.3469387755102</v>
      </c>
      <c r="J22" s="49" t="s">
        <v>538</v>
      </c>
      <c r="K22" s="52" t="s">
        <v>538</v>
      </c>
      <c r="L22" s="52"/>
      <c r="M22" s="52"/>
      <c r="N22" s="52"/>
      <c r="O22" s="52"/>
      <c r="P22" s="52"/>
    </row>
    <row r="23" spans="1:16">
      <c r="A23" s="49" t="s">
        <v>218</v>
      </c>
      <c r="B23" s="49">
        <f>'Análise Estatística'!C6</f>
        <v>50</v>
      </c>
      <c r="C23" s="49">
        <f>'Análise Estatística'!D6</f>
        <v>0</v>
      </c>
      <c r="D23" s="19">
        <f>'Análise Estatística'!E6*100</f>
        <v>100</v>
      </c>
      <c r="E23" s="43">
        <f>'Análise Estatística'!D21</f>
        <v>4.056446</v>
      </c>
      <c r="F23" s="43">
        <f>'Análise Estatística'!D22</f>
        <v>30.508754</v>
      </c>
      <c r="G23" s="43">
        <f>'Análise Estatística'!D23</f>
        <v>34.5652</v>
      </c>
      <c r="H23" s="43">
        <f>'Análise Estatística'!D24</f>
        <v>4.6664068</v>
      </c>
      <c r="I23" s="44">
        <f>'Análise Estatística'!D25</f>
        <v>46.86</v>
      </c>
      <c r="J23" s="49" t="s">
        <v>538</v>
      </c>
      <c r="K23" s="52" t="s">
        <v>538</v>
      </c>
      <c r="L23" s="52"/>
      <c r="M23" s="52"/>
      <c r="N23" s="52"/>
      <c r="O23" s="52"/>
      <c r="P23" s="52"/>
    </row>
    <row r="24" spans="1:16">
      <c r="A24" s="49" t="s">
        <v>222</v>
      </c>
      <c r="B24" s="49">
        <f>'Análise Estatística'!C5</f>
        <v>50</v>
      </c>
      <c r="C24" s="49">
        <f>'Análise Estatística'!D5</f>
        <v>0</v>
      </c>
      <c r="D24" s="19">
        <f>'Análise Estatística'!E5*100</f>
        <v>100</v>
      </c>
      <c r="E24" s="43">
        <f>'Análise Estatística'!D16</f>
        <v>3.78006</v>
      </c>
      <c r="F24" s="43">
        <f>'Análise Estatística'!D17</f>
        <v>31.466414</v>
      </c>
      <c r="G24" s="43">
        <f>'Análise Estatística'!D18</f>
        <v>35.246474</v>
      </c>
      <c r="H24" s="43">
        <f>'Análise Estatística'!D19</f>
        <v>4.365572</v>
      </c>
      <c r="I24" s="44">
        <f>'Análise Estatística'!D20</f>
        <v>44.22</v>
      </c>
      <c r="J24" s="49" t="s">
        <v>538</v>
      </c>
      <c r="K24" s="52" t="s">
        <v>538</v>
      </c>
      <c r="L24" s="52"/>
      <c r="M24" s="52"/>
      <c r="N24" s="52"/>
      <c r="O24" s="52"/>
      <c r="P24" s="52"/>
    </row>
    <row r="25" spans="1:16">
      <c r="A25" s="20" t="s">
        <v>546</v>
      </c>
      <c r="B25" s="20">
        <f>SUM(B22:B24)</f>
        <v>149</v>
      </c>
      <c r="C25" s="20">
        <f>SUM(C22:C24)</f>
        <v>1</v>
      </c>
      <c r="D25" s="79">
        <f>B25/(B25+C25)*100</f>
        <v>99.3333333333333</v>
      </c>
    </row>
    <row r="26" spans="1:16">
      <c r="A26" s="21"/>
      <c r="B26" s="21"/>
      <c r="C26" s="21"/>
      <c r="D26" s="81"/>
      <c r="E26" s="2"/>
      <c r="F26" s="2"/>
      <c r="G26" s="2"/>
      <c r="H26" s="2"/>
    </row>
    <row r="27" spans="1:16" ht="11.55" customHeight="1">
      <c r="A27" s="139" t="s">
        <v>625</v>
      </c>
      <c r="B27" s="127"/>
      <c r="C27" s="127"/>
      <c r="D27" s="127"/>
      <c r="E27" s="127"/>
      <c r="F27" s="127"/>
      <c r="G27" s="127"/>
      <c r="H27" s="127"/>
    </row>
    <row r="28" spans="1:16">
      <c r="A28" s="12"/>
      <c r="B28" s="21"/>
      <c r="C28" s="21"/>
      <c r="D28" s="81"/>
      <c r="E28" s="2"/>
      <c r="F28" s="2"/>
    </row>
    <row r="29" spans="1:16">
      <c r="A29" s="25"/>
      <c r="B29" s="25"/>
      <c r="C29" s="25"/>
      <c r="D29" s="25"/>
      <c r="E29" s="25"/>
      <c r="F29" s="25"/>
    </row>
    <row r="30" spans="1:16">
      <c r="A30" s="2"/>
      <c r="B30" s="2"/>
      <c r="C30" s="2"/>
      <c r="D30" s="2"/>
      <c r="E30" s="26"/>
      <c r="F30" s="2"/>
    </row>
    <row r="31" spans="1:16">
      <c r="A31" s="2"/>
      <c r="B31" s="2"/>
      <c r="C31" s="2"/>
      <c r="D31" s="2"/>
      <c r="E31" s="26"/>
      <c r="F31" s="2"/>
    </row>
    <row r="32" spans="1:16">
      <c r="A32" s="2"/>
      <c r="B32" s="27"/>
      <c r="C32" s="27"/>
      <c r="D32" s="2"/>
      <c r="E32" s="26"/>
      <c r="F32" s="2"/>
    </row>
    <row r="33" spans="1:6">
      <c r="A33" s="2"/>
      <c r="B33" s="27"/>
      <c r="C33" s="27"/>
      <c r="D33" s="2"/>
      <c r="E33" s="26"/>
      <c r="F33" s="2"/>
    </row>
    <row r="34" spans="1:6">
      <c r="A34" s="2"/>
      <c r="B34" s="2"/>
      <c r="C34" s="2"/>
      <c r="D34" s="2"/>
      <c r="E34" s="26"/>
      <c r="F34" s="2"/>
    </row>
    <row r="35" spans="1:6">
      <c r="A35" s="2"/>
      <c r="B35" s="2"/>
      <c r="C35" s="2"/>
      <c r="D35" s="2"/>
      <c r="E35" s="26"/>
      <c r="F35" s="2"/>
    </row>
    <row r="36" spans="1:6">
      <c r="A36" s="2"/>
      <c r="B36" s="2"/>
      <c r="C36" s="2"/>
      <c r="D36" s="2"/>
      <c r="E36" s="26"/>
      <c r="F36" s="2"/>
    </row>
    <row r="37" spans="1:6">
      <c r="A37" s="2"/>
      <c r="B37" s="2"/>
      <c r="C37" s="2"/>
      <c r="D37" s="2"/>
      <c r="E37" s="2"/>
      <c r="F37" s="2"/>
    </row>
  </sheetData>
  <mergeCells count="5">
    <mergeCell ref="E13:K13"/>
    <mergeCell ref="A1:L1"/>
    <mergeCell ref="F2:L2"/>
    <mergeCell ref="J20:P20"/>
    <mergeCell ref="A27:H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01"/>
  <sheetViews>
    <sheetView showGridLines="0" topLeftCell="A35" workbookViewId="0">
      <selection activeCell="J21" sqref="J21"/>
    </sheetView>
  </sheetViews>
  <sheetFormatPr defaultRowHeight="13.8"/>
  <cols>
    <col min="1" max="1" width="10" customWidth="1"/>
    <col min="2" max="3" width="14" customWidth="1"/>
    <col min="4" max="8" width="15" customWidth="1"/>
    <col min="9" max="9" width="11" customWidth="1"/>
    <col min="10" max="10" width="36" customWidth="1"/>
    <col min="12" max="20" width="19" customWidth="1"/>
  </cols>
  <sheetData>
    <row r="1" spans="1:20" ht="18" customHeight="1">
      <c r="A1" s="84" t="s">
        <v>554</v>
      </c>
      <c r="B1" s="84" t="s">
        <v>231</v>
      </c>
      <c r="C1" s="84" t="s">
        <v>209</v>
      </c>
      <c r="D1" s="84" t="s">
        <v>555</v>
      </c>
      <c r="E1" s="84" t="s">
        <v>556</v>
      </c>
      <c r="F1" s="84" t="s">
        <v>557</v>
      </c>
      <c r="G1" s="84" t="s">
        <v>558</v>
      </c>
      <c r="H1" s="84" t="s">
        <v>559</v>
      </c>
      <c r="I1" s="84" t="s">
        <v>235</v>
      </c>
      <c r="J1" s="84" t="s">
        <v>180</v>
      </c>
      <c r="L1" s="61" t="s">
        <v>560</v>
      </c>
      <c r="M1" s="61" t="s">
        <v>561</v>
      </c>
      <c r="N1" s="61" t="s">
        <v>562</v>
      </c>
      <c r="O1" s="61" t="s">
        <v>563</v>
      </c>
      <c r="P1" s="61" t="s">
        <v>564</v>
      </c>
      <c r="Q1" s="61" t="s">
        <v>565</v>
      </c>
      <c r="R1" s="61" t="s">
        <v>566</v>
      </c>
      <c r="S1" s="61" t="s">
        <v>567</v>
      </c>
      <c r="T1" s="61" t="s">
        <v>568</v>
      </c>
    </row>
    <row r="2" spans="1:20" ht="18" customHeight="1">
      <c r="A2" s="53">
        <v>1</v>
      </c>
      <c r="B2" s="53">
        <f>'Comparação Planners'!$A$3</f>
        <v>1</v>
      </c>
      <c r="C2" s="53" t="str">
        <f>'Comparação Planners'!$B$3</f>
        <v>RRTConnect</v>
      </c>
      <c r="D2" s="55">
        <f>'Comparação Planners'!$C$3</f>
        <v>3.251</v>
      </c>
      <c r="E2" s="55">
        <f>'Comparação Planners'!$D$3</f>
        <v>40.794</v>
      </c>
      <c r="F2" s="55">
        <f>'Comparação Planners'!$E$3</f>
        <v>44.045</v>
      </c>
      <c r="G2" s="55">
        <f>'Comparação Planners'!$F$3</f>
        <v>3.7939</v>
      </c>
      <c r="H2" s="57">
        <f>'Comparação Planners'!$G$3</f>
        <v>38</v>
      </c>
      <c r="I2" s="53" t="str">
        <f>'Comparação Planners'!$H$3</f>
        <v>✓</v>
      </c>
      <c r="J2" s="59">
        <f>'Comparação Planners'!$I$3</f>
        <v>0</v>
      </c>
      <c r="L2" s="62">
        <f>'Métricas PICK_POSE'!$H$2</f>
        <v>152.9291</v>
      </c>
      <c r="M2" s="62">
        <f>'Métricas TARGET_POSE'!$H$2</f>
        <v>1.863</v>
      </c>
      <c r="N2" s="63">
        <f>'Métricas IR_POSE TCP_CORRIGIDO'!$Z$4</f>
        <v>1.15714</v>
      </c>
      <c r="O2" s="63">
        <f>'Métricas IR_POSE TCP_CORRIGIDO'!$AB$4</f>
        <v>11.1393</v>
      </c>
      <c r="P2" s="63">
        <f>'Métricas IR_POSE TCP_CORRIGIDO'!$AD$4</f>
        <v>12.29644</v>
      </c>
      <c r="Q2" s="62">
        <f>'Métricas IR_POSE TCP_CORRIGIDO'!$R$4</f>
        <v>0.927361849549576</v>
      </c>
      <c r="R2" s="63">
        <f>'Métricas TERMINAR_TAREFA'!$H$3</f>
        <v>0.0111</v>
      </c>
      <c r="S2" s="63">
        <f>'Métricas TERMINAR_TAREFA'!$J$3</f>
        <v>7.4334</v>
      </c>
      <c r="T2" s="63">
        <f>'Métricas TERMINAR_TAREFA'!$L$3</f>
        <v>7.4445</v>
      </c>
    </row>
    <row r="3" spans="1:20" ht="18" customHeight="1">
      <c r="A3" s="54">
        <v>1</v>
      </c>
      <c r="B3" s="54">
        <f>'Comparação Planners'!$A$6</f>
        <v>2</v>
      </c>
      <c r="C3" s="54" t="str">
        <f>'Comparação Planners'!$B$6</f>
        <v>RRTConnect</v>
      </c>
      <c r="D3" s="56">
        <f>'Comparação Planners'!$C$6</f>
        <v>3.111</v>
      </c>
      <c r="E3" s="56">
        <f>'Comparação Planners'!$D$6</f>
        <v>37.518</v>
      </c>
      <c r="F3" s="56">
        <f>'Comparação Planners'!$E$6</f>
        <v>40.629</v>
      </c>
      <c r="G3" s="56">
        <f>'Comparação Planners'!$F$6</f>
        <v>3.8026</v>
      </c>
      <c r="H3" s="58">
        <f>'Comparação Planners'!$G$6</f>
        <v>36</v>
      </c>
      <c r="I3" s="54" t="str">
        <f>'Comparação Planners'!$H$6</f>
        <v>✓</v>
      </c>
      <c r="J3" s="60">
        <f>'Comparação Planners'!$I$6</f>
        <v>0</v>
      </c>
      <c r="L3" s="62">
        <f>'Métricas PICK_POSE'!$T$2</f>
        <v>252.5365</v>
      </c>
      <c r="M3" s="62">
        <f>'Métricas TARGET_POSE'!$T$2</f>
        <v>1.7669</v>
      </c>
      <c r="N3" s="63">
        <f>'Métricas IR_POSE TCP_CORRIGIDO'!$Z$5</f>
        <v>1.529</v>
      </c>
      <c r="O3" s="63">
        <f>'Métricas IR_POSE TCP_CORRIGIDO'!$AB$5</f>
        <v>8.4469</v>
      </c>
      <c r="P3" s="63">
        <f>'Métricas IR_POSE TCP_CORRIGIDO'!$AD$5</f>
        <v>9.9759</v>
      </c>
      <c r="Q3" s="62">
        <f>'Métricas IR_POSE TCP_CORRIGIDO'!$R$5</f>
        <v>1.09544511501036</v>
      </c>
      <c r="R3" s="63">
        <f>'Métricas TERMINAR_TAREFA'!$Y$3</f>
        <v>0.0227</v>
      </c>
      <c r="S3" s="63">
        <f>'Métricas TERMINAR_TAREFA'!$AA$3</f>
        <v>8.2472</v>
      </c>
      <c r="T3" s="63">
        <f>'Métricas TERMINAR_TAREFA'!$AC$3</f>
        <v>8.2699</v>
      </c>
    </row>
    <row r="4" spans="1:20" ht="18" customHeight="1">
      <c r="A4" s="54">
        <v>1</v>
      </c>
      <c r="B4" s="54">
        <f>'Comparação Planners'!$A$9</f>
        <v>3</v>
      </c>
      <c r="C4" s="54" t="str">
        <f>'Comparação Planners'!$B$9</f>
        <v>RRTConnect</v>
      </c>
      <c r="D4" s="56">
        <f>'Comparação Planners'!$C$9</f>
        <v>3.307</v>
      </c>
      <c r="E4" s="56">
        <f>'Comparação Planners'!$D$9</f>
        <v>43.475</v>
      </c>
      <c r="F4" s="56">
        <f>'Comparação Planners'!$E$9</f>
        <v>46.782</v>
      </c>
      <c r="G4" s="56">
        <f>'Comparação Planners'!$F$9</f>
        <v>3.8583</v>
      </c>
      <c r="H4" s="58">
        <f>'Comparação Planners'!$G$9</f>
        <v>38</v>
      </c>
      <c r="I4" s="54" t="str">
        <f>'Comparação Planners'!$H$9</f>
        <v>✓</v>
      </c>
      <c r="J4" s="60">
        <f>'Comparação Planners'!$I$9</f>
        <v>0</v>
      </c>
      <c r="L4" s="62">
        <f>'Métricas PICK_POSE'!$H$3</f>
        <v>152.0171</v>
      </c>
      <c r="M4" s="62">
        <f>'Métricas TARGET_POSE'!$H$3</f>
        <v>1.9202</v>
      </c>
      <c r="N4" s="63">
        <f>'Métricas IR_POSE TCP_CORRIGIDO'!$Z$6</f>
        <v>1.5675</v>
      </c>
      <c r="O4" s="63">
        <f>'Métricas IR_POSE TCP_CORRIGIDO'!$AB$6</f>
        <v>9.8331</v>
      </c>
      <c r="P4" s="63">
        <f>'Métricas IR_POSE TCP_CORRIGIDO'!$AD$6</f>
        <v>11.4006</v>
      </c>
      <c r="Q4" s="62">
        <f>'Métricas IR_POSE TCP_CORRIGIDO'!$R$6</f>
        <v>0.600000000000045</v>
      </c>
      <c r="R4" s="63">
        <f>'Métricas TERMINAR_TAREFA'!$H$4</f>
        <v>0.0088</v>
      </c>
      <c r="S4" s="63">
        <f>'Métricas TERMINAR_TAREFA'!$J$4</f>
        <v>7.444</v>
      </c>
      <c r="T4" s="63">
        <f>'Métricas TERMINAR_TAREFA'!$L$4</f>
        <v>7.4528</v>
      </c>
    </row>
    <row r="5" spans="1:20" ht="18" customHeight="1">
      <c r="A5" s="54">
        <v>1</v>
      </c>
      <c r="B5" s="54">
        <f>'Comparação Planners'!$A$12</f>
        <v>4</v>
      </c>
      <c r="C5" s="54" t="str">
        <f>'Comparação Planners'!$B$12</f>
        <v>RRTConnect</v>
      </c>
      <c r="D5" s="56">
        <f>'Comparação Planners'!$C$12</f>
        <v>3.413</v>
      </c>
      <c r="E5" s="56">
        <f>'Comparação Planners'!$D$12</f>
        <v>40.518</v>
      </c>
      <c r="F5" s="56">
        <f>'Comparação Planners'!$E$12</f>
        <v>43.931</v>
      </c>
      <c r="G5" s="56">
        <f>'Comparação Planners'!$F$12</f>
        <v>3.4863</v>
      </c>
      <c r="H5" s="58">
        <f>'Comparação Planners'!$G$12</f>
        <v>39</v>
      </c>
      <c r="I5" s="54" t="str">
        <f>'Comparação Planners'!$H$12</f>
        <v>✓</v>
      </c>
      <c r="J5" s="60">
        <f>'Comparação Planners'!$I$12</f>
        <v>0</v>
      </c>
      <c r="L5" s="62">
        <f>'Métricas PICK_POSE'!$T$3</f>
        <v>151.9229</v>
      </c>
      <c r="M5" s="62">
        <f>'Métricas TARGET_POSE'!$T$3</f>
        <v>2.8882</v>
      </c>
      <c r="N5" s="63">
        <f>'Métricas IR_POSE TCP_CORRIGIDO'!$Z$7</f>
        <v>1.177</v>
      </c>
      <c r="O5" s="63">
        <f>'Métricas IR_POSE TCP_CORRIGIDO'!$AB$7</f>
        <v>11.6408</v>
      </c>
      <c r="P5" s="63">
        <f>'Métricas IR_POSE TCP_CORRIGIDO'!$AD$7</f>
        <v>12.8178</v>
      </c>
      <c r="Q5" s="62">
        <f>'Métricas IR_POSE TCP_CORRIGIDO'!$R$7</f>
        <v>0.761577310586453</v>
      </c>
      <c r="R5" s="63">
        <f>'Métricas TERMINAR_TAREFA'!$Y$4</f>
        <v>0.0154</v>
      </c>
      <c r="S5" s="63">
        <f>'Métricas TERMINAR_TAREFA'!$AA$4</f>
        <v>8.2764</v>
      </c>
      <c r="T5" s="63">
        <f>'Métricas TERMINAR_TAREFA'!$AC$4</f>
        <v>8.2918</v>
      </c>
    </row>
    <row r="6" spans="1:20" ht="18" customHeight="1">
      <c r="A6" s="54">
        <v>1</v>
      </c>
      <c r="B6" s="54">
        <f>'Comparação Planners'!$A$15</f>
        <v>5</v>
      </c>
      <c r="C6" s="54" t="str">
        <f>'Comparação Planners'!$B$15</f>
        <v>RRTConnect</v>
      </c>
      <c r="D6" s="56">
        <f>'Comparação Planners'!$C$15</f>
        <v>3.419</v>
      </c>
      <c r="E6" s="56">
        <f>'Comparação Planners'!$D$15</f>
        <v>33.3</v>
      </c>
      <c r="F6" s="56">
        <f>'Comparação Planners'!$E$15</f>
        <v>36.719</v>
      </c>
      <c r="G6" s="56">
        <f>'Comparação Planners'!$F$15</f>
        <v>3.5892</v>
      </c>
      <c r="H6" s="58">
        <f>'Comparação Planners'!$G$15</f>
        <v>39</v>
      </c>
      <c r="I6" s="54" t="str">
        <f>'Comparação Planners'!$H$15</f>
        <v>✓</v>
      </c>
      <c r="J6" s="60">
        <f>'Comparação Planners'!$I$15</f>
        <v>0</v>
      </c>
      <c r="L6" s="62">
        <f>'Métricas PICK_POSE'!$H$4</f>
        <v>155.1752</v>
      </c>
      <c r="M6" s="62">
        <f>'Métricas TARGET_POSE'!$H$4</f>
        <v>2.0883</v>
      </c>
      <c r="N6" s="63">
        <f>'Métricas IR_POSE TCP_CORRIGIDO'!$Z$8</f>
        <v>1.5445</v>
      </c>
      <c r="O6" s="63">
        <f>'Métricas IR_POSE TCP_CORRIGIDO'!$AB$8</f>
        <v>11.3391</v>
      </c>
      <c r="P6" s="63">
        <f>'Métricas IR_POSE TCP_CORRIGIDO'!$AD$8</f>
        <v>12.8836</v>
      </c>
      <c r="Q6" s="62">
        <f>'Métricas IR_POSE TCP_CORRIGIDO'!$R$8</f>
        <v>1.10453610171872</v>
      </c>
      <c r="R6" s="63">
        <f>'Métricas TERMINAR_TAREFA'!$H$5</f>
        <v>0.0203</v>
      </c>
      <c r="S6" s="63">
        <f>'Métricas TERMINAR_TAREFA'!$J$5</f>
        <v>7.4494</v>
      </c>
      <c r="T6" s="63">
        <f>'Métricas TERMINAR_TAREFA'!$L$5</f>
        <v>7.4697</v>
      </c>
    </row>
    <row r="7" spans="1:20" ht="18" customHeight="1">
      <c r="A7" s="54">
        <v>1</v>
      </c>
      <c r="B7" s="54">
        <f>'Comparação Planners'!$A$18</f>
        <v>6</v>
      </c>
      <c r="C7" s="54" t="str">
        <f>'Comparação Planners'!$B$18</f>
        <v>RRTConnect</v>
      </c>
      <c r="D7" s="56">
        <f>'Comparação Planners'!$C$18</f>
        <v>3.257</v>
      </c>
      <c r="E7" s="56">
        <f>'Comparação Planners'!$D$18</f>
        <v>35.65</v>
      </c>
      <c r="F7" s="56">
        <f>'Comparação Planners'!$E$18</f>
        <v>38.907</v>
      </c>
      <c r="G7" s="56">
        <f>'Comparação Planners'!$F$18</f>
        <v>3.7914</v>
      </c>
      <c r="H7" s="58">
        <f>'Comparação Planners'!$G$18</f>
        <v>38</v>
      </c>
      <c r="I7" s="54" t="str">
        <f>'Comparação Planners'!$H$18</f>
        <v>✓</v>
      </c>
      <c r="J7" s="60">
        <f>'Comparação Planners'!$I$18</f>
        <v>0</v>
      </c>
      <c r="L7" s="62">
        <f>'Métricas PICK_POSE'!$T$4</f>
        <v>152.0145</v>
      </c>
      <c r="M7" s="62">
        <f>'Métricas TARGET_POSE'!$T$4</f>
        <v>3.2291</v>
      </c>
      <c r="N7" s="63">
        <f>'Métricas IR_POSE TCP_CORRIGIDO'!$Z$9</f>
        <v>1.5411</v>
      </c>
      <c r="O7" s="63">
        <f>'Métricas IR_POSE TCP_CORRIGIDO'!$AB$9</f>
        <v>8.3415</v>
      </c>
      <c r="P7" s="63">
        <f>'Métricas IR_POSE TCP_CORRIGIDO'!$AD$9</f>
        <v>9.8826</v>
      </c>
      <c r="Q7" s="62">
        <f>'Métricas IR_POSE TCP_CORRIGIDO'!$R$9</f>
        <v>0.806225774829828</v>
      </c>
      <c r="R7" s="63">
        <f>'Métricas TERMINAR_TAREFA'!$Y$5</f>
        <v>0.0224</v>
      </c>
      <c r="S7" s="63">
        <f>'Métricas TERMINAR_TAREFA'!$AA$5</f>
        <v>8.326</v>
      </c>
      <c r="T7" s="63">
        <f>'Métricas TERMINAR_TAREFA'!$AC$5</f>
        <v>8.3484</v>
      </c>
    </row>
    <row r="8" spans="1:20" ht="18" customHeight="1">
      <c r="A8" s="54">
        <v>1</v>
      </c>
      <c r="B8" s="54">
        <f>'Comparação Planners'!$A$21</f>
        <v>7</v>
      </c>
      <c r="C8" s="54" t="str">
        <f>'Comparação Planners'!$B$21</f>
        <v>RRTConnect</v>
      </c>
      <c r="D8" s="56">
        <f>'Comparação Planners'!$C$21</f>
        <v>4.086</v>
      </c>
      <c r="E8" s="56">
        <f>'Comparação Planners'!$D$21</f>
        <v>34.362</v>
      </c>
      <c r="F8" s="56">
        <f>'Comparação Planners'!$E$21</f>
        <v>38.448</v>
      </c>
      <c r="G8" s="56">
        <f>'Comparação Planners'!$F$21</f>
        <v>3.4825</v>
      </c>
      <c r="H8" s="58">
        <f>'Comparação Planners'!$G$21</f>
        <v>46</v>
      </c>
      <c r="I8" s="54" t="str">
        <f>'Comparação Planners'!$H$21</f>
        <v>✓</v>
      </c>
      <c r="J8" s="60">
        <f>'Comparação Planners'!$I$21</f>
        <v>0</v>
      </c>
      <c r="L8" s="62">
        <f>'Métricas PICK_POSE'!$H$5</f>
        <v>54.7836</v>
      </c>
      <c r="M8" s="62">
        <f>'Métricas TARGET_POSE'!$H$5</f>
        <v>2.8312</v>
      </c>
      <c r="N8" s="63">
        <f>'Métricas IR_POSE TCP_CORRIGIDO'!$Z$10</f>
        <v>1.5768</v>
      </c>
      <c r="O8" s="63">
        <f>'Métricas IR_POSE TCP_CORRIGIDO'!$AB$10</f>
        <v>11.5617</v>
      </c>
      <c r="P8" s="63">
        <f>'Métricas IR_POSE TCP_CORRIGIDO'!$AD$10</f>
        <v>13.1385</v>
      </c>
      <c r="Q8" s="62">
        <f>'Métricas IR_POSE TCP_CORRIGIDO'!$R$10</f>
        <v>0.640312423743232</v>
      </c>
      <c r="R8" s="63">
        <f>'Métricas TERMINAR_TAREFA'!$H$6</f>
        <v>0.0114</v>
      </c>
      <c r="S8" s="63">
        <f>'Métricas TERMINAR_TAREFA'!$J$6</f>
        <v>9.4669</v>
      </c>
      <c r="T8" s="63">
        <f>'Métricas TERMINAR_TAREFA'!$L$6</f>
        <v>9.4783</v>
      </c>
    </row>
    <row r="9" spans="1:20" ht="18" customHeight="1">
      <c r="A9" s="54">
        <v>1</v>
      </c>
      <c r="B9" s="54">
        <f>'Comparação Planners'!$A$24</f>
        <v>8</v>
      </c>
      <c r="C9" s="54" t="str">
        <f>'Comparação Planners'!$B$24</f>
        <v>RRTConnect</v>
      </c>
      <c r="D9" s="56">
        <f>'Comparação Planners'!$C$24</f>
        <v>6.274</v>
      </c>
      <c r="E9" s="56">
        <f>'Comparação Planners'!$D$24</f>
        <v>35.411</v>
      </c>
      <c r="F9" s="56">
        <f>'Comparação Planners'!$E$24</f>
        <v>41.685</v>
      </c>
      <c r="G9" s="56">
        <f>'Comparação Planners'!$F$24</f>
        <v>3.809</v>
      </c>
      <c r="H9" s="58">
        <f>'Comparação Planners'!$G$24</f>
        <v>49</v>
      </c>
      <c r="I9" s="54" t="str">
        <f>'Comparação Planners'!$H$24</f>
        <v>✓</v>
      </c>
      <c r="J9" s="60">
        <f>'Comparação Planners'!$I$24</f>
        <v>0</v>
      </c>
      <c r="L9" s="62">
        <f>'Métricas PICK_POSE'!$T$5</f>
        <v>151.9032</v>
      </c>
      <c r="M9" s="62">
        <f>'Métricas TARGET_POSE'!$T$5</f>
        <v>1.739</v>
      </c>
      <c r="N9" s="63">
        <f>'Métricas IR_POSE TCP_CORRIGIDO'!$Z$11</f>
        <v>1.5898</v>
      </c>
      <c r="O9" s="63">
        <f>'Métricas IR_POSE TCP_CORRIGIDO'!$AB$11</f>
        <v>11.995</v>
      </c>
      <c r="P9" s="63">
        <f>'Métricas IR_POSE TCP_CORRIGIDO'!$AD$11</f>
        <v>13.5848</v>
      </c>
      <c r="Q9" s="62">
        <f>'Métricas IR_POSE TCP_CORRIGIDO'!$R$11</f>
        <v>1.10453610171865</v>
      </c>
      <c r="R9" s="63">
        <f>'Métricas TERMINAR_TAREFA'!$Y$6</f>
        <v>0.0224</v>
      </c>
      <c r="S9" s="63">
        <f>'Métricas TERMINAR_TAREFA'!$AA$6</f>
        <v>8.2026</v>
      </c>
      <c r="T9" s="63">
        <f>'Métricas TERMINAR_TAREFA'!$AC$6</f>
        <v>8.225</v>
      </c>
    </row>
    <row r="10" spans="1:20" ht="18" customHeight="1">
      <c r="A10" s="54">
        <v>1</v>
      </c>
      <c r="B10" s="54">
        <f>'Comparação Planners'!$A$27</f>
        <v>9</v>
      </c>
      <c r="C10" s="54" t="str">
        <f>'Comparação Planners'!$B$27</f>
        <v>RRTConnect</v>
      </c>
      <c r="D10" s="56">
        <f>'Comparação Planners'!$C$27</f>
        <v>3.609</v>
      </c>
      <c r="E10" s="56">
        <f>'Comparação Planners'!$D$27</f>
        <v>31.9301</v>
      </c>
      <c r="F10" s="56">
        <f>'Comparação Planners'!$E$27</f>
        <v>35.5391</v>
      </c>
      <c r="G10" s="56">
        <f>'Comparação Planners'!$F$27</f>
        <v>3.7821</v>
      </c>
      <c r="H10" s="58">
        <f>'Comparação Planners'!$G$27</f>
        <v>45</v>
      </c>
      <c r="I10" s="54" t="str">
        <f>'Comparação Planners'!$H$27</f>
        <v>✓</v>
      </c>
      <c r="J10" s="60">
        <f>'Comparação Planners'!$I$27</f>
        <v>0</v>
      </c>
      <c r="L10" s="62">
        <f>'Métricas PICK_POSE'!$H$6</f>
        <v>152.1132</v>
      </c>
      <c r="M10" s="62">
        <f>'Métricas TARGET_POSE'!$H$6</f>
        <v>1.6222</v>
      </c>
      <c r="N10" s="63">
        <f>'Métricas IR_POSE TCP_CORRIGIDO'!$Z$12</f>
        <v>1.5545</v>
      </c>
      <c r="O10" s="63">
        <f>'Métricas IR_POSE TCP_CORRIGIDO'!$AB$12</f>
        <v>9.861</v>
      </c>
      <c r="P10" s="63">
        <f>'Métricas IR_POSE TCP_CORRIGIDO'!$AD$12</f>
        <v>11.4155</v>
      </c>
      <c r="Q10" s="62">
        <f>'Métricas IR_POSE TCP_CORRIGIDO'!$R$12</f>
        <v>1.23693168768531</v>
      </c>
      <c r="R10" s="63">
        <f>'Métricas TERMINAR_TAREFA'!$H$7</f>
        <v>0.0197</v>
      </c>
      <c r="S10" s="63">
        <f>'Métricas TERMINAR_TAREFA'!$J$7</f>
        <v>7.4484</v>
      </c>
      <c r="T10" s="63">
        <f>'Métricas TERMINAR_TAREFA'!$L$7</f>
        <v>7.4681</v>
      </c>
    </row>
    <row r="11" spans="1:20" ht="18" customHeight="1">
      <c r="A11" s="54">
        <v>1</v>
      </c>
      <c r="B11" s="54">
        <f>'Comparação Planners'!$A$30</f>
        <v>10</v>
      </c>
      <c r="C11" s="54" t="str">
        <f>'Comparação Planners'!$B$30</f>
        <v>RRTConnect</v>
      </c>
      <c r="D11" s="56">
        <f>'Comparação Planners'!$C$30</f>
        <v>3.651</v>
      </c>
      <c r="E11" s="56">
        <f>'Comparação Planners'!$D$30</f>
        <v>32.551</v>
      </c>
      <c r="F11" s="56">
        <f>'Comparação Planners'!$E$30</f>
        <v>36.202</v>
      </c>
      <c r="G11" s="56">
        <f>'Comparação Planners'!$F$30</f>
        <v>3.8107</v>
      </c>
      <c r="H11" s="58">
        <f>'Comparação Planners'!$G$30</f>
        <v>47</v>
      </c>
      <c r="I11" s="54" t="str">
        <f>'Comparação Planners'!$H$30</f>
        <v>✓</v>
      </c>
      <c r="J11" s="60">
        <f>'Comparação Planners'!$I$30</f>
        <v>0</v>
      </c>
      <c r="L11" s="62">
        <f>'Métricas PICK_POSE'!$T$6</f>
        <v>151.7724</v>
      </c>
      <c r="M11" s="62">
        <f>'Métricas TARGET_POSE'!$T$6</f>
        <v>1.5159</v>
      </c>
      <c r="N11" s="63">
        <f>'Métricas IR_POSE TCP_CORRIGIDO'!$Z$13</f>
        <v>1.5898</v>
      </c>
      <c r="O11" s="63">
        <f>'Métricas IR_POSE TCP_CORRIGIDO'!$AB$13</f>
        <v>11.995</v>
      </c>
      <c r="P11" s="63">
        <f>'Métricas IR_POSE TCP_CORRIGIDO'!$AD$13</f>
        <v>13.5848</v>
      </c>
      <c r="Q11" s="62">
        <f>'Métricas IR_POSE TCP_CORRIGIDO'!$R$13</f>
        <v>1.10453610171865</v>
      </c>
      <c r="R11" s="63">
        <f>'Métricas TERMINAR_TAREFA'!$Y$7</f>
        <v>0.0252</v>
      </c>
      <c r="S11" s="63">
        <f>'Métricas TERMINAR_TAREFA'!$AA$7</f>
        <v>8.2485</v>
      </c>
      <c r="T11" s="63">
        <f>'Métricas TERMINAR_TAREFA'!$AC$7</f>
        <v>8.2737</v>
      </c>
    </row>
    <row r="12" spans="1:20" ht="18" customHeight="1">
      <c r="A12" s="54">
        <v>2</v>
      </c>
      <c r="B12" s="54">
        <f>'Comparação Planners'!$R$3</f>
        <v>1</v>
      </c>
      <c r="C12" s="54" t="str">
        <f>'Comparação Planners'!$S$3</f>
        <v>RRTConnect</v>
      </c>
      <c r="D12" s="56">
        <f>'Comparação Planners'!$T$3</f>
        <v>4.422</v>
      </c>
      <c r="E12" s="56">
        <f>'Comparação Planners'!$U$3</f>
        <v>27.286</v>
      </c>
      <c r="F12" s="56">
        <f>'Comparação Planners'!$V$3</f>
        <v>31.708</v>
      </c>
      <c r="G12" s="56">
        <f>'Comparação Planners'!$W$3</f>
        <v>3.502</v>
      </c>
      <c r="H12" s="58">
        <f>'Comparação Planners'!$X$3</f>
        <v>48</v>
      </c>
      <c r="I12" s="54" t="str">
        <f>'Comparação Planners'!$Y$3</f>
        <v>✓</v>
      </c>
      <c r="J12" s="60">
        <f>'Comparação Planners'!$Z$3</f>
        <v>0</v>
      </c>
      <c r="L12" s="62">
        <f>'Métricas PICK_POSE'!$H$7</f>
        <v>152.9052</v>
      </c>
      <c r="M12" s="62">
        <f>'Métricas TARGET_POSE'!$H$7</f>
        <v>1.4801</v>
      </c>
      <c r="N12" s="63">
        <f>'Métricas IR_POSE TCP_CORRIGIDO'!$Z$14</f>
        <v>1.6551</v>
      </c>
      <c r="O12" s="63">
        <f>'Métricas IR_POSE TCP_CORRIGIDO'!$AB$14</f>
        <v>9.9149</v>
      </c>
      <c r="P12" s="63">
        <f>'Métricas IR_POSE TCP_CORRIGIDO'!$AD$14</f>
        <v>11.57</v>
      </c>
      <c r="Q12" s="62">
        <f>'Métricas IR_POSE TCP_CORRIGIDO'!$R$14</f>
        <v>0.640312423743327</v>
      </c>
      <c r="R12" s="63">
        <f>'Métricas TERMINAR_TAREFA'!$H$8</f>
        <v>0.0306</v>
      </c>
      <c r="S12" s="63">
        <f>'Métricas TERMINAR_TAREFA'!$J$8</f>
        <v>7.4022</v>
      </c>
      <c r="T12" s="63">
        <f>'Métricas TERMINAR_TAREFA'!$L$8</f>
        <v>7.4328</v>
      </c>
    </row>
    <row r="13" spans="1:20" ht="18" customHeight="1">
      <c r="A13" s="54">
        <v>2</v>
      </c>
      <c r="B13" s="54">
        <f>'Comparação Planners'!$R$6</f>
        <v>2</v>
      </c>
      <c r="C13" s="54" t="str">
        <f>'Comparação Planners'!$S$6</f>
        <v>RRTConnect</v>
      </c>
      <c r="D13" s="56">
        <f>'Comparação Planners'!$T$6</f>
        <v>3.955</v>
      </c>
      <c r="E13" s="56">
        <f>'Comparação Planners'!$U$6</f>
        <v>26.108</v>
      </c>
      <c r="F13" s="56">
        <f>'Comparação Planners'!$V$6</f>
        <v>30.063</v>
      </c>
      <c r="G13" s="56">
        <f>'Comparação Planners'!$W$6</f>
        <v>3.3711</v>
      </c>
      <c r="H13" s="58">
        <f>'Comparação Planners'!$X$6</f>
        <v>44</v>
      </c>
      <c r="I13" s="54" t="str">
        <f>'Comparação Planners'!$Y$6</f>
        <v>✓</v>
      </c>
      <c r="J13" s="60">
        <f>'Comparação Planners'!$Z$6</f>
        <v>0</v>
      </c>
      <c r="L13" s="62">
        <f>'Métricas PICK_POSE'!$T$7</f>
        <v>152.6575</v>
      </c>
      <c r="M13" s="62">
        <f>'Métricas TARGET_POSE'!$T$7</f>
        <v>1.802</v>
      </c>
      <c r="N13" s="63">
        <f>'Métricas IR_POSE TCP_CORRIGIDO'!$Z$15</f>
        <v>1.5701</v>
      </c>
      <c r="O13" s="63">
        <f>'Métricas IR_POSE TCP_CORRIGIDO'!$AB$15</f>
        <v>9.8934</v>
      </c>
      <c r="P13" s="63">
        <f>'Métricas IR_POSE TCP_CORRIGIDO'!$AD$15</f>
        <v>11.4635</v>
      </c>
      <c r="Q13" s="62">
        <f>'Métricas IR_POSE TCP_CORRIGIDO'!$R$15</f>
        <v>0.866025403784375</v>
      </c>
      <c r="R13" s="63">
        <f>'Métricas TERMINAR_TAREFA'!$Y$8</f>
        <v>0.0265</v>
      </c>
      <c r="S13" s="63">
        <f>'Métricas TERMINAR_TAREFA'!$AA$8</f>
        <v>8.2768</v>
      </c>
      <c r="T13" s="63">
        <f>'Métricas TERMINAR_TAREFA'!$AC$8</f>
        <v>8.3033</v>
      </c>
    </row>
    <row r="14" spans="1:20" ht="18" customHeight="1">
      <c r="A14" s="54">
        <v>2</v>
      </c>
      <c r="B14" s="54">
        <f>'Comparação Planners'!$R$9</f>
        <v>3</v>
      </c>
      <c r="C14" s="54" t="str">
        <f>'Comparação Planners'!$S$9</f>
        <v>RRTConnect</v>
      </c>
      <c r="D14" s="56">
        <f>'Comparação Planners'!$T$9</f>
        <v>3.763</v>
      </c>
      <c r="E14" s="56">
        <f>'Comparação Planners'!$U$9</f>
        <v>26.034</v>
      </c>
      <c r="F14" s="56">
        <f>'Comparação Planners'!$V$9</f>
        <v>29.797</v>
      </c>
      <c r="G14" s="56">
        <f>'Comparação Planners'!$W$9</f>
        <v>3.7643</v>
      </c>
      <c r="H14" s="58">
        <f>'Comparação Planners'!$X$9</f>
        <v>42</v>
      </c>
      <c r="I14" s="54" t="str">
        <f>'Comparação Planners'!$Y$9</f>
        <v>✓</v>
      </c>
      <c r="J14" s="60">
        <f>'Comparação Planners'!$Z$9</f>
        <v>0</v>
      </c>
      <c r="L14" s="62">
        <f>'Métricas PICK_POSE'!$H$8</f>
        <v>152.6349</v>
      </c>
      <c r="M14" s="62">
        <f>'Métricas TARGET_POSE'!$H$8</f>
        <v>1.6222</v>
      </c>
      <c r="N14" s="63">
        <f>'Métricas IR_POSE TCP_CORRIGIDO'!$Z$16</f>
        <v>1.5973</v>
      </c>
      <c r="O14" s="63">
        <f>'Métricas IR_POSE TCP_CORRIGIDO'!$AB$16</f>
        <v>11.5479</v>
      </c>
      <c r="P14" s="63">
        <f>'Métricas IR_POSE TCP_CORRIGIDO'!$AD$16</f>
        <v>13.1452</v>
      </c>
      <c r="Q14" s="62">
        <f>'Métricas IR_POSE TCP_CORRIGIDO'!$R$16</f>
        <v>0.608276253029755</v>
      </c>
      <c r="R14" s="63">
        <f>'Métricas TERMINAR_TAREFA'!$H$9</f>
        <v>0.5479</v>
      </c>
      <c r="S14" s="63">
        <f>'Métricas TERMINAR_TAREFA'!$J$9</f>
        <v>6.8461</v>
      </c>
      <c r="T14" s="63">
        <f>'Métricas TERMINAR_TAREFA'!$L$9</f>
        <v>7.394</v>
      </c>
    </row>
    <row r="15" spans="1:20" ht="18" customHeight="1">
      <c r="A15" s="54">
        <v>2</v>
      </c>
      <c r="B15" s="54">
        <f>'Comparação Planners'!$R$12</f>
        <v>4</v>
      </c>
      <c r="C15" s="54" t="str">
        <f>'Comparação Planners'!$S$12</f>
        <v>RRTConnect</v>
      </c>
      <c r="D15" s="56">
        <f>'Comparação Planners'!$T$12</f>
        <v>4.256</v>
      </c>
      <c r="E15" s="56">
        <f>'Comparação Planners'!$U$12</f>
        <v>26.673</v>
      </c>
      <c r="F15" s="56">
        <f>'Comparação Planners'!$V$12</f>
        <v>30.929</v>
      </c>
      <c r="G15" s="56">
        <f>'Comparação Planners'!$W$12</f>
        <v>3.9798</v>
      </c>
      <c r="H15" s="58">
        <f>'Comparação Planners'!$X$12</f>
        <v>47</v>
      </c>
      <c r="I15" s="54" t="str">
        <f>'Comparação Planners'!$Y$12</f>
        <v>✓</v>
      </c>
      <c r="J15" s="60">
        <f>'Comparação Planners'!$Z$12</f>
        <v>0</v>
      </c>
      <c r="L15" s="62">
        <f>'Métricas PICK_POSE'!$T$8</f>
        <v>151.5257</v>
      </c>
      <c r="M15" s="62">
        <f>'Métricas TARGET_POSE'!$T$8</f>
        <v>1.934</v>
      </c>
      <c r="N15" s="63">
        <f>'Métricas IR_POSE TCP_CORRIGIDO'!$Z$17</f>
        <v>1.5996</v>
      </c>
      <c r="O15" s="63">
        <f>'Métricas IR_POSE TCP_CORRIGIDO'!$AB$17</f>
        <v>12.2468</v>
      </c>
      <c r="P15" s="63">
        <f>'Métricas IR_POSE TCP_CORRIGIDO'!$AD$17</f>
        <v>13.8464</v>
      </c>
      <c r="Q15" s="62">
        <f>'Métricas IR_POSE TCP_CORRIGIDO'!$R$17</f>
        <v>0.574456264653778</v>
      </c>
      <c r="R15" s="63">
        <f>'Métricas TERMINAR_TAREFA'!$Y$9</f>
        <v>0.5529</v>
      </c>
      <c r="S15" s="63">
        <f>'Métricas TERMINAR_TAREFA'!$AA$9</f>
        <v>7.5916</v>
      </c>
      <c r="T15" s="63">
        <f>'Métricas TERMINAR_TAREFA'!$AC$9</f>
        <v>8.1445</v>
      </c>
    </row>
    <row r="16" spans="1:20" ht="18" customHeight="1">
      <c r="A16" s="54">
        <v>2</v>
      </c>
      <c r="B16" s="54">
        <f>'Comparação Planners'!$R$15</f>
        <v>5</v>
      </c>
      <c r="C16" s="54" t="str">
        <f>'Comparação Planners'!$S$15</f>
        <v>RRTConnect</v>
      </c>
      <c r="D16" s="56">
        <f>'Comparação Planners'!$T$15</f>
        <v>3.823</v>
      </c>
      <c r="E16" s="56">
        <f>'Comparação Planners'!$U$15</f>
        <v>28.815</v>
      </c>
      <c r="F16" s="56">
        <f>'Comparação Planners'!$V$15</f>
        <v>32.638</v>
      </c>
      <c r="G16" s="56">
        <f>'Comparação Planners'!$W$15</f>
        <v>3.5181</v>
      </c>
      <c r="H16" s="58">
        <f>'Comparação Planners'!$X$15</f>
        <v>43</v>
      </c>
      <c r="I16" s="54" t="str">
        <f>'Comparação Planners'!$Y$15</f>
        <v>✓</v>
      </c>
      <c r="J16" s="60">
        <f>'Comparação Planners'!$Z$15</f>
        <v>0</v>
      </c>
      <c r="L16" s="62">
        <f>'Métricas PICK_POSE'!$H$9</f>
        <v>156.9684</v>
      </c>
      <c r="M16" s="62">
        <f>'Métricas TARGET_POSE'!$H$9</f>
        <v>1.4801</v>
      </c>
      <c r="N16" s="63">
        <f>'Métricas IR_POSE TCP_CORRIGIDO'!$Z$18</f>
        <v>1.4058</v>
      </c>
      <c r="O16" s="63">
        <f>'Métricas IR_POSE TCP_CORRIGIDO'!$AB$18</f>
        <v>11.3689</v>
      </c>
      <c r="P16" s="63">
        <f>'Métricas IR_POSE TCP_CORRIGIDO'!$AD$18</f>
        <v>12.7747</v>
      </c>
      <c r="Q16" s="62">
        <f>'Métricas IR_POSE TCP_CORRIGIDO'!$R$18</f>
        <v>1.24498995979886</v>
      </c>
      <c r="R16" s="63">
        <f>'Métricas TERMINAR_TAREFA'!$H$10</f>
        <v>0.0119</v>
      </c>
      <c r="S16" s="63">
        <f>'Métricas TERMINAR_TAREFA'!$J$10</f>
        <v>7.4484</v>
      </c>
      <c r="T16" s="63">
        <f>'Métricas TERMINAR_TAREFA'!$L$10</f>
        <v>7.4603</v>
      </c>
    </row>
    <row r="17" spans="1:20" ht="18" customHeight="1">
      <c r="A17" s="54">
        <v>2</v>
      </c>
      <c r="B17" s="54">
        <f>'Comparação Planners'!$R$18</f>
        <v>6</v>
      </c>
      <c r="C17" s="54" t="str">
        <f>'Comparação Planners'!$S$18</f>
        <v>RRTConnect</v>
      </c>
      <c r="D17" s="56">
        <f>'Comparação Planners'!$T$18</f>
        <v>4.454</v>
      </c>
      <c r="E17" s="56">
        <f>'Comparação Planners'!$U$18</f>
        <v>27.155</v>
      </c>
      <c r="F17" s="56">
        <f>'Comparação Planners'!$V$18</f>
        <v>31.609</v>
      </c>
      <c r="G17" s="56">
        <f>'Comparação Planners'!$W$18</f>
        <v>3.3763</v>
      </c>
      <c r="H17" s="58">
        <f>'Comparação Planners'!$X$18</f>
        <v>49</v>
      </c>
      <c r="I17" s="54" t="str">
        <f>'Comparação Planners'!$Y$18</f>
        <v>✓</v>
      </c>
      <c r="J17" s="60">
        <f>'Comparação Planners'!$Z$18</f>
        <v>0</v>
      </c>
      <c r="L17" s="62">
        <f>'Métricas PICK_POSE'!$T$9</f>
        <v>151.6747</v>
      </c>
      <c r="M17" s="62">
        <f>'Métricas TARGET_POSE'!$T$9</f>
        <v>1.9865</v>
      </c>
      <c r="N17" s="63">
        <f>'Métricas IR_POSE TCP_CORRIGIDO'!$Z$19</f>
        <v>1.5865</v>
      </c>
      <c r="O17" s="63">
        <f>'Métricas IR_POSE TCP_CORRIGIDO'!$AB$19</f>
        <v>12.7278</v>
      </c>
      <c r="P17" s="63">
        <f>'Métricas IR_POSE TCP_CORRIGIDO'!$AD$19</f>
        <v>14.3143</v>
      </c>
      <c r="Q17" s="62">
        <f>'Métricas IR_POSE TCP_CORRIGIDO'!$R$19</f>
        <v>1.27279220613576</v>
      </c>
      <c r="R17" s="63">
        <f>'Métricas TERMINAR_TAREFA'!$Y$10</f>
        <v>0.0228</v>
      </c>
      <c r="S17" s="63">
        <f>'Métricas TERMINAR_TAREFA'!$AA$10</f>
        <v>7.3618</v>
      </c>
      <c r="T17" s="63">
        <f>'Métricas TERMINAR_TAREFA'!$AC$10</f>
        <v>7.3846</v>
      </c>
    </row>
    <row r="18" spans="1:20" ht="18" customHeight="1">
      <c r="A18" s="54">
        <v>2</v>
      </c>
      <c r="B18" s="54">
        <f>'Comparação Planners'!$R$21</f>
        <v>7</v>
      </c>
      <c r="C18" s="54" t="str">
        <f>'Comparação Planners'!$S$21</f>
        <v>RRTConnect</v>
      </c>
      <c r="D18" s="56">
        <f>'Comparação Planners'!$T$21</f>
        <v>3.911</v>
      </c>
      <c r="E18" s="56">
        <f>'Comparação Planners'!$U$21</f>
        <v>26.244</v>
      </c>
      <c r="F18" s="56">
        <f>'Comparação Planners'!$V$21</f>
        <v>30.155</v>
      </c>
      <c r="G18" s="56">
        <f>'Comparação Planners'!$W$21</f>
        <v>3.6487</v>
      </c>
      <c r="H18" s="58">
        <f>'Comparação Planners'!$X$21</f>
        <v>44</v>
      </c>
      <c r="I18" s="54" t="str">
        <f>'Comparação Planners'!$Y$21</f>
        <v>✓</v>
      </c>
      <c r="J18" s="60">
        <f>'Comparação Planners'!$Z$21</f>
        <v>0</v>
      </c>
      <c r="L18" s="62">
        <f>'Métricas PICK_POSE'!$H$10</f>
        <v>151.895</v>
      </c>
      <c r="M18" s="62">
        <f>'Métricas TARGET_POSE'!$H$10</f>
        <v>1.8461</v>
      </c>
      <c r="N18" s="63">
        <f>'Métricas IR_POSE TCP_CORRIGIDO'!$Z$20</f>
        <v>1.547</v>
      </c>
      <c r="O18" s="63">
        <f>'Métricas IR_POSE TCP_CORRIGIDO'!$AB$20</f>
        <v>10.1669</v>
      </c>
      <c r="P18" s="63">
        <f>'Métricas IR_POSE TCP_CORRIGIDO'!$AD$20</f>
        <v>11.7139</v>
      </c>
      <c r="Q18" s="62">
        <f>'Métricas IR_POSE TCP_CORRIGIDO'!$R$20</f>
        <v>0.905538513813752</v>
      </c>
      <c r="R18" s="63">
        <f>'Métricas TERMINAR_TAREFA'!$H$11</f>
        <v>0.1241</v>
      </c>
      <c r="S18" s="63">
        <f>'Métricas TERMINAR_TAREFA'!$J$11</f>
        <v>6.8794</v>
      </c>
      <c r="T18" s="63">
        <f>'Métricas TERMINAR_TAREFA'!$L$11</f>
        <v>7.0035</v>
      </c>
    </row>
    <row r="19" spans="1:20" ht="18" customHeight="1">
      <c r="A19" s="54">
        <v>2</v>
      </c>
      <c r="B19" s="54">
        <f>'Comparação Planners'!$R$24</f>
        <v>8</v>
      </c>
      <c r="C19" s="54" t="str">
        <f>'Comparação Planners'!$S$24</f>
        <v>RRTConnect</v>
      </c>
      <c r="D19" s="56">
        <f>'Comparação Planners'!$T$24</f>
        <v>4.404</v>
      </c>
      <c r="E19" s="56">
        <f>'Comparação Planners'!$U$24</f>
        <v>30</v>
      </c>
      <c r="F19" s="56">
        <f>'Comparação Planners'!$V$24</f>
        <v>34.404</v>
      </c>
      <c r="G19" s="56">
        <f>'Comparação Planners'!$W$24</f>
        <v>6.6794</v>
      </c>
      <c r="H19" s="58">
        <f>'Comparação Planners'!$X$24</f>
        <v>57</v>
      </c>
      <c r="I19" s="54" t="str">
        <f>'Comparação Planners'!$Y$24</f>
        <v>✓</v>
      </c>
      <c r="J19" s="60" t="str">
        <f>'Comparação Planners'!$Z$24</f>
        <v>Replaneou</v>
      </c>
      <c r="L19" s="62">
        <f>'Métricas PICK_POSE'!$T$10</f>
        <v>151.6407</v>
      </c>
      <c r="M19" s="62">
        <f>'Métricas TARGET_POSE'!$T$10</f>
        <v>2.0471</v>
      </c>
      <c r="N19" s="63">
        <f>'Métricas IR_POSE TCP_CORRIGIDO'!$Z$21</f>
        <v>1.5343</v>
      </c>
      <c r="O19" s="63">
        <f>'Métricas IR_POSE TCP_CORRIGIDO'!$AB$21</f>
        <v>9.9817</v>
      </c>
      <c r="P19" s="63">
        <f>'Métricas IR_POSE TCP_CORRIGIDO'!$AD$21</f>
        <v>11.516</v>
      </c>
      <c r="Q19" s="62">
        <f>'Métricas IR_POSE TCP_CORRIGIDO'!$R$21</f>
        <v>1.67630546142403</v>
      </c>
      <c r="R19" s="63">
        <f>'Métricas TERMINAR_TAREFA'!$Y$11</f>
        <v>0.022</v>
      </c>
      <c r="S19" s="63">
        <f>'Métricas TERMINAR_TAREFA'!$AA$11</f>
        <v>8.2667</v>
      </c>
      <c r="T19" s="63">
        <f>'Métricas TERMINAR_TAREFA'!$AC$11</f>
        <v>8.2887</v>
      </c>
    </row>
    <row r="20" spans="1:20" ht="18" customHeight="1">
      <c r="A20" s="54">
        <v>2</v>
      </c>
      <c r="B20" s="54">
        <f>'Comparação Planners'!$R$27</f>
        <v>9</v>
      </c>
      <c r="C20" s="54" t="str">
        <f>'Comparação Planners'!$S$27</f>
        <v>RRTConnect</v>
      </c>
      <c r="D20" s="56">
        <f>'Comparação Planners'!$T$27</f>
        <v>3.757</v>
      </c>
      <c r="E20" s="56">
        <f>'Comparação Planners'!$U$27</f>
        <v>28.407</v>
      </c>
      <c r="F20" s="56">
        <f>'Comparação Planners'!$V$27</f>
        <v>32.164</v>
      </c>
      <c r="G20" s="56">
        <f>'Comparação Planners'!$W$27</f>
        <v>5.8853</v>
      </c>
      <c r="H20" s="58">
        <f>'Comparação Planners'!$X$27</f>
        <v>42</v>
      </c>
      <c r="I20" s="54" t="str">
        <f>'Comparação Planners'!$Y$27</f>
        <v>✓</v>
      </c>
      <c r="J20" s="60">
        <f>'Comparação Planners'!$Z$27</f>
        <v>0</v>
      </c>
      <c r="L20" s="62">
        <f>'Métricas PICK_POSE'!$H$11</f>
        <v>152.9899</v>
      </c>
      <c r="M20" s="62">
        <f>'Métricas TARGET_POSE'!$H$11</f>
        <v>2.6207</v>
      </c>
      <c r="N20" s="63">
        <f>'Métricas IR_POSE TCP_CORRIGIDO'!$Z$22</f>
        <v>1.4451</v>
      </c>
      <c r="O20" s="63">
        <f>'Métricas IR_POSE TCP_CORRIGIDO'!$AB$22</f>
        <v>11.4285</v>
      </c>
      <c r="P20" s="63">
        <f>'Métricas IR_POSE TCP_CORRIGIDO'!$AD$22</f>
        <v>12.8736</v>
      </c>
      <c r="Q20" s="62">
        <f>'Métricas IR_POSE TCP_CORRIGIDO'!$R$22</f>
        <v>0.927361849549579</v>
      </c>
      <c r="R20" s="63">
        <f>'Métricas TERMINAR_TAREFA'!$H$12</f>
        <v>0.0118</v>
      </c>
      <c r="S20" s="63">
        <f>'Métricas TERMINAR_TAREFA'!$J$12</f>
        <v>7.3822</v>
      </c>
      <c r="T20" s="63">
        <f>'Métricas TERMINAR_TAREFA'!$L$12</f>
        <v>7.394</v>
      </c>
    </row>
    <row r="21" spans="1:20" ht="18" customHeight="1">
      <c r="A21" s="54">
        <v>2</v>
      </c>
      <c r="B21" s="54">
        <f>'Comparação Planners'!$R$30</f>
        <v>10</v>
      </c>
      <c r="C21" s="54" t="str">
        <f>'Comparação Planners'!$S$30</f>
        <v>RRTConnect</v>
      </c>
      <c r="D21" s="56" t="str">
        <f>'Comparação Planners'!$T$30</f>
        <v>-</v>
      </c>
      <c r="E21" s="56" t="str">
        <f>'Comparação Planners'!$U$30</f>
        <v>-</v>
      </c>
      <c r="F21" s="56" t="str">
        <f>'Comparação Planners'!$V$30</f>
        <v>-</v>
      </c>
      <c r="G21" s="56" t="str">
        <f>'Comparação Planners'!$W$30</f>
        <v>-</v>
      </c>
      <c r="H21" s="58" t="str">
        <f>'Comparação Planners'!$X$30</f>
        <v>-</v>
      </c>
      <c r="I21" s="54" t="str">
        <f>'Comparação Planners'!$Y$30</f>
        <v>⮾</v>
      </c>
      <c r="J21" s="60" t="str">
        <f>'Comparação Planners'!$Z$30</f>
        <v>Não realizou o ciclo compleo J1 Torque limit value is 120</v>
      </c>
      <c r="L21" s="62">
        <f>'Métricas PICK_POSE'!$T$11</f>
        <v>152.8852</v>
      </c>
      <c r="M21" s="62">
        <f>'Métricas TARGET_POSE'!$T$11</f>
        <v>1.8716</v>
      </c>
      <c r="N21" s="63">
        <f>'Métricas IR_POSE TCP_CORRIGIDO'!$Z$23</f>
        <v>1.5247</v>
      </c>
      <c r="O21" s="63">
        <f>'Métricas IR_POSE TCP_CORRIGIDO'!$AB$23</f>
        <v>8.4219</v>
      </c>
      <c r="P21" s="63">
        <f>'Métricas IR_POSE TCP_CORRIGIDO'!$AD$23</f>
        <v>9.9466</v>
      </c>
      <c r="Q21" s="62">
        <f>'Métricas IR_POSE TCP_CORRIGIDO'!$R$23</f>
        <v>0.244948974278314</v>
      </c>
      <c r="R21" s="63">
        <f>'Métricas TERMINAR_TAREFA'!$Y$12</f>
        <v>0.021</v>
      </c>
      <c r="S21" s="63">
        <f>'Métricas TERMINAR_TAREFA'!$AA$12</f>
        <v>7.3569</v>
      </c>
      <c r="T21" s="63">
        <f>'Métricas TERMINAR_TAREFA'!$AC$12</f>
        <v>7.3779</v>
      </c>
    </row>
    <row r="22" spans="1:20" ht="18" customHeight="1">
      <c r="A22" s="54">
        <v>3</v>
      </c>
      <c r="B22" s="54">
        <f>'Comparação Planners'!$A$37</f>
        <v>1</v>
      </c>
      <c r="C22" s="54" t="str">
        <f>'Comparação Planners'!$B$37</f>
        <v>RRTConnect</v>
      </c>
      <c r="D22" s="56">
        <f>'Comparação Planners'!$C$37</f>
        <v>3.823</v>
      </c>
      <c r="E22" s="56">
        <f>'Comparação Planners'!$D$37</f>
        <v>28.129</v>
      </c>
      <c r="F22" s="56">
        <f>'Comparação Planners'!$E$37</f>
        <v>31.952</v>
      </c>
      <c r="G22" s="56">
        <f>'Comparação Planners'!$F$37</f>
        <v>4.7204</v>
      </c>
      <c r="H22" s="58">
        <f>'Comparação Planners'!$G$37</f>
        <v>42</v>
      </c>
      <c r="I22" s="54" t="str">
        <f>'Comparação Planners'!$H$37</f>
        <v>✓</v>
      </c>
      <c r="J22" s="60">
        <f>'Comparação Planners'!$I$37</f>
        <v>0</v>
      </c>
      <c r="L22" s="62">
        <f>'Métricas PICK_POSE'!$H$14</f>
        <v>151.5393</v>
      </c>
      <c r="M22" s="62">
        <f>'Métricas TARGET_POSE'!$H$12</f>
        <v>2.0251</v>
      </c>
      <c r="N22" s="63">
        <f>'Métricas IR_POSE TCP_CORRIGIDO'!$Z$27</f>
        <v>1.5642</v>
      </c>
      <c r="O22" s="63">
        <f>'Métricas IR_POSE TCP_CORRIGIDO'!$AB$27</f>
        <v>11.5302</v>
      </c>
      <c r="P22" s="63">
        <f>'Métricas IR_POSE TCP_CORRIGIDO'!$AD$27</f>
        <v>13.0944</v>
      </c>
      <c r="Q22" s="62">
        <f>'Métricas IR_POSE TCP_CORRIGIDO'!$R$27</f>
        <v>0</v>
      </c>
      <c r="R22" s="63">
        <f>'Métricas TERMINAR_TAREFA'!$H$16</f>
        <v>0.0224</v>
      </c>
      <c r="S22" s="63">
        <f>'Métricas TERMINAR_TAREFA'!$J$16</f>
        <v>8.3072</v>
      </c>
      <c r="T22" s="63">
        <f>'Métricas TERMINAR_TAREFA'!$L$16</f>
        <v>8.3296</v>
      </c>
    </row>
    <row r="23" spans="1:20" ht="18" customHeight="1">
      <c r="A23" s="54">
        <v>3</v>
      </c>
      <c r="B23" s="54">
        <f>'Comparação Planners'!$A$40</f>
        <v>2</v>
      </c>
      <c r="C23" s="54" t="str">
        <f>'Comparação Planners'!$B$40</f>
        <v>RRTConnect</v>
      </c>
      <c r="D23" s="56">
        <f>'Comparação Planners'!$C$40</f>
        <v>4.111</v>
      </c>
      <c r="E23" s="56">
        <f>'Comparação Planners'!$D$40</f>
        <v>25.981</v>
      </c>
      <c r="F23" s="56">
        <f>'Comparação Planners'!$E$40</f>
        <v>30.092</v>
      </c>
      <c r="G23" s="56">
        <f>'Comparação Planners'!$F$40</f>
        <v>3.324</v>
      </c>
      <c r="H23" s="58">
        <f>'Comparação Planners'!$G$40</f>
        <v>46</v>
      </c>
      <c r="I23" s="54" t="str">
        <f>'Comparação Planners'!$H$40</f>
        <v>✓</v>
      </c>
      <c r="J23" s="60">
        <f>'Comparação Planners'!$I$40</f>
        <v>0</v>
      </c>
      <c r="L23" s="62">
        <f>'Métricas PICK_POSE'!$T$14</f>
        <v>155.0503</v>
      </c>
      <c r="M23" s="62">
        <f>'Métricas TARGET_POSE'!$T$12</f>
        <v>2.5425</v>
      </c>
      <c r="N23" s="63">
        <f>'Métricas IR_POSE TCP_CORRIGIDO'!$Z$28</f>
        <v>1.4532</v>
      </c>
      <c r="O23" s="63">
        <f>'Métricas IR_POSE TCP_CORRIGIDO'!$AB$28</f>
        <v>12.1224</v>
      </c>
      <c r="P23" s="63">
        <f>'Métricas IR_POSE TCP_CORRIGIDO'!$AD$28</f>
        <v>13.5756</v>
      </c>
      <c r="Q23" s="62">
        <f>'Métricas IR_POSE TCP_CORRIGIDO'!$R$28</f>
        <v>1.37477270848675</v>
      </c>
      <c r="R23" s="63">
        <f>'Métricas TERMINAR_TAREFA'!$Y$16</f>
        <v>0.0115</v>
      </c>
      <c r="S23" s="63">
        <f>'Métricas TERMINAR_TAREFA'!$AA$16</f>
        <v>8.3282</v>
      </c>
      <c r="T23" s="63">
        <f>'Métricas TERMINAR_TAREFA'!$AC$16</f>
        <v>8.3397</v>
      </c>
    </row>
    <row r="24" spans="1:20" ht="18" customHeight="1">
      <c r="A24" s="54">
        <v>3</v>
      </c>
      <c r="B24" s="54">
        <f>'Comparação Planners'!$A$43</f>
        <v>3</v>
      </c>
      <c r="C24" s="54" t="str">
        <f>'Comparação Planners'!$B$43</f>
        <v>RRTConnect</v>
      </c>
      <c r="D24" s="56">
        <f>'Comparação Planners'!$C$43</f>
        <v>3.8971</v>
      </c>
      <c r="E24" s="56">
        <f>'Comparação Planners'!$D$43</f>
        <v>24.052</v>
      </c>
      <c r="F24" s="56">
        <f>'Comparação Planners'!$E$43</f>
        <v>27.9491</v>
      </c>
      <c r="G24" s="56">
        <f>'Comparação Planners'!$F$43</f>
        <v>3.0327</v>
      </c>
      <c r="H24" s="58">
        <f>'Comparação Planners'!$G$43</f>
        <v>48</v>
      </c>
      <c r="I24" s="54" t="str">
        <f>'Comparação Planners'!$H$43</f>
        <v>✓</v>
      </c>
      <c r="J24" s="60">
        <f>'Comparação Planners'!$I$43</f>
        <v>0</v>
      </c>
      <c r="L24" s="62">
        <f>'Métricas PICK_POSE'!$H$15</f>
        <v>153.4231</v>
      </c>
      <c r="M24" s="62">
        <f>'Métricas TARGET_POSE'!$H$13</f>
        <v>1.7364</v>
      </c>
      <c r="N24" s="63">
        <f>'Métricas IR_POSE TCP_CORRIGIDO'!$Z$29</f>
        <v>1.58</v>
      </c>
      <c r="O24" s="63">
        <f>'Métricas IR_POSE TCP_CORRIGIDO'!$AB$29</f>
        <v>11.5488</v>
      </c>
      <c r="P24" s="63">
        <f>'Métricas IR_POSE TCP_CORRIGIDO'!$AD$29</f>
        <v>13.1288</v>
      </c>
      <c r="Q24" s="62">
        <f>'Métricas IR_POSE TCP_CORRIGIDO'!$R$29</f>
        <v>1.07703296142688</v>
      </c>
      <c r="R24" s="63">
        <f>'Métricas TERMINAR_TAREFA'!$H$17</f>
        <v>0.0117</v>
      </c>
      <c r="S24" s="63">
        <f>'Métricas TERMINAR_TAREFA'!$J$17</f>
        <v>7.6044</v>
      </c>
      <c r="T24" s="63">
        <f>'Métricas TERMINAR_TAREFA'!$L$17</f>
        <v>7.6161</v>
      </c>
    </row>
    <row r="25" spans="1:20" ht="18" customHeight="1">
      <c r="A25" s="54">
        <v>3</v>
      </c>
      <c r="B25" s="54">
        <f>'Comparação Planners'!$A$46</f>
        <v>4</v>
      </c>
      <c r="C25" s="54" t="str">
        <f>'Comparação Planners'!$B$46</f>
        <v>RRTConnect</v>
      </c>
      <c r="D25" s="56">
        <f>'Comparação Planners'!$C$46</f>
        <v>4.123</v>
      </c>
      <c r="E25" s="56">
        <f>'Comparação Planners'!$D$46</f>
        <v>26.507</v>
      </c>
      <c r="F25" s="56">
        <f>'Comparação Planners'!$E$46</f>
        <v>30.63</v>
      </c>
      <c r="G25" s="56">
        <f>'Comparação Planners'!$F$46</f>
        <v>3.6149</v>
      </c>
      <c r="H25" s="58">
        <f>'Comparação Planners'!$G$46</f>
        <v>46</v>
      </c>
      <c r="I25" s="54" t="str">
        <f>'Comparação Planners'!$H$46</f>
        <v>✓</v>
      </c>
      <c r="J25" s="60">
        <f>'Comparação Planners'!$I$46</f>
        <v>0</v>
      </c>
      <c r="L25" s="62">
        <f>'Métricas PICK_POSE'!$T$15</f>
        <v>159.3707</v>
      </c>
      <c r="M25" s="62">
        <f>'Métricas TARGET_POSE'!$T$13</f>
        <v>2.0254</v>
      </c>
      <c r="N25" s="63">
        <f>'Métricas IR_POSE TCP_CORRIGIDO'!$Z$30</f>
        <v>1.5617</v>
      </c>
      <c r="O25" s="63">
        <f>'Métricas IR_POSE TCP_CORRIGIDO'!$AB$30</f>
        <v>10.6902</v>
      </c>
      <c r="P25" s="63">
        <f>'Métricas IR_POSE TCP_CORRIGIDO'!$AD$30</f>
        <v>12.2519</v>
      </c>
      <c r="Q25" s="62">
        <f>'Métricas IR_POSE TCP_CORRIGIDO'!$R$30</f>
        <v>0.591607978309911</v>
      </c>
      <c r="R25" s="63">
        <f>'Métricas TERMINAR_TAREFA'!$Y$17</f>
        <v>0.0327</v>
      </c>
      <c r="S25" s="63">
        <f>'Métricas TERMINAR_TAREFA'!$AA$17</f>
        <v>8.369</v>
      </c>
      <c r="T25" s="63">
        <f>'Métricas TERMINAR_TAREFA'!$AC$17</f>
        <v>8.4017</v>
      </c>
    </row>
    <row r="26" spans="1:20" ht="18" customHeight="1">
      <c r="A26" s="54">
        <v>3</v>
      </c>
      <c r="B26" s="54">
        <f>'Comparação Planners'!$A$49</f>
        <v>5</v>
      </c>
      <c r="C26" s="54" t="str">
        <f>'Comparação Planners'!$B$49</f>
        <v>RRTConnect</v>
      </c>
      <c r="D26" s="56">
        <f>'Comparação Planners'!$C$49</f>
        <v>3.761</v>
      </c>
      <c r="E26" s="56">
        <f>'Comparação Planners'!$D$49</f>
        <v>25.851</v>
      </c>
      <c r="F26" s="56">
        <f>'Comparação Planners'!$E$49</f>
        <v>29.612</v>
      </c>
      <c r="G26" s="56">
        <f>'Comparação Planners'!$F$49</f>
        <v>3.4945</v>
      </c>
      <c r="H26" s="58">
        <f>'Comparação Planners'!$G$49</f>
        <v>42</v>
      </c>
      <c r="I26" s="54" t="str">
        <f>'Comparação Planners'!$H$49</f>
        <v>✓</v>
      </c>
      <c r="J26" s="60">
        <f>'Comparação Planners'!$I$49</f>
        <v>0</v>
      </c>
      <c r="L26" s="62">
        <f>'Métricas PICK_POSE'!$H$16</f>
        <v>156.8539</v>
      </c>
      <c r="M26" s="62">
        <f>'Métricas TARGET_POSE'!$H$14</f>
        <v>1.4384</v>
      </c>
      <c r="N26" s="63">
        <f>'Métricas IR_POSE TCP_CORRIGIDO'!$Z$31</f>
        <v>1.5599</v>
      </c>
      <c r="O26" s="63">
        <f>'Métricas IR_POSE TCP_CORRIGIDO'!$AB$31</f>
        <v>9.2665</v>
      </c>
      <c r="P26" s="63">
        <f>'Métricas IR_POSE TCP_CORRIGIDO'!$AD$31</f>
        <v>10.8264</v>
      </c>
      <c r="Q26" s="62">
        <f>'Métricas IR_POSE TCP_CORRIGIDO'!$R$31</f>
        <v>1.02469507659597</v>
      </c>
      <c r="R26" s="63">
        <f>'Métricas TERMINAR_TAREFA'!$H$18</f>
        <v>0.0209</v>
      </c>
      <c r="S26" s="63">
        <f>'Métricas TERMINAR_TAREFA'!$J$18</f>
        <v>8.3764</v>
      </c>
      <c r="T26" s="63">
        <f>'Métricas TERMINAR_TAREFA'!$L$18</f>
        <v>8.3973</v>
      </c>
    </row>
    <row r="27" spans="1:20" ht="18" customHeight="1">
      <c r="A27" s="54">
        <v>3</v>
      </c>
      <c r="B27" s="54">
        <f>'Comparação Planners'!$A$52</f>
        <v>6</v>
      </c>
      <c r="C27" s="54" t="str">
        <f>'Comparação Planners'!$B$52</f>
        <v>RRTConnect</v>
      </c>
      <c r="D27" s="56">
        <f>'Comparação Planners'!$C$52</f>
        <v>4.454</v>
      </c>
      <c r="E27" s="56">
        <f>'Comparação Planners'!$D$52</f>
        <v>27.2</v>
      </c>
      <c r="F27" s="56">
        <f>'Comparação Planners'!$E$52</f>
        <v>31.654</v>
      </c>
      <c r="G27" s="56">
        <f>'Comparação Planners'!$F$52</f>
        <v>3.3783</v>
      </c>
      <c r="H27" s="58">
        <f>'Comparação Planners'!$G$52</f>
        <v>49</v>
      </c>
      <c r="I27" s="54" t="str">
        <f>'Comparação Planners'!$H$52</f>
        <v>✓</v>
      </c>
      <c r="J27" s="60">
        <f>'Comparação Planners'!$I$52</f>
        <v>0</v>
      </c>
      <c r="L27" s="62">
        <f>'Métricas PICK_POSE'!$T$16</f>
        <v>152.4816</v>
      </c>
      <c r="M27" s="62">
        <f>'Métricas TARGET_POSE'!$T$14</f>
        <v>1.9987</v>
      </c>
      <c r="N27" s="63">
        <f>'Métricas IR_POSE TCP_CORRIGIDO'!$Z$32</f>
        <v>1.5505</v>
      </c>
      <c r="O27" s="63">
        <f>'Métricas IR_POSE TCP_CORRIGIDO'!$AB$32</f>
        <v>9.8096</v>
      </c>
      <c r="P27" s="63">
        <f>'Métricas IR_POSE TCP_CORRIGIDO'!$AD$32</f>
        <v>11.3601</v>
      </c>
      <c r="Q27" s="62">
        <f>'Métricas IR_POSE TCP_CORRIGIDO'!$R$32</f>
        <v>1.04880884817016</v>
      </c>
      <c r="R27" s="63">
        <f>'Métricas TERMINAR_TAREFA'!$Y$18</f>
        <v>0.0337</v>
      </c>
      <c r="S27" s="63">
        <f>'Métricas TERMINAR_TAREFA'!$AA$18</f>
        <v>9.6621</v>
      </c>
      <c r="T27" s="63">
        <f>'Métricas TERMINAR_TAREFA'!$AC$18</f>
        <v>9.6958</v>
      </c>
    </row>
    <row r="28" spans="1:20" ht="18" customHeight="1">
      <c r="A28" s="54">
        <v>3</v>
      </c>
      <c r="B28" s="54">
        <f>'Comparação Planners'!$A$55</f>
        <v>7</v>
      </c>
      <c r="C28" s="54" t="str">
        <f>'Comparação Planners'!$B$55</f>
        <v>RRTConnect</v>
      </c>
      <c r="D28" s="56">
        <f>'Comparação Planners'!$C$55</f>
        <v>3.915</v>
      </c>
      <c r="E28" s="56">
        <f>'Comparação Planners'!$D$55</f>
        <v>25.394</v>
      </c>
      <c r="F28" s="56">
        <f>'Comparação Planners'!$E$55</f>
        <v>29.309</v>
      </c>
      <c r="G28" s="56">
        <f>'Comparação Planners'!$F$55</f>
        <v>3.5225</v>
      </c>
      <c r="H28" s="58">
        <f>'Comparação Planners'!$G$55</f>
        <v>44</v>
      </c>
      <c r="I28" s="54" t="str">
        <f>'Comparação Planners'!$H$55</f>
        <v>✓</v>
      </c>
      <c r="J28" s="60">
        <f>'Comparação Planners'!$I$55</f>
        <v>0</v>
      </c>
      <c r="L28" s="62">
        <f>'Métricas PICK_POSE'!$H$17</f>
        <v>152.025</v>
      </c>
      <c r="M28" s="62">
        <f>'Métricas TARGET_POSE'!$H$15</f>
        <v>2.0554</v>
      </c>
      <c r="N28" s="63">
        <f>'Métricas IR_POSE TCP_CORRIGIDO'!$Z$33</f>
        <v>1.5604</v>
      </c>
      <c r="O28" s="63">
        <f>'Métricas IR_POSE TCP_CORRIGIDO'!$AB$33</f>
        <v>11.5398</v>
      </c>
      <c r="P28" s="63">
        <f>'Métricas IR_POSE TCP_CORRIGIDO'!$AD$33</f>
        <v>13.1002</v>
      </c>
      <c r="Q28" s="62">
        <f>'Métricas IR_POSE TCP_CORRIGIDO'!$R$33</f>
        <v>0.948683298050466</v>
      </c>
      <c r="R28" s="63">
        <f>'Métricas TERMINAR_TAREFA'!$H$19</f>
        <v>0.0215</v>
      </c>
      <c r="S28" s="63">
        <f>'Métricas TERMINAR_TAREFA'!$J$19</f>
        <v>7.6451</v>
      </c>
      <c r="T28" s="63">
        <f>'Métricas TERMINAR_TAREFA'!$L$19</f>
        <v>7.6666</v>
      </c>
    </row>
    <row r="29" spans="1:20" ht="18" customHeight="1">
      <c r="A29" s="54">
        <v>3</v>
      </c>
      <c r="B29" s="54">
        <f>'Comparação Planners'!$A$58</f>
        <v>8</v>
      </c>
      <c r="C29" s="54" t="str">
        <f>'Comparação Planners'!$B$58</f>
        <v>RRTConnect</v>
      </c>
      <c r="D29" s="56">
        <f>'Comparação Planners'!$C$58</f>
        <v>3.775</v>
      </c>
      <c r="E29" s="56">
        <f>'Comparação Planners'!$D$58</f>
        <v>25.442</v>
      </c>
      <c r="F29" s="56">
        <f>'Comparação Planners'!$E$58</f>
        <v>29.217</v>
      </c>
      <c r="G29" s="56">
        <f>'Comparação Planners'!$F$58</f>
        <v>3.6734</v>
      </c>
      <c r="H29" s="58">
        <f>'Comparação Planners'!$G$58</f>
        <v>43</v>
      </c>
      <c r="I29" s="54" t="str">
        <f>'Comparação Planners'!$H$58</f>
        <v>✓</v>
      </c>
      <c r="J29" s="60">
        <f>'Comparação Planners'!$I$58</f>
        <v>0</v>
      </c>
      <c r="L29" s="62">
        <f>'Métricas PICK_POSE'!$T$17</f>
        <v>152.178</v>
      </c>
      <c r="M29" s="62">
        <f>'Métricas TARGET_POSE'!$T$15</f>
        <v>2.2829</v>
      </c>
      <c r="N29" s="63">
        <f>'Métricas IR_POSE TCP_CORRIGIDO'!$Z$34</f>
        <v>1.5916</v>
      </c>
      <c r="O29" s="63">
        <f>'Métricas IR_POSE TCP_CORRIGIDO'!$AB$34</f>
        <v>13.1917</v>
      </c>
      <c r="P29" s="63">
        <f>'Métricas IR_POSE TCP_CORRIGIDO'!$AD$34</f>
        <v>14.7833</v>
      </c>
      <c r="Q29" s="62">
        <f>'Métricas IR_POSE TCP_CORRIGIDO'!$R$34</f>
        <v>0.424264068711934</v>
      </c>
      <c r="R29" s="63">
        <f>'Métricas TERMINAR_TAREFA'!$Y$19</f>
        <v>0.0116</v>
      </c>
      <c r="S29" s="63">
        <f>'Métricas TERMINAR_TAREFA'!$AA$19</f>
        <v>7.5723</v>
      </c>
      <c r="T29" s="63">
        <f>'Métricas TERMINAR_TAREFA'!$AC$19</f>
        <v>7.5839</v>
      </c>
    </row>
    <row r="30" spans="1:20" ht="18" customHeight="1">
      <c r="A30" s="54">
        <v>3</v>
      </c>
      <c r="B30" s="54">
        <f>'Comparação Planners'!$A$61</f>
        <v>9</v>
      </c>
      <c r="C30" s="54" t="str">
        <f>'Comparação Planners'!$B$61</f>
        <v>RRTConnect</v>
      </c>
      <c r="D30" s="56">
        <f>'Comparação Planners'!$C$61</f>
        <v>5.829</v>
      </c>
      <c r="E30" s="56">
        <f>'Comparação Planners'!$D$61</f>
        <v>31.108</v>
      </c>
      <c r="F30" s="56">
        <f>'Comparação Planners'!$E$61</f>
        <v>36.937</v>
      </c>
      <c r="G30" s="56">
        <f>'Comparação Planners'!$F$61</f>
        <v>4.0196</v>
      </c>
      <c r="H30" s="58">
        <f>'Comparação Planners'!$G$61</f>
        <v>50</v>
      </c>
      <c r="I30" s="54" t="str">
        <f>'Comparação Planners'!$H$61</f>
        <v>✓</v>
      </c>
      <c r="J30" s="60">
        <f>'Comparação Planners'!$I$61</f>
        <v>0</v>
      </c>
      <c r="L30" s="62">
        <f>'Métricas PICK_POSE'!$H$18</f>
        <v>151.8412</v>
      </c>
      <c r="M30" s="62">
        <f>'Métricas TARGET_POSE'!$H$16</f>
        <v>2.0471</v>
      </c>
      <c r="N30" s="63">
        <f>'Métricas IR_POSE TCP_CORRIGIDO'!$Z$35</f>
        <v>1.5477</v>
      </c>
      <c r="O30" s="63">
        <f>'Métricas IR_POSE TCP_CORRIGIDO'!$AB$35</f>
        <v>11.5681</v>
      </c>
      <c r="P30" s="63">
        <f>'Métricas IR_POSE TCP_CORRIGIDO'!$AD$35</f>
        <v>13.1158</v>
      </c>
      <c r="Q30" s="62">
        <f>'Métricas IR_POSE TCP_CORRIGIDO'!$R$35</f>
        <v>0.424264068711884</v>
      </c>
      <c r="R30" s="63">
        <f>'Métricas TERMINAR_TAREFA'!$H$20</f>
        <v>0.5529</v>
      </c>
      <c r="S30" s="63">
        <f>'Métricas TERMINAR_TAREFA'!$J$20</f>
        <v>7.5318</v>
      </c>
      <c r="T30" s="63">
        <f>'Métricas TERMINAR_TAREFA'!$L$20</f>
        <v>8.0847</v>
      </c>
    </row>
    <row r="31" spans="1:20" ht="18" customHeight="1">
      <c r="A31" s="54">
        <v>3</v>
      </c>
      <c r="B31" s="54">
        <f>'Comparação Planners'!$A$64</f>
        <v>10</v>
      </c>
      <c r="C31" s="54" t="str">
        <f>'Comparação Planners'!$B$64</f>
        <v>RRTConnect</v>
      </c>
      <c r="D31" s="56">
        <f>'Comparação Planners'!$C$64</f>
        <v>4.135</v>
      </c>
      <c r="E31" s="56">
        <f>'Comparação Planners'!$D$64</f>
        <v>28.059</v>
      </c>
      <c r="F31" s="56">
        <f>'Comparação Planners'!$E$64</f>
        <v>32.194</v>
      </c>
      <c r="G31" s="56">
        <f>'Comparação Planners'!$F$64</f>
        <v>4.8765</v>
      </c>
      <c r="H31" s="58">
        <f>'Comparação Planners'!$G$64</f>
        <v>46</v>
      </c>
      <c r="I31" s="54" t="str">
        <f>'Comparação Planners'!$H$64</f>
        <v>✓</v>
      </c>
      <c r="J31" s="60">
        <f>'Comparação Planners'!$I$64</f>
        <v>0</v>
      </c>
      <c r="L31" s="62">
        <f>'Métricas PICK_POSE'!$T$18</f>
        <v>151.7432</v>
      </c>
      <c r="M31" s="62">
        <f>'Métricas TARGET_POSE'!$T$16</f>
        <v>5.5041</v>
      </c>
      <c r="N31" s="63">
        <f>'Métricas IR_POSE TCP_CORRIGIDO'!$Z$36</f>
        <v>1.5638</v>
      </c>
      <c r="O31" s="63">
        <f>'Métricas IR_POSE TCP_CORRIGIDO'!$AB$36</f>
        <v>9.8933</v>
      </c>
      <c r="P31" s="63">
        <f>'Métricas IR_POSE TCP_CORRIGIDO'!$AD$36</f>
        <v>11.4571</v>
      </c>
      <c r="Q31" s="62">
        <f>'Métricas IR_POSE TCP_CORRIGIDO'!$R$36</f>
        <v>0.435889894354058</v>
      </c>
      <c r="R31" s="63">
        <f>'Métricas TERMINAR_TAREFA'!$Y$20</f>
        <v>0.0226</v>
      </c>
      <c r="S31" s="63">
        <f>'Métricas TERMINAR_TAREFA'!$AA$20</f>
        <v>7.58</v>
      </c>
      <c r="T31" s="63">
        <f>'Métricas TERMINAR_TAREFA'!$AC$20</f>
        <v>7.6026</v>
      </c>
    </row>
    <row r="32" spans="1:20" ht="18" customHeight="1">
      <c r="A32" s="54">
        <v>4</v>
      </c>
      <c r="B32" s="54">
        <f>'Comparação Planners'!$R$37</f>
        <v>1</v>
      </c>
      <c r="C32" s="54" t="str">
        <f>'Comparação Planners'!$S$37</f>
        <v>RRTConnect</v>
      </c>
      <c r="D32" s="56">
        <f>'Comparação Planners'!$T$37</f>
        <v>4.369</v>
      </c>
      <c r="E32" s="56">
        <f>'Comparação Planners'!$U$37</f>
        <v>27.351</v>
      </c>
      <c r="F32" s="56">
        <f>'Comparação Planners'!$V$37</f>
        <v>31.72</v>
      </c>
      <c r="G32" s="56">
        <f>'Comparação Planners'!$W$37</f>
        <v>3.1366</v>
      </c>
      <c r="H32" s="58">
        <f>'Comparação Planners'!$X$37</f>
        <v>48</v>
      </c>
      <c r="I32" s="54" t="str">
        <f>'Comparação Planners'!$Y$37</f>
        <v>✓</v>
      </c>
      <c r="J32" s="60">
        <f>'Comparação Planners'!$Z$37</f>
        <v>0</v>
      </c>
      <c r="L32" s="62">
        <f>'Métricas PICK_POSE'!$H$19</f>
        <v>152.6213</v>
      </c>
      <c r="M32" s="62">
        <f>'Métricas TARGET_POSE'!$H$17</f>
        <v>1.1754</v>
      </c>
      <c r="N32" s="63">
        <f>'Métricas IR_POSE TCP_CORRIGIDO'!$Z$37</f>
        <v>1.5523</v>
      </c>
      <c r="O32" s="63">
        <f>'Métricas IR_POSE TCP_CORRIGIDO'!$AB$37</f>
        <v>11.0374</v>
      </c>
      <c r="P32" s="63">
        <f>'Métricas IR_POSE TCP_CORRIGIDO'!$AD$37</f>
        <v>12.5897</v>
      </c>
      <c r="Q32" s="62">
        <f>'Métricas IR_POSE TCP_CORRIGIDO'!$R$37</f>
        <v>0.900000000000035</v>
      </c>
      <c r="R32" s="63">
        <f>'Métricas TERMINAR_TAREFA'!$H$21</f>
        <v>0.0328</v>
      </c>
      <c r="S32" s="63">
        <f>'Métricas TERMINAR_TAREFA'!$J$21</f>
        <v>9.1212</v>
      </c>
      <c r="T32" s="63">
        <f>'Métricas TERMINAR_TAREFA'!$L$21</f>
        <v>9.154</v>
      </c>
    </row>
    <row r="33" spans="1:20" ht="18" customHeight="1">
      <c r="A33" s="54">
        <v>4</v>
      </c>
      <c r="B33" s="54">
        <f>'Comparação Planners'!$R$40</f>
        <v>2</v>
      </c>
      <c r="C33" s="54" t="str">
        <f>'Comparação Planners'!$S$40</f>
        <v>RRTConnect</v>
      </c>
      <c r="D33" s="56">
        <f>'Comparação Planners'!$T$40</f>
        <v>3.953</v>
      </c>
      <c r="E33" s="56">
        <f>'Comparação Planners'!$U$40</f>
        <v>28.986</v>
      </c>
      <c r="F33" s="56">
        <f>'Comparação Planners'!$V$40</f>
        <v>32.939</v>
      </c>
      <c r="G33" s="56">
        <f>'Comparação Planners'!$W$40</f>
        <v>3.3642</v>
      </c>
      <c r="H33" s="58">
        <f>'Comparação Planners'!$X$40</f>
        <v>44</v>
      </c>
      <c r="I33" s="54" t="str">
        <f>'Comparação Planners'!$Y$40</f>
        <v>✓</v>
      </c>
      <c r="J33" s="60">
        <f>'Comparação Planners'!$Z$40</f>
        <v>0</v>
      </c>
      <c r="L33" s="62">
        <f>'Métricas PICK_POSE'!$T$19</f>
        <v>152.6527</v>
      </c>
      <c r="M33" s="62">
        <f>'Métricas TARGET_POSE'!$T$17</f>
        <v>1.8036</v>
      </c>
      <c r="N33" s="63">
        <f>'Métricas IR_POSE TCP_CORRIGIDO'!$Z$38</f>
        <v>1.5383</v>
      </c>
      <c r="O33" s="63">
        <f>'Métricas IR_POSE TCP_CORRIGIDO'!$AB$38</f>
        <v>9.7965</v>
      </c>
      <c r="P33" s="63">
        <f>'Métricas IR_POSE TCP_CORRIGIDO'!$AD$38</f>
        <v>11.3348</v>
      </c>
      <c r="Q33" s="62">
        <f>'Métricas IR_POSE TCP_CORRIGIDO'!$R$38</f>
        <v>1.25698050899764</v>
      </c>
      <c r="R33" s="63">
        <f>'Métricas TERMINAR_TAREFA'!$Y$21</f>
        <v>0.0233</v>
      </c>
      <c r="S33" s="63">
        <f>'Métricas TERMINAR_TAREFA'!$AA$21</f>
        <v>9.7284</v>
      </c>
      <c r="T33" s="63">
        <f>'Métricas TERMINAR_TAREFA'!$AC$21</f>
        <v>9.7517</v>
      </c>
    </row>
    <row r="34" spans="1:20" ht="18" customHeight="1">
      <c r="A34" s="54">
        <v>4</v>
      </c>
      <c r="B34" s="54">
        <f>'Comparação Planners'!$R$43</f>
        <v>3</v>
      </c>
      <c r="C34" s="54" t="str">
        <f>'Comparação Planners'!$S$43</f>
        <v>RRTConnect</v>
      </c>
      <c r="D34" s="56">
        <f>'Comparação Planners'!$T$43</f>
        <v>4.251</v>
      </c>
      <c r="E34" s="56">
        <f>'Comparação Planners'!$U$43</f>
        <v>35.188</v>
      </c>
      <c r="F34" s="56">
        <f>'Comparação Planners'!$V$43</f>
        <v>39.439</v>
      </c>
      <c r="G34" s="56">
        <f>'Comparação Planners'!$W$43</f>
        <v>5.0234</v>
      </c>
      <c r="H34" s="58">
        <f>'Comparação Planners'!$X$43</f>
        <v>58</v>
      </c>
      <c r="I34" s="54" t="str">
        <f>'Comparação Planners'!$Y$43</f>
        <v>✓</v>
      </c>
      <c r="J34" s="60" t="str">
        <f>'Comparação Planners'!$Z$43</f>
        <v>Replaneou</v>
      </c>
      <c r="L34" s="62">
        <f>'Métricas PICK_POSE'!$H$20</f>
        <v>152.0646</v>
      </c>
      <c r="M34" s="62">
        <f>'Métricas TARGET_POSE'!$H$18</f>
        <v>2.0297</v>
      </c>
      <c r="N34" s="63">
        <f>'Métricas IR_POSE TCP_CORRIGIDO'!$Z$39</f>
        <v>1.5567</v>
      </c>
      <c r="O34" s="63">
        <f>'Métricas IR_POSE TCP_CORRIGIDO'!$AB$39</f>
        <v>11.5257</v>
      </c>
      <c r="P34" s="63">
        <f>'Métricas IR_POSE TCP_CORRIGIDO'!$AD$39</f>
        <v>13.0824</v>
      </c>
      <c r="Q34" s="62">
        <f>'Métricas IR_POSE TCP_CORRIGIDO'!$R$39</f>
        <v>1.63095064302999</v>
      </c>
      <c r="R34" s="63">
        <f>'Métricas TERMINAR_TAREFA'!$H$22</f>
        <v>0.0191</v>
      </c>
      <c r="S34" s="63">
        <f>'Métricas TERMINAR_TAREFA'!$J$22</f>
        <v>9.5076</v>
      </c>
      <c r="T34" s="63">
        <f>'Métricas TERMINAR_TAREFA'!$L$22</f>
        <v>9.5267</v>
      </c>
    </row>
    <row r="35" spans="1:20" ht="18" customHeight="1">
      <c r="A35" s="54">
        <v>4</v>
      </c>
      <c r="B35" s="54">
        <f>'Comparação Planners'!$R$46</f>
        <v>4</v>
      </c>
      <c r="C35" s="54" t="str">
        <f>'Comparação Planners'!$S$46</f>
        <v>RRTConnect</v>
      </c>
      <c r="D35" s="56">
        <f>'Comparação Planners'!$T$46</f>
        <v>4.068</v>
      </c>
      <c r="E35" s="56">
        <f>'Comparação Planners'!$U$46</f>
        <v>26.719</v>
      </c>
      <c r="F35" s="56">
        <f>'Comparação Planners'!$V$46</f>
        <v>30.787</v>
      </c>
      <c r="G35" s="56">
        <f>'Comparação Planners'!$W$46</f>
        <v>3.1547</v>
      </c>
      <c r="H35" s="58">
        <f>'Comparação Planners'!$X$46</f>
        <v>46</v>
      </c>
      <c r="I35" s="54" t="str">
        <f>'Comparação Planners'!$Y$46</f>
        <v>✓</v>
      </c>
      <c r="J35" s="60">
        <f>'Comparação Planners'!$Z$46</f>
        <v>0</v>
      </c>
      <c r="L35" s="62">
        <f>'Métricas PICK_POSE'!$T$20</f>
        <v>151.7746</v>
      </c>
      <c r="M35" s="62">
        <f>'Métricas TARGET_POSE'!$T$18</f>
        <v>2.0487</v>
      </c>
      <c r="N35" s="63">
        <f>'Métricas IR_POSE TCP_CORRIGIDO'!$Z$40</f>
        <v>1.6325</v>
      </c>
      <c r="O35" s="63">
        <f>'Métricas IR_POSE TCP_CORRIGIDO'!$AB$40</f>
        <v>12.0149</v>
      </c>
      <c r="P35" s="63">
        <f>'Métricas IR_POSE TCP_CORRIGIDO'!$AD$40</f>
        <v>13.6474</v>
      </c>
      <c r="Q35" s="62">
        <f>'Métricas IR_POSE TCP_CORRIGIDO'!$R$40</f>
        <v>1.15758369027902</v>
      </c>
      <c r="R35" s="63">
        <f>'Métricas TERMINAR_TAREFA'!$Y$22</f>
        <v>0.01</v>
      </c>
      <c r="S35" s="63">
        <f>'Métricas TERMINAR_TAREFA'!$AA$22</f>
        <v>9.5702</v>
      </c>
      <c r="T35" s="63">
        <f>'Métricas TERMINAR_TAREFA'!$AC$22</f>
        <v>9.5802</v>
      </c>
    </row>
    <row r="36" spans="1:20" ht="18" customHeight="1">
      <c r="A36" s="54">
        <v>4</v>
      </c>
      <c r="B36" s="54">
        <f>'Comparação Planners'!$R$49</f>
        <v>5</v>
      </c>
      <c r="C36" s="54" t="str">
        <f>'Comparação Planners'!$S$49</f>
        <v>RRTConnect</v>
      </c>
      <c r="D36" s="56">
        <f>'Comparação Planners'!$T$49</f>
        <v>4.386</v>
      </c>
      <c r="E36" s="56">
        <f>'Comparação Planners'!$U$49</f>
        <v>25.399</v>
      </c>
      <c r="F36" s="56">
        <f>'Comparação Planners'!$V$49</f>
        <v>29.785</v>
      </c>
      <c r="G36" s="56">
        <f>'Comparação Planners'!$W$49</f>
        <v>2.5962</v>
      </c>
      <c r="H36" s="58">
        <f>'Comparação Planners'!$X$49</f>
        <v>48</v>
      </c>
      <c r="I36" s="54" t="str">
        <f>'Comparação Planners'!$Y$49</f>
        <v>✓</v>
      </c>
      <c r="J36" s="60">
        <f>'Comparação Planners'!$Z$49</f>
        <v>0</v>
      </c>
      <c r="L36" s="62">
        <f>'Métricas PICK_POSE'!$H$21</f>
        <v>155.8323</v>
      </c>
      <c r="M36" s="62">
        <f>'Métricas TARGET_POSE'!$H$19</f>
        <v>1.7967</v>
      </c>
      <c r="N36" s="63">
        <f>'Métricas IR_POSE TCP_CORRIGIDO'!$Z$41</f>
        <v>1.5882</v>
      </c>
      <c r="O36" s="63">
        <f>'Métricas IR_POSE TCP_CORRIGIDO'!$AB$41</f>
        <v>9.7866</v>
      </c>
      <c r="P36" s="63">
        <f>'Métricas IR_POSE TCP_CORRIGIDO'!$AD$41</f>
        <v>11.3748</v>
      </c>
      <c r="Q36" s="62">
        <f>'Métricas IR_POSE TCP_CORRIGIDO'!$R$41</f>
        <v>1.28840987267244</v>
      </c>
      <c r="R36" s="63">
        <f>'Métricas TERMINAR_TAREFA'!$H$23</f>
        <v>0.0222</v>
      </c>
      <c r="S36" s="63">
        <f>'Métricas TERMINAR_TAREFA'!$J$23</f>
        <v>9.2193</v>
      </c>
      <c r="T36" s="63">
        <f>'Métricas TERMINAR_TAREFA'!$L$23</f>
        <v>9.2415</v>
      </c>
    </row>
    <row r="37" spans="1:20" ht="18" customHeight="1">
      <c r="A37" s="54">
        <v>4</v>
      </c>
      <c r="B37" s="54">
        <f>'Comparação Planners'!$R$52</f>
        <v>6</v>
      </c>
      <c r="C37" s="54" t="str">
        <f>'Comparação Planners'!$S$52</f>
        <v>RRTConnect</v>
      </c>
      <c r="D37" s="56">
        <f>'Comparação Planners'!$T$52</f>
        <v>4.449</v>
      </c>
      <c r="E37" s="56">
        <f>'Comparação Planners'!$U$52</f>
        <v>30.017</v>
      </c>
      <c r="F37" s="56">
        <f>'Comparação Planners'!$V$52</f>
        <v>34.466</v>
      </c>
      <c r="G37" s="56">
        <f>'Comparação Planners'!$W$52</f>
        <v>3.3782</v>
      </c>
      <c r="H37" s="58">
        <f>'Comparação Planners'!$X$52</f>
        <v>49</v>
      </c>
      <c r="I37" s="54" t="str">
        <f>'Comparação Planners'!$Y$52</f>
        <v>✓</v>
      </c>
      <c r="J37" s="60">
        <f>'Comparação Planners'!$Z$52</f>
        <v>0</v>
      </c>
      <c r="L37" s="62">
        <f>'Métricas PICK_POSE'!$T$21</f>
        <v>155.0589</v>
      </c>
      <c r="M37" s="62">
        <f>'Métricas TARGET_POSE'!$T$19</f>
        <v>1.7471</v>
      </c>
      <c r="N37" s="63">
        <f>'Métricas IR_POSE TCP_CORRIGIDO'!$Z$42</f>
        <v>1.5686</v>
      </c>
      <c r="O37" s="63">
        <f>'Métricas IR_POSE TCP_CORRIGIDO'!$AB$42</f>
        <v>14.599</v>
      </c>
      <c r="P37" s="63">
        <f>'Métricas IR_POSE TCP_CORRIGIDO'!$AD$42</f>
        <v>16.1676</v>
      </c>
      <c r="Q37" s="62">
        <f>'Métricas IR_POSE TCP_CORRIGIDO'!$R$42</f>
        <v>0.469041575982362</v>
      </c>
      <c r="R37" s="63">
        <f>'Métricas TERMINAR_TAREFA'!$Y$23</f>
        <v>0.019</v>
      </c>
      <c r="S37" s="63">
        <f>'Métricas TERMINAR_TAREFA'!$AA$23</f>
        <v>7.5536</v>
      </c>
      <c r="T37" s="63">
        <f>'Métricas TERMINAR_TAREFA'!$AC$23</f>
        <v>7.5726</v>
      </c>
    </row>
    <row r="38" spans="1:20" ht="18" customHeight="1">
      <c r="A38" s="54">
        <v>4</v>
      </c>
      <c r="B38" s="54">
        <f>'Comparação Planners'!$R$55</f>
        <v>7</v>
      </c>
      <c r="C38" s="54" t="str">
        <f>'Comparação Planners'!$S$55</f>
        <v>RRTConnect</v>
      </c>
      <c r="D38" s="56">
        <f>'Comparação Planners'!$T$55</f>
        <v>4.377</v>
      </c>
      <c r="E38" s="56">
        <f>'Comparação Planners'!$U$55</f>
        <v>29.36</v>
      </c>
      <c r="F38" s="56">
        <f>'Comparação Planners'!$V$55</f>
        <v>33.737</v>
      </c>
      <c r="G38" s="56">
        <f>'Comparação Planners'!$W$55</f>
        <v>6.9531</v>
      </c>
      <c r="H38" s="58">
        <f>'Comparação Planners'!$X$55</f>
        <v>55</v>
      </c>
      <c r="I38" s="54" t="str">
        <f>'Comparação Planners'!$Y$55</f>
        <v>✓</v>
      </c>
      <c r="J38" s="60" t="str">
        <f>'Comparação Planners'!$Z$55</f>
        <v>Replaneou</v>
      </c>
      <c r="L38" s="62">
        <f>'Métricas PICK_POSE'!$H$22</f>
        <v>151.6738</v>
      </c>
      <c r="M38" s="62">
        <f>'Métricas TARGET_POSE'!$H$20</f>
        <v>1.8663</v>
      </c>
      <c r="N38" s="63">
        <f>'Métricas IR_POSE TCP_CORRIGIDO'!$Z$43</f>
        <v>1.5572</v>
      </c>
      <c r="O38" s="63">
        <f>'Métricas IR_POSE TCP_CORRIGIDO'!$AB$43</f>
        <v>10.4919</v>
      </c>
      <c r="P38" s="63">
        <f>'Métricas IR_POSE TCP_CORRIGIDO'!$AD$43</f>
        <v>12.0491</v>
      </c>
      <c r="Q38" s="62">
        <f>'Métricas IR_POSE TCP_CORRIGIDO'!$R$43</f>
        <v>1.06301458127347</v>
      </c>
      <c r="R38" s="63">
        <f>'Métricas TERMINAR_TAREFA'!$H$24</f>
        <v>0.0315</v>
      </c>
      <c r="S38" s="63">
        <f>'Métricas TERMINAR_TAREFA'!$J$24</f>
        <v>7.6243</v>
      </c>
      <c r="T38" s="63">
        <f>'Métricas TERMINAR_TAREFA'!$L$24</f>
        <v>7.6558</v>
      </c>
    </row>
    <row r="39" spans="1:20" ht="18" customHeight="1">
      <c r="A39" s="54">
        <v>4</v>
      </c>
      <c r="B39" s="54">
        <f>'Comparação Planners'!$R$58</f>
        <v>8</v>
      </c>
      <c r="C39" s="54" t="str">
        <f>'Comparação Planners'!$S$58</f>
        <v>RRTConnect</v>
      </c>
      <c r="D39" s="56">
        <f>'Comparação Planners'!$T$58</f>
        <v>3.759</v>
      </c>
      <c r="E39" s="56">
        <f>'Comparação Planners'!$U$58</f>
        <v>26.282</v>
      </c>
      <c r="F39" s="56">
        <f>'Comparação Planners'!$V$58</f>
        <v>30.041</v>
      </c>
      <c r="G39" s="56">
        <f>'Comparação Planners'!$W$58</f>
        <v>3.8019</v>
      </c>
      <c r="H39" s="58">
        <f>'Comparação Planners'!$X$58</f>
        <v>42</v>
      </c>
      <c r="I39" s="54" t="str">
        <f>'Comparação Planners'!$Y$58</f>
        <v>✓</v>
      </c>
      <c r="J39" s="60">
        <f>'Comparação Planners'!$Z$58</f>
        <v>0</v>
      </c>
      <c r="L39" s="62">
        <f>'Métricas PICK_POSE'!$T$22</f>
        <v>152.0276</v>
      </c>
      <c r="M39" s="62">
        <f>'Métricas TARGET_POSE'!$T$20</f>
        <v>1.693</v>
      </c>
      <c r="N39" s="63">
        <f>'Métricas IR_POSE TCP_CORRIGIDO'!$Z$44</f>
        <v>1.5409</v>
      </c>
      <c r="O39" s="63">
        <f>'Métricas IR_POSE TCP_CORRIGIDO'!$AB$44</f>
        <v>9.8507</v>
      </c>
      <c r="P39" s="63">
        <f>'Métricas IR_POSE TCP_CORRIGIDO'!$AD$44</f>
        <v>11.3916</v>
      </c>
      <c r="Q39" s="62">
        <f>'Métricas IR_POSE TCP_CORRIGIDO'!$R$44</f>
        <v>0.984885780179598</v>
      </c>
      <c r="R39" s="63">
        <f>'Métricas TERMINAR_TAREFA'!$Y$24</f>
        <v>0.0195</v>
      </c>
      <c r="S39" s="63">
        <f>'Métricas TERMINAR_TAREFA'!$AA$24</f>
        <v>7.5641</v>
      </c>
      <c r="T39" s="63">
        <f>'Métricas TERMINAR_TAREFA'!$AC$24</f>
        <v>7.5836</v>
      </c>
    </row>
    <row r="40" spans="1:20" ht="18" customHeight="1">
      <c r="A40" s="54">
        <v>4</v>
      </c>
      <c r="B40" s="54">
        <f>'Comparação Planners'!$R$61</f>
        <v>9</v>
      </c>
      <c r="C40" s="54" t="str">
        <f>'Comparação Planners'!$S$61</f>
        <v>RRTConnect</v>
      </c>
      <c r="D40" s="56">
        <f>'Comparação Planners'!$T$61</f>
        <v>3.689</v>
      </c>
      <c r="E40" s="56">
        <f>'Comparação Planners'!$U$61</f>
        <v>24.957</v>
      </c>
      <c r="F40" s="56">
        <f>'Comparação Planners'!$V$61</f>
        <v>28.646</v>
      </c>
      <c r="G40" s="56">
        <f>'Comparação Planners'!$W$61</f>
        <v>3.0145</v>
      </c>
      <c r="H40" s="58">
        <f>'Comparação Planners'!$X$61</f>
        <v>39</v>
      </c>
      <c r="I40" s="54" t="str">
        <f>'Comparação Planners'!$Y$61</f>
        <v>✓</v>
      </c>
      <c r="J40" s="60">
        <f>'Comparação Planners'!$Z$61</f>
        <v>0</v>
      </c>
      <c r="L40" s="62">
        <f>'Métricas PICK_POSE'!$H$23</f>
        <v>153.3108</v>
      </c>
      <c r="M40" s="62">
        <f>'Métricas TARGET_POSE'!$H$21</f>
        <v>2.0235</v>
      </c>
      <c r="N40" s="63">
        <f>'Métricas IR_POSE TCP_CORRIGIDO'!$Z$45</f>
        <v>1.5882</v>
      </c>
      <c r="O40" s="63">
        <f>'Métricas IR_POSE TCP_CORRIGIDO'!$AB$45</f>
        <v>9.7866</v>
      </c>
      <c r="P40" s="63">
        <f>'Métricas IR_POSE TCP_CORRIGIDO'!$AD$45</f>
        <v>11.3748</v>
      </c>
      <c r="Q40" s="62">
        <f>'Métricas IR_POSE TCP_CORRIGIDO'!$R$45</f>
        <v>1.28840987267244</v>
      </c>
      <c r="R40" s="63">
        <f>'Métricas TERMINAR_TAREFA'!$H$25</f>
        <v>0.0207</v>
      </c>
      <c r="S40" s="63">
        <f>'Métricas TERMINAR_TAREFA'!$J$25</f>
        <v>9.9363</v>
      </c>
      <c r="T40" s="63">
        <f>'Métricas TERMINAR_TAREFA'!$L$25</f>
        <v>9.957</v>
      </c>
    </row>
    <row r="41" spans="1:20" ht="18" customHeight="1">
      <c r="A41" s="54">
        <v>4</v>
      </c>
      <c r="B41" s="54">
        <f>'Comparação Planners'!$R$64</f>
        <v>10</v>
      </c>
      <c r="C41" s="54" t="str">
        <f>'Comparação Planners'!$S$64</f>
        <v>RRTConnect</v>
      </c>
      <c r="D41" s="56">
        <f>'Comparação Planners'!$T$64</f>
        <v>3.003</v>
      </c>
      <c r="E41" s="56">
        <f>'Comparação Planners'!$U$64</f>
        <v>29.158</v>
      </c>
      <c r="F41" s="56">
        <f>'Comparação Planners'!$V$64</f>
        <v>32.161</v>
      </c>
      <c r="G41" s="56">
        <f>'Comparação Planners'!$W$64</f>
        <v>3.7892</v>
      </c>
      <c r="H41" s="58">
        <f>'Comparação Planners'!$X$64</f>
        <v>44</v>
      </c>
      <c r="I41" s="54" t="str">
        <f>'Comparação Planners'!$Y$64</f>
        <v>✓</v>
      </c>
      <c r="J41" s="60">
        <f>'Comparação Planners'!$Z$64</f>
        <v>0</v>
      </c>
      <c r="L41" s="62">
        <f>'Métricas PICK_POSE'!$T$23</f>
        <v>152.8051</v>
      </c>
      <c r="M41" s="62">
        <f>'Métricas TARGET_POSE'!$T$21</f>
        <v>1.9956</v>
      </c>
      <c r="N41" s="63">
        <f>'Métricas IR_POSE TCP_CORRIGIDO'!$Z$46</f>
        <v>1.5686</v>
      </c>
      <c r="O41" s="63">
        <f>'Métricas IR_POSE TCP_CORRIGIDO'!$AB$46</f>
        <v>14.599</v>
      </c>
      <c r="P41" s="63">
        <f>'Métricas IR_POSE TCP_CORRIGIDO'!$AD$46</f>
        <v>16.1676</v>
      </c>
      <c r="Q41" s="62">
        <f>'Métricas IR_POSE TCP_CORRIGIDO'!$R$46</f>
        <v>0.469041575982362</v>
      </c>
      <c r="R41" s="63">
        <f>'Métricas TERMINAR_TAREFA'!$Y$25</f>
        <v>0.0218</v>
      </c>
      <c r="S41" s="63">
        <f>'Métricas TERMINAR_TAREFA'!$AA$25</f>
        <v>8.4478</v>
      </c>
      <c r="T41" s="63">
        <f>'Métricas TERMINAR_TAREFA'!$AC$25</f>
        <v>8.4696</v>
      </c>
    </row>
    <row r="42" spans="1:20" ht="18" customHeight="1">
      <c r="A42" s="54">
        <v>5</v>
      </c>
      <c r="B42" s="54">
        <f>'Comparação Planners'!$A$70</f>
        <v>1</v>
      </c>
      <c r="C42" s="54" t="str">
        <f>'Comparação Planners'!$B$70</f>
        <v>RRTConnect</v>
      </c>
      <c r="D42" s="56">
        <f>'Comparação Planners'!$C$70</f>
        <v>3.758</v>
      </c>
      <c r="E42" s="56">
        <f>'Comparação Planners'!$D$70</f>
        <v>27.727</v>
      </c>
      <c r="F42" s="56">
        <f>'Comparação Planners'!$E$70</f>
        <v>31.485</v>
      </c>
      <c r="G42" s="56">
        <f>'Comparação Planners'!$F$70</f>
        <v>3.1012</v>
      </c>
      <c r="H42" s="58">
        <f>'Comparação Planners'!$G$70</f>
        <v>42</v>
      </c>
      <c r="I42" s="54" t="str">
        <f>'Comparação Planners'!$H$70</f>
        <v>✓</v>
      </c>
      <c r="J42" s="60">
        <f>'Comparação Planners'!$I$70</f>
        <v>0</v>
      </c>
      <c r="L42" s="62">
        <f>'Métricas PICK_POSE'!$H$26</f>
        <v>152.4751</v>
      </c>
      <c r="M42" s="62">
        <f>'Métricas TARGET_POSE'!$H$24</f>
        <v>1.8642</v>
      </c>
      <c r="N42" s="63">
        <f>'Métricas IR_POSE TCP_CORRIGIDO'!$Z$50</f>
        <v>1.5807</v>
      </c>
      <c r="O42" s="63">
        <f>'Métricas IR_POSE TCP_CORRIGIDO'!$AB$50</f>
        <v>11.02</v>
      </c>
      <c r="P42" s="63">
        <f>'Métricas IR_POSE TCP_CORRIGIDO'!$AD$50</f>
        <v>12.6007</v>
      </c>
      <c r="Q42" s="62">
        <f>'Métricas IR_POSE TCP_CORRIGIDO'!$R$50</f>
        <v>0.860232526704239</v>
      </c>
      <c r="R42" s="63">
        <f>'Métricas TERMINAR_TAREFA'!$H$29</f>
        <v>0.0319</v>
      </c>
      <c r="S42" s="63">
        <f>'Métricas TERMINAR_TAREFA'!$J$29</f>
        <v>7.4539</v>
      </c>
      <c r="T42" s="63">
        <f>'Métricas TERMINAR_TAREFA'!$L$29</f>
        <v>7.4858</v>
      </c>
    </row>
    <row r="43" spans="1:20" ht="18" customHeight="1">
      <c r="A43" s="54">
        <v>5</v>
      </c>
      <c r="B43" s="54">
        <f>'Comparação Planners'!$A$73</f>
        <v>2</v>
      </c>
      <c r="C43" s="54" t="str">
        <f>'Comparação Planners'!$B$73</f>
        <v>RRTConnect</v>
      </c>
      <c r="D43" s="56">
        <f>'Comparação Planners'!$C$73</f>
        <v>4.015</v>
      </c>
      <c r="E43" s="56">
        <f>'Comparação Planners'!$D$73</f>
        <v>23.963</v>
      </c>
      <c r="F43" s="56">
        <f>'Comparação Planners'!$E$73</f>
        <v>27.978</v>
      </c>
      <c r="G43" s="56">
        <f>'Comparação Planners'!$F$73</f>
        <v>3.2603</v>
      </c>
      <c r="H43" s="58">
        <f>'Comparação Planners'!$G$73</f>
        <v>45</v>
      </c>
      <c r="I43" s="54" t="str">
        <f>'Comparação Planners'!$H$73</f>
        <v>✓</v>
      </c>
      <c r="J43" s="60">
        <f>'Comparação Planners'!$I$73</f>
        <v>0</v>
      </c>
      <c r="L43" s="62">
        <f>'Métricas PICK_POSE'!$T$26</f>
        <v>154.0318</v>
      </c>
      <c r="M43" s="62">
        <f>'Métricas TARGET_POSE'!$T$24</f>
        <v>1.6856</v>
      </c>
      <c r="N43" s="63">
        <f>'Métricas IR_POSE TCP_CORRIGIDO'!$Z$51</f>
        <v>1.258</v>
      </c>
      <c r="O43" s="63">
        <f>'Métricas IR_POSE TCP_CORRIGIDO'!$AB$51</f>
        <v>11.6451</v>
      </c>
      <c r="P43" s="63">
        <f>'Métricas IR_POSE TCP_CORRIGIDO'!$AD$51</f>
        <v>12.9031</v>
      </c>
      <c r="Q43" s="62">
        <f>'Métricas IR_POSE TCP_CORRIGIDO'!$R$51</f>
        <v>1.66132477258363</v>
      </c>
      <c r="R43" s="63">
        <f>'Métricas TERMINAR_TAREFA'!$Y$29</f>
        <v>0.0093</v>
      </c>
      <c r="S43" s="63">
        <f>'Métricas TERMINAR_TAREFA'!$AA$29</f>
        <v>7.5004</v>
      </c>
      <c r="T43" s="63">
        <f>'Métricas TERMINAR_TAREFA'!$AC$29</f>
        <v>7.5097</v>
      </c>
    </row>
    <row r="44" spans="1:20" ht="18" customHeight="1">
      <c r="A44" s="54">
        <v>5</v>
      </c>
      <c r="B44" s="54">
        <f>'Comparação Planners'!$A$76</f>
        <v>3</v>
      </c>
      <c r="C44" s="54" t="str">
        <f>'Comparação Planners'!$B$76</f>
        <v>RRTConnect</v>
      </c>
      <c r="D44" s="56">
        <f>'Comparação Planners'!$C$76</f>
        <v>4.624</v>
      </c>
      <c r="E44" s="56">
        <f>'Comparação Planners'!$D$76</f>
        <v>29.914</v>
      </c>
      <c r="F44" s="56">
        <f>'Comparação Planners'!$E$76</f>
        <v>34.538</v>
      </c>
      <c r="G44" s="56">
        <f>'Comparação Planners'!$F$76</f>
        <v>5.0496</v>
      </c>
      <c r="H44" s="58">
        <f>'Comparação Planners'!$G$76</f>
        <v>51</v>
      </c>
      <c r="I44" s="54" t="str">
        <f>'Comparação Planners'!$H$76</f>
        <v>✓</v>
      </c>
      <c r="J44" s="60">
        <f>'Comparação Planners'!$I$76</f>
        <v>0</v>
      </c>
      <c r="L44" s="62">
        <f>'Métricas PICK_POSE'!$H$27</f>
        <v>152.5791</v>
      </c>
      <c r="M44" s="62">
        <f>'Métricas TARGET_POSE'!$H$25</f>
        <v>1.6754</v>
      </c>
      <c r="N44" s="63">
        <f>'Métricas IR_POSE TCP_CORRIGIDO'!$Z$52</f>
        <v>1.1769</v>
      </c>
      <c r="O44" s="63">
        <f>'Métricas IR_POSE TCP_CORRIGIDO'!$AB$52</f>
        <v>11.5442</v>
      </c>
      <c r="P44" s="63">
        <f>'Métricas IR_POSE TCP_CORRIGIDO'!$AD$52</f>
        <v>12.7211</v>
      </c>
      <c r="Q44" s="62">
        <f>'Métricas IR_POSE TCP_CORRIGIDO'!$R$52</f>
        <v>0.812403840463609</v>
      </c>
      <c r="R44" s="63">
        <f>'Métricas TERMINAR_TAREFA'!$H$30</f>
        <v>0.0342</v>
      </c>
      <c r="S44" s="63">
        <f>'Métricas TERMINAR_TAREFA'!$J$30</f>
        <v>7.4042</v>
      </c>
      <c r="T44" s="63">
        <f>'Métricas TERMINAR_TAREFA'!$L$30</f>
        <v>7.4384</v>
      </c>
    </row>
    <row r="45" spans="1:20" ht="18" customHeight="1">
      <c r="A45" s="54">
        <v>5</v>
      </c>
      <c r="B45" s="54">
        <f>'Comparação Planners'!$A$79</f>
        <v>4</v>
      </c>
      <c r="C45" s="54" t="str">
        <f>'Comparação Planners'!$B$79</f>
        <v>RRTConnect</v>
      </c>
      <c r="D45" s="56">
        <f>'Comparação Planners'!$C$79</f>
        <v>4.109</v>
      </c>
      <c r="E45" s="56">
        <f>'Comparação Planners'!$D$79</f>
        <v>25.409</v>
      </c>
      <c r="F45" s="56">
        <f>'Comparação Planners'!$E$79</f>
        <v>29.518</v>
      </c>
      <c r="G45" s="56">
        <f>'Comparação Planners'!$F$79</f>
        <v>3.4907</v>
      </c>
      <c r="H45" s="58">
        <f>'Comparação Planners'!$G$79</f>
        <v>46</v>
      </c>
      <c r="I45" s="54" t="str">
        <f>'Comparação Planners'!$H$79</f>
        <v>✓</v>
      </c>
      <c r="J45" s="60">
        <f>'Comparação Planners'!$I$79</f>
        <v>0</v>
      </c>
      <c r="L45" s="62">
        <f>'Métricas PICK_POSE'!$T$27</f>
        <v>151.9642</v>
      </c>
      <c r="M45" s="62">
        <f>'Métricas TARGET_POSE'!$T$25</f>
        <v>1.6775</v>
      </c>
      <c r="N45" s="63">
        <f>'Métricas IR_POSE TCP_CORRIGIDO'!$Z$53</f>
        <v>1.5627</v>
      </c>
      <c r="O45" s="63">
        <f>'Métricas IR_POSE TCP_CORRIGIDO'!$AB$53</f>
        <v>13.0431</v>
      </c>
      <c r="P45" s="63">
        <f>'Métricas IR_POSE TCP_CORRIGIDO'!$AD$53</f>
        <v>14.6058</v>
      </c>
      <c r="Q45" s="62">
        <f>'Métricas IR_POSE TCP_CORRIGIDO'!$R$53</f>
        <v>1.18321595661993</v>
      </c>
      <c r="R45" s="63">
        <f>'Métricas TERMINAR_TAREFA'!$Y$30</f>
        <v>0.0204</v>
      </c>
      <c r="S45" s="63">
        <f>'Métricas TERMINAR_TAREFA'!$AA$30</f>
        <v>7.5018</v>
      </c>
      <c r="T45" s="63">
        <f>'Métricas TERMINAR_TAREFA'!$AC$30</f>
        <v>7.5222</v>
      </c>
    </row>
    <row r="46" spans="1:20" ht="18" customHeight="1">
      <c r="A46" s="54">
        <v>5</v>
      </c>
      <c r="B46" s="54">
        <f>'Comparação Planners'!$A$82</f>
        <v>5</v>
      </c>
      <c r="C46" s="54" t="str">
        <f>'Comparação Planners'!$B$82</f>
        <v>RRTConnect</v>
      </c>
      <c r="D46" s="56">
        <f>'Comparação Planners'!$C$82</f>
        <v>3.729</v>
      </c>
      <c r="E46" s="56">
        <f>'Comparação Planners'!$D$82</f>
        <v>24.709</v>
      </c>
      <c r="F46" s="56">
        <f>'Comparação Planners'!$E$82</f>
        <v>28.438</v>
      </c>
      <c r="G46" s="56">
        <f>'Comparação Planners'!$F$82</f>
        <v>2.1951</v>
      </c>
      <c r="H46" s="58">
        <f>'Comparação Planners'!$G$82</f>
        <v>42</v>
      </c>
      <c r="I46" s="54" t="str">
        <f>'Comparação Planners'!$H$82</f>
        <v>✓</v>
      </c>
      <c r="J46" s="60">
        <f>'Comparação Planners'!$I$82</f>
        <v>0</v>
      </c>
      <c r="L46" s="62">
        <f>'Métricas PICK_POSE'!$H$28</f>
        <v>161.6621</v>
      </c>
      <c r="M46" s="62">
        <f>'Métricas TARGET_POSE'!$H$26</f>
        <v>1.7283</v>
      </c>
      <c r="N46" s="63">
        <f>'Métricas IR_POSE TCP_CORRIGIDO'!$Z$54</f>
        <v>1.5663</v>
      </c>
      <c r="O46" s="63">
        <f>'Métricas IR_POSE TCP_CORRIGIDO'!$AB$54</f>
        <v>11.0521</v>
      </c>
      <c r="P46" s="63">
        <f>'Métricas IR_POSE TCP_CORRIGIDO'!$AD$54</f>
        <v>12.6184</v>
      </c>
      <c r="Q46" s="62">
        <f>'Métricas IR_POSE TCP_CORRIGIDO'!$R$54</f>
        <v>0.860232526704262</v>
      </c>
      <c r="R46" s="63">
        <f>'Métricas TERMINAR_TAREFA'!$H$31</f>
        <v>0.0305</v>
      </c>
      <c r="S46" s="63">
        <f>'Métricas TERMINAR_TAREFA'!$J$31</f>
        <v>7.4922</v>
      </c>
      <c r="T46" s="63">
        <f>'Métricas TERMINAR_TAREFA'!$L$31</f>
        <v>7.5227</v>
      </c>
    </row>
    <row r="47" spans="1:20" ht="18" customHeight="1">
      <c r="A47" s="54">
        <v>5</v>
      </c>
      <c r="B47" s="54">
        <f>'Comparação Planners'!$A$85</f>
        <v>6</v>
      </c>
      <c r="C47" s="54" t="str">
        <f>'Comparação Planners'!$B$85</f>
        <v>RRTConnect</v>
      </c>
      <c r="D47" s="56">
        <f>'Comparação Planners'!$C$85</f>
        <v>4.452</v>
      </c>
      <c r="E47" s="56">
        <f>'Comparação Planners'!$D$85</f>
        <v>28.609</v>
      </c>
      <c r="F47" s="56">
        <f>'Comparação Planners'!$E$85</f>
        <v>33.061</v>
      </c>
      <c r="G47" s="56">
        <f>'Comparação Planners'!$F$85</f>
        <v>3.3628</v>
      </c>
      <c r="H47" s="58">
        <f>'Comparação Planners'!$G$85</f>
        <v>49</v>
      </c>
      <c r="I47" s="54" t="str">
        <f>'Comparação Planners'!$H$85</f>
        <v>✓</v>
      </c>
      <c r="J47" s="60">
        <f>'Comparação Planners'!$I$85</f>
        <v>0</v>
      </c>
      <c r="L47" s="62">
        <f>'Métricas PICK_POSE'!$T$28</f>
        <v>152.4086</v>
      </c>
      <c r="M47" s="62">
        <f>'Métricas TARGET_POSE'!$T$26</f>
        <v>1.6598</v>
      </c>
      <c r="N47" s="63">
        <f>'Métricas IR_POSE TCP_CORRIGIDO'!$Z$55</f>
        <v>1.5457</v>
      </c>
      <c r="O47" s="63">
        <f>'Métricas IR_POSE TCP_CORRIGIDO'!$AB$55</f>
        <v>8.6476</v>
      </c>
      <c r="P47" s="63">
        <f>'Métricas IR_POSE TCP_CORRIGIDO'!$AD$55</f>
        <v>10.1933</v>
      </c>
      <c r="Q47" s="62">
        <f>'Métricas IR_POSE TCP_CORRIGIDO'!$R$55</f>
        <v>0.894427190999929</v>
      </c>
      <c r="R47" s="63">
        <f>'Métricas TERMINAR_TAREFA'!$Y$31</f>
        <v>0.0211</v>
      </c>
      <c r="S47" s="63">
        <f>'Métricas TERMINAR_TAREFA'!$AA$31</f>
        <v>7.4091</v>
      </c>
      <c r="T47" s="63">
        <f>'Métricas TERMINAR_TAREFA'!$AC$31</f>
        <v>7.4302</v>
      </c>
    </row>
    <row r="48" spans="1:20" ht="18" customHeight="1">
      <c r="A48" s="54">
        <v>5</v>
      </c>
      <c r="B48" s="54">
        <f>'Comparação Planners'!$A$88</f>
        <v>7</v>
      </c>
      <c r="C48" s="54" t="str">
        <f>'Comparação Planners'!$B$88</f>
        <v>RRTConnect</v>
      </c>
      <c r="D48" s="56">
        <f>'Comparação Planners'!$C$88</f>
        <v>4.39</v>
      </c>
      <c r="E48" s="56">
        <f>'Comparação Planners'!$D$88</f>
        <v>26.654</v>
      </c>
      <c r="F48" s="56">
        <f>'Comparação Planners'!$E$88</f>
        <v>31.044</v>
      </c>
      <c r="G48" s="56">
        <f>'Comparação Planners'!$F$88</f>
        <v>6.8111</v>
      </c>
      <c r="H48" s="58">
        <f>'Comparação Planners'!$G$88</f>
        <v>55</v>
      </c>
      <c r="I48" s="54" t="str">
        <f>'Comparação Planners'!$H$88</f>
        <v>✓</v>
      </c>
      <c r="J48" s="60" t="str">
        <f>'Comparação Planners'!$I$88</f>
        <v>Replaneou</v>
      </c>
      <c r="L48" s="62">
        <f>'Métricas PICK_POSE'!$H$29</f>
        <v>156.4419</v>
      </c>
      <c r="M48" s="62">
        <f>'Métricas TARGET_POSE'!$H$27</f>
        <v>1.9629</v>
      </c>
      <c r="N48" s="63">
        <f>'Métricas IR_POSE TCP_CORRIGIDO'!$Z$56</f>
        <v>1.5542</v>
      </c>
      <c r="O48" s="63">
        <f>'Métricas IR_POSE TCP_CORRIGIDO'!$AB$56</f>
        <v>11.1117</v>
      </c>
      <c r="P48" s="63">
        <f>'Métricas IR_POSE TCP_CORRIGIDO'!$AD$56</f>
        <v>12.6659</v>
      </c>
      <c r="Q48" s="62">
        <f>'Métricas IR_POSE TCP_CORRIGIDO'!$R$56</f>
        <v>0.728010988928124</v>
      </c>
      <c r="R48" s="63">
        <f>'Métricas TERMINAR_TAREFA'!$H$32</f>
        <v>0.011</v>
      </c>
      <c r="S48" s="63">
        <f>'Métricas TERMINAR_TAREFA'!$J$32</f>
        <v>7.399</v>
      </c>
      <c r="T48" s="63">
        <f>'Métricas TERMINAR_TAREFA'!$L$32</f>
        <v>7.41</v>
      </c>
    </row>
    <row r="49" spans="1:20" ht="18" customHeight="1">
      <c r="A49" s="54">
        <v>5</v>
      </c>
      <c r="B49" s="54">
        <f>'Comparação Planners'!$A$91</f>
        <v>8</v>
      </c>
      <c r="C49" s="54" t="str">
        <f>'Comparação Planners'!$B$91</f>
        <v>RRTConnect</v>
      </c>
      <c r="D49" s="56">
        <f>'Comparação Planners'!$C$91</f>
        <v>3.852</v>
      </c>
      <c r="E49" s="56">
        <f>'Comparação Planners'!$D$91</f>
        <v>28.108</v>
      </c>
      <c r="F49" s="56">
        <f>'Comparação Planners'!$E$91</f>
        <v>31.96</v>
      </c>
      <c r="G49" s="56">
        <f>'Comparação Planners'!$F$91</f>
        <v>3.8123</v>
      </c>
      <c r="H49" s="58">
        <f>'Comparação Planners'!$G$91</f>
        <v>43</v>
      </c>
      <c r="I49" s="54" t="str">
        <f>'Comparação Planners'!$H$91</f>
        <v>✓</v>
      </c>
      <c r="J49" s="60">
        <f>'Comparação Planners'!$I$91</f>
        <v>0</v>
      </c>
      <c r="L49" s="62">
        <f>'Métricas PICK_POSE'!$T$29</f>
        <v>151.7193</v>
      </c>
      <c r="M49" s="62">
        <f>'Métricas TARGET_POSE'!$T$27</f>
        <v>1.4706</v>
      </c>
      <c r="N49" s="63">
        <f>'Métricas IR_POSE TCP_CORRIGIDO'!$Z$57</f>
        <v>1.5349</v>
      </c>
      <c r="O49" s="63">
        <f>'Métricas IR_POSE TCP_CORRIGIDO'!$AB$57</f>
        <v>8.7002</v>
      </c>
      <c r="P49" s="63">
        <f>'Métricas IR_POSE TCP_CORRIGIDO'!$AD$57</f>
        <v>10.2351</v>
      </c>
      <c r="Q49" s="62">
        <f>'Métricas IR_POSE TCP_CORRIGIDO'!$R$57</f>
        <v>1.07703296142692</v>
      </c>
      <c r="R49" s="63">
        <f>'Métricas TERMINAR_TAREFA'!$Y$32</f>
        <v>0.0238</v>
      </c>
      <c r="S49" s="63">
        <f>'Métricas TERMINAR_TAREFA'!$AA$32</f>
        <v>7.4722</v>
      </c>
      <c r="T49" s="63">
        <f>'Métricas TERMINAR_TAREFA'!$AC$32</f>
        <v>7.496</v>
      </c>
    </row>
    <row r="50" spans="1:20" ht="18" customHeight="1">
      <c r="A50" s="54">
        <v>5</v>
      </c>
      <c r="B50" s="54">
        <f>'Comparação Planners'!$A$94</f>
        <v>9</v>
      </c>
      <c r="C50" s="54" t="str">
        <f>'Comparação Planners'!$B$94</f>
        <v>RRTConnect</v>
      </c>
      <c r="D50" s="56">
        <f>'Comparação Planners'!$C$94</f>
        <v>3.656</v>
      </c>
      <c r="E50" s="56">
        <f>'Comparação Planners'!$D$94</f>
        <v>27.578</v>
      </c>
      <c r="F50" s="56">
        <f>'Comparação Planners'!$E$94</f>
        <v>31.234</v>
      </c>
      <c r="G50" s="56">
        <f>'Comparação Planners'!$F$94</f>
        <v>4.593</v>
      </c>
      <c r="H50" s="58">
        <f>'Comparação Planners'!$G$94</f>
        <v>41</v>
      </c>
      <c r="I50" s="54" t="str">
        <f>'Comparação Planners'!$H$94</f>
        <v>✓</v>
      </c>
      <c r="J50" s="60">
        <f>'Comparação Planners'!$I$94</f>
        <v>0</v>
      </c>
      <c r="L50" s="62">
        <f>'Métricas PICK_POSE'!$H$30</f>
        <v>142.0629</v>
      </c>
      <c r="M50" s="62">
        <f>'Métricas TARGET_POSE'!$H$28</f>
        <v>2.6596</v>
      </c>
      <c r="N50" s="63">
        <f>'Métricas IR_POSE TCP_CORRIGIDO'!$Z$58</f>
        <v>1.5611</v>
      </c>
      <c r="O50" s="63">
        <f>'Métricas IR_POSE TCP_CORRIGIDO'!$AB$58</f>
        <v>9.6996</v>
      </c>
      <c r="P50" s="63">
        <f>'Métricas IR_POSE TCP_CORRIGIDO'!$AD$58</f>
        <v>11.2607</v>
      </c>
      <c r="Q50" s="62">
        <f>'Métricas IR_POSE TCP_CORRIGIDO'!$R$58</f>
        <v>0.640312423743275</v>
      </c>
      <c r="R50" s="63">
        <f>'Métricas TERMINAR_TAREFA'!$H$33</f>
        <v>0.0228</v>
      </c>
      <c r="S50" s="63">
        <f>'Métricas TERMINAR_TAREFA'!$J$33</f>
        <v>7.4021</v>
      </c>
      <c r="T50" s="63">
        <f>'Métricas TERMINAR_TAREFA'!$L$33</f>
        <v>7.4249</v>
      </c>
    </row>
    <row r="51" spans="1:20" ht="18" customHeight="1">
      <c r="A51" s="54">
        <v>5</v>
      </c>
      <c r="B51" s="54">
        <f>'Comparação Planners'!$A$97</f>
        <v>10</v>
      </c>
      <c r="C51" s="54" t="str">
        <f>'Comparação Planners'!$B$97</f>
        <v>RRTConnect</v>
      </c>
      <c r="D51" s="56">
        <f>'Comparação Planners'!$C$97</f>
        <v>4.333</v>
      </c>
      <c r="E51" s="56">
        <f>'Comparação Planners'!$D$97</f>
        <v>29.613</v>
      </c>
      <c r="F51" s="56">
        <f>'Comparação Planners'!$E$97</f>
        <v>33.946</v>
      </c>
      <c r="G51" s="56">
        <f>'Comparação Planners'!$F$97</f>
        <v>3.8611</v>
      </c>
      <c r="H51" s="58">
        <f>'Comparação Planners'!$G$97</f>
        <v>48</v>
      </c>
      <c r="I51" s="54" t="str">
        <f>'Comparação Planners'!$H$97</f>
        <v>✓</v>
      </c>
      <c r="J51" s="60">
        <f>'Comparação Planners'!$I$97</f>
        <v>0</v>
      </c>
      <c r="L51" s="62">
        <f>'Métricas PICK_POSE'!$T$30</f>
        <v>156.5514</v>
      </c>
      <c r="M51" s="62">
        <f>'Métricas TARGET_POSE'!$T$28</f>
        <v>1.7114</v>
      </c>
      <c r="N51" s="63">
        <f>'Métricas IR_POSE TCP_CORRIGIDO'!$Z$59</f>
        <v>1.5188</v>
      </c>
      <c r="O51" s="63">
        <f>'Métricas IR_POSE TCP_CORRIGIDO'!$AB$59</f>
        <v>10.1548</v>
      </c>
      <c r="P51" s="63">
        <f>'Métricas IR_POSE TCP_CORRIGIDO'!$AD$59</f>
        <v>11.6736</v>
      </c>
      <c r="Q51" s="62">
        <f>'Métricas IR_POSE TCP_CORRIGIDO'!$R$59</f>
        <v>0.787400787401172</v>
      </c>
      <c r="R51" s="63">
        <f>'Métricas TERMINAR_TAREFA'!$Y$33</f>
        <v>0.0209</v>
      </c>
      <c r="S51" s="63">
        <f>'Métricas TERMINAR_TAREFA'!$AA$33</f>
        <v>10.2923</v>
      </c>
      <c r="T51" s="63">
        <f>'Métricas TERMINAR_TAREFA'!$AC$33</f>
        <v>10.3132</v>
      </c>
    </row>
    <row r="52" spans="1:20" ht="18" customHeight="1">
      <c r="A52" s="54">
        <v>1</v>
      </c>
      <c r="B52" s="54">
        <f>'Comparação Planners'!$A$3</f>
        <v>1</v>
      </c>
      <c r="C52" s="54" t="str">
        <f>'Comparação Planners'!$B$5</f>
        <v>RRTstar</v>
      </c>
      <c r="D52" s="56">
        <f>'Comparação Planners'!$C$5</f>
        <v>3.217</v>
      </c>
      <c r="E52" s="56">
        <f>'Comparação Planners'!$D$5</f>
        <v>40.022</v>
      </c>
      <c r="F52" s="56">
        <f>'Comparação Planners'!$E$5</f>
        <v>43.239</v>
      </c>
      <c r="G52" s="56">
        <f>'Comparação Planners'!$F$5</f>
        <v>3.8195</v>
      </c>
      <c r="H52" s="58">
        <f>'Comparação Planners'!$G$5</f>
        <v>37</v>
      </c>
      <c r="I52" s="54" t="str">
        <f>'Comparação Planners'!$H$5</f>
        <v>✓</v>
      </c>
      <c r="J52" s="60">
        <f>'Comparação Planners'!$I$5</f>
        <v>0</v>
      </c>
      <c r="L52" s="62">
        <f>'Métricas PICK_POSE'!$H$31</f>
        <v>151.8264</v>
      </c>
      <c r="M52" s="62">
        <f>'Métricas TARGET_POSE'!$H$29</f>
        <v>1.812</v>
      </c>
      <c r="N52" s="63">
        <f>'Métricas IR_POSE TCP_CORRIGIDO'!$Z$60</f>
        <v>1.5815</v>
      </c>
      <c r="O52" s="63">
        <f>'Métricas IR_POSE TCP_CORRIGIDO'!$AB$60</f>
        <v>11.5676</v>
      </c>
      <c r="P52" s="63">
        <f>'Métricas IR_POSE TCP_CORRIGIDO'!$AD$60</f>
        <v>13.1491</v>
      </c>
      <c r="Q52" s="62">
        <f>'Métricas IR_POSE TCP_CORRIGIDO'!$R$60</f>
        <v>0.86023252670422</v>
      </c>
      <c r="R52" s="63">
        <f>'Métricas TERMINAR_TAREFA'!$H$34</f>
        <v>0.0233</v>
      </c>
      <c r="S52" s="63">
        <f>'Métricas TERMINAR_TAREFA'!$J$34</f>
        <v>9.5233</v>
      </c>
      <c r="T52" s="63">
        <f>'Métricas TERMINAR_TAREFA'!$L$34</f>
        <v>9.5466</v>
      </c>
    </row>
    <row r="53" spans="1:20" ht="18" customHeight="1">
      <c r="A53" s="54">
        <v>1</v>
      </c>
      <c r="B53" s="54">
        <f>'Comparação Planners'!$A$6</f>
        <v>2</v>
      </c>
      <c r="C53" s="54" t="str">
        <f>'Comparação Planners'!$B$8</f>
        <v>RRTstar</v>
      </c>
      <c r="D53" s="56">
        <f>'Comparação Planners'!$C$8</f>
        <v>3.422</v>
      </c>
      <c r="E53" s="56">
        <f>'Comparação Planners'!$D$8</f>
        <v>38.858</v>
      </c>
      <c r="F53" s="56">
        <f>'Comparação Planners'!$E$8</f>
        <v>42.28</v>
      </c>
      <c r="G53" s="56">
        <f>'Comparação Planners'!$F$8</f>
        <v>3.6699</v>
      </c>
      <c r="H53" s="58">
        <f>'Comparação Planners'!$G$8</f>
        <v>39</v>
      </c>
      <c r="I53" s="54" t="str">
        <f>'Comparação Planners'!$H$8</f>
        <v>✓</v>
      </c>
      <c r="J53" s="60">
        <f>'Comparação Planners'!$I$8</f>
        <v>0</v>
      </c>
      <c r="L53" s="62">
        <f>'Métricas PICK_POSE'!$T$31</f>
        <v>152.8068</v>
      </c>
      <c r="M53" s="62">
        <f>'Métricas TARGET_POSE'!$T$29</f>
        <v>1.585</v>
      </c>
      <c r="N53" s="63">
        <f>'Métricas IR_POSE TCP_CORRIGIDO'!$Z$61</f>
        <v>1.5929</v>
      </c>
      <c r="O53" s="63">
        <f>'Métricas IR_POSE TCP_CORRIGIDO'!$AB$61</f>
        <v>12.2086</v>
      </c>
      <c r="P53" s="63">
        <f>'Métricas IR_POSE TCP_CORRIGIDO'!$AD$61</f>
        <v>13.8015</v>
      </c>
      <c r="Q53" s="62">
        <f>'Métricas IR_POSE TCP_CORRIGIDO'!$R$61</f>
        <v>0.964365076099241</v>
      </c>
      <c r="R53" s="63">
        <f>'Métricas TERMINAR_TAREFA'!$Y$34</f>
        <v>0.0231</v>
      </c>
      <c r="S53" s="63">
        <f>'Métricas TERMINAR_TAREFA'!$AA$34</f>
        <v>7.4413</v>
      </c>
      <c r="T53" s="63">
        <f>'Métricas TERMINAR_TAREFA'!$AC$34</f>
        <v>7.4644</v>
      </c>
    </row>
    <row r="54" spans="1:20" ht="18" customHeight="1">
      <c r="A54" s="54">
        <v>1</v>
      </c>
      <c r="B54" s="54">
        <f>'Comparação Planners'!$A$9</f>
        <v>3</v>
      </c>
      <c r="C54" s="54" t="str">
        <f>'Comparação Planners'!$B$11</f>
        <v>RRTstar</v>
      </c>
      <c r="D54" s="56">
        <f>'Comparação Planners'!$C$11</f>
        <v>3.267</v>
      </c>
      <c r="E54" s="56">
        <f>'Comparação Planners'!$D$11</f>
        <v>39.577</v>
      </c>
      <c r="F54" s="56">
        <f>'Comparação Planners'!$E$11</f>
        <v>42.844</v>
      </c>
      <c r="G54" s="56">
        <f>'Comparação Planners'!$F$11</f>
        <v>3.8889</v>
      </c>
      <c r="H54" s="58">
        <f>'Comparação Planners'!$G$11</f>
        <v>37</v>
      </c>
      <c r="I54" s="54" t="str">
        <f>'Comparação Planners'!$H$11</f>
        <v>✓</v>
      </c>
      <c r="J54" s="60">
        <f>'Comparação Planners'!$I$11</f>
        <v>0</v>
      </c>
      <c r="L54" s="62">
        <f>'Métricas PICK_POSE'!$H$32</f>
        <v>151.7611</v>
      </c>
      <c r="M54" s="62">
        <f>'Métricas TARGET_POSE'!$H$30</f>
        <v>1.8268</v>
      </c>
      <c r="N54" s="63">
        <f>'Métricas IR_POSE TCP_CORRIGIDO'!$Z$62</f>
        <v>1.4582</v>
      </c>
      <c r="O54" s="63">
        <f>'Métricas IR_POSE TCP_CORRIGIDO'!$AB$62</f>
        <v>10.1232</v>
      </c>
      <c r="P54" s="63">
        <f>'Métricas IR_POSE TCP_CORRIGIDO'!$AD$62</f>
        <v>11.5814</v>
      </c>
      <c r="Q54" s="62">
        <f>'Métricas IR_POSE TCP_CORRIGIDO'!$R$62</f>
        <v>1.47986485869485</v>
      </c>
      <c r="R54" s="63">
        <f>'Métricas TERMINAR_TAREFA'!$H$35</f>
        <v>0.019</v>
      </c>
      <c r="S54" s="63">
        <f>'Métricas TERMINAR_TAREFA'!$J$35</f>
        <v>7.419</v>
      </c>
      <c r="T54" s="63">
        <f>'Métricas TERMINAR_TAREFA'!$L$35</f>
        <v>7.438</v>
      </c>
    </row>
    <row r="55" spans="1:20" ht="18" customHeight="1">
      <c r="A55" s="54">
        <v>1</v>
      </c>
      <c r="B55" s="54">
        <f>'Comparação Planners'!$A$12</f>
        <v>4</v>
      </c>
      <c r="C55" s="54" t="str">
        <f>'Comparação Planners'!$B$14</f>
        <v>RRTstar</v>
      </c>
      <c r="D55" s="56">
        <f>'Comparação Planners'!$C$14</f>
        <v>3.406</v>
      </c>
      <c r="E55" s="56">
        <f>'Comparação Planners'!$D$14</f>
        <v>36.592</v>
      </c>
      <c r="F55" s="56">
        <f>'Comparação Planners'!$E$14</f>
        <v>39.998</v>
      </c>
      <c r="G55" s="56">
        <f>'Comparação Planners'!$F$14</f>
        <v>3.5102</v>
      </c>
      <c r="H55" s="58">
        <f>'Comparação Planners'!$G$14</f>
        <v>39</v>
      </c>
      <c r="I55" s="54" t="str">
        <f>'Comparação Planners'!$H$14</f>
        <v>✓</v>
      </c>
      <c r="J55" s="60">
        <f>'Comparação Planners'!$I$14</f>
        <v>0</v>
      </c>
      <c r="L55" s="62">
        <f>'Métricas PICK_POSE'!$T$32</f>
        <v>154.1982</v>
      </c>
      <c r="M55" s="62">
        <f>'Métricas TARGET_POSE'!$T$30</f>
        <v>2.09</v>
      </c>
      <c r="N55" s="63">
        <f>'Métricas IR_POSE TCP_CORRIGIDO'!$Z$63</f>
        <v>1.5836</v>
      </c>
      <c r="O55" s="63">
        <f>'Métricas IR_POSE TCP_CORRIGIDO'!$AB$63</f>
        <v>13.8545</v>
      </c>
      <c r="P55" s="63">
        <f>'Métricas IR_POSE TCP_CORRIGIDO'!$AD$63</f>
        <v>15.4381</v>
      </c>
      <c r="Q55" s="62">
        <f>'Métricas IR_POSE TCP_CORRIGIDO'!$R$63</f>
        <v>0.648074069840757</v>
      </c>
      <c r="R55" s="63">
        <f>'Métricas TERMINAR_TAREFA'!$Y$35</f>
        <v>0.0109</v>
      </c>
      <c r="S55" s="63">
        <f>'Métricas TERMINAR_TAREFA'!$AA$35</f>
        <v>7.4155</v>
      </c>
      <c r="T55" s="63">
        <f>'Métricas TERMINAR_TAREFA'!$AC$35</f>
        <v>7.4264</v>
      </c>
    </row>
    <row r="56" spans="1:20" ht="18" customHeight="1">
      <c r="A56" s="54">
        <v>1</v>
      </c>
      <c r="B56" s="54">
        <f>'Comparação Planners'!$A$15</f>
        <v>5</v>
      </c>
      <c r="C56" s="54" t="str">
        <f>'Comparação Planners'!$B$17</f>
        <v>RRTstar</v>
      </c>
      <c r="D56" s="56">
        <f>'Comparação Planners'!$C$17</f>
        <v>3.191</v>
      </c>
      <c r="E56" s="56">
        <f>'Comparação Planners'!$D$17</f>
        <v>36.89</v>
      </c>
      <c r="F56" s="56">
        <f>'Comparação Planners'!$E$17</f>
        <v>40.081</v>
      </c>
      <c r="G56" s="56">
        <f>'Comparação Planners'!$F$17</f>
        <v>3.7815</v>
      </c>
      <c r="H56" s="58">
        <f>'Comparação Planners'!$G$17</f>
        <v>37</v>
      </c>
      <c r="I56" s="54" t="str">
        <f>'Comparação Planners'!$H$17</f>
        <v>✓</v>
      </c>
      <c r="J56" s="60">
        <f>'Comparação Planners'!$I$17</f>
        <v>0</v>
      </c>
      <c r="L56" s="62">
        <f>'Métricas PICK_POSE'!$H$33</f>
        <v>152.1397</v>
      </c>
      <c r="M56" s="62">
        <f>'Métricas TARGET_POSE'!$H$31</f>
        <v>1.5857</v>
      </c>
      <c r="N56" s="63">
        <f>'Métricas IR_POSE TCP_CORRIGIDO'!$Z$64</f>
        <v>1.552</v>
      </c>
      <c r="O56" s="63">
        <f>'Métricas IR_POSE TCP_CORRIGIDO'!$AB$64</f>
        <v>10.7999</v>
      </c>
      <c r="P56" s="63">
        <f>'Métricas IR_POSE TCP_CORRIGIDO'!$AD$64</f>
        <v>12.3519</v>
      </c>
      <c r="Q56" s="62">
        <f>'Métricas IR_POSE TCP_CORRIGIDO'!$R$64</f>
        <v>0.70710678118658</v>
      </c>
      <c r="R56" s="63">
        <f>'Métricas TERMINAR_TAREFA'!$H$36</f>
        <v>0.203</v>
      </c>
      <c r="S56" s="63">
        <f>'Métricas TERMINAR_TAREFA'!$J$36</f>
        <v>7.4182</v>
      </c>
      <c r="T56" s="63">
        <f>'Métricas TERMINAR_TAREFA'!$L$36</f>
        <v>7.6212</v>
      </c>
    </row>
    <row r="57" spans="1:20" ht="18" customHeight="1">
      <c r="A57" s="54">
        <v>1</v>
      </c>
      <c r="B57" s="54">
        <f>'Comparação Planners'!$A$18</f>
        <v>6</v>
      </c>
      <c r="C57" s="54" t="str">
        <f>'Comparação Planners'!$B$20</f>
        <v>RRTstar</v>
      </c>
      <c r="D57" s="56">
        <f>'Comparação Planners'!$C$20</f>
        <v>4.064</v>
      </c>
      <c r="E57" s="56">
        <f>'Comparação Planners'!$D$20</f>
        <v>37.218</v>
      </c>
      <c r="F57" s="56">
        <f>'Comparação Planners'!$E$20</f>
        <v>41.282</v>
      </c>
      <c r="G57" s="56">
        <f>'Comparação Planners'!$F$20</f>
        <v>3.8618</v>
      </c>
      <c r="H57" s="58">
        <f>'Comparação Planners'!$G$20</f>
        <v>45</v>
      </c>
      <c r="I57" s="54" t="str">
        <f>'Comparação Planners'!$H$20</f>
        <v>✓</v>
      </c>
      <c r="J57" s="60">
        <f>'Comparação Planners'!$I$20</f>
        <v>0</v>
      </c>
      <c r="L57" s="62">
        <f>'Métricas PICK_POSE'!$T$33</f>
        <v>151.2569</v>
      </c>
      <c r="M57" s="62">
        <f>'Métricas TARGET_POSE'!$T$31</f>
        <v>2.9373</v>
      </c>
      <c r="N57" s="63">
        <f>'Métricas IR_POSE TCP_CORRIGIDO'!$Z$65</f>
        <v>1.5376</v>
      </c>
      <c r="O57" s="63">
        <f>'Métricas IR_POSE TCP_CORRIGIDO'!$AB$65</f>
        <v>8.651</v>
      </c>
      <c r="P57" s="63">
        <f>'Métricas IR_POSE TCP_CORRIGIDO'!$AD$65</f>
        <v>10.1886</v>
      </c>
      <c r="Q57" s="62">
        <f>'Métricas IR_POSE TCP_CORRIGIDO'!$R$65</f>
        <v>1.52643375224739</v>
      </c>
      <c r="R57" s="63">
        <f>'Métricas TERMINAR_TAREFA'!$Y$36</f>
        <v>0.0213</v>
      </c>
      <c r="S57" s="63">
        <f>'Métricas TERMINAR_TAREFA'!$AA$36</f>
        <v>7.5689</v>
      </c>
      <c r="T57" s="63">
        <f>'Métricas TERMINAR_TAREFA'!$AC$36</f>
        <v>7.5902</v>
      </c>
    </row>
    <row r="58" spans="1:20" ht="18" customHeight="1">
      <c r="A58" s="54">
        <v>1</v>
      </c>
      <c r="B58" s="54">
        <f>'Comparação Planners'!$A$21</f>
        <v>7</v>
      </c>
      <c r="C58" s="54" t="str">
        <f>'Comparação Planners'!$B$23</f>
        <v>RRTstar</v>
      </c>
      <c r="D58" s="56">
        <f>'Comparação Planners'!$C$23</f>
        <v>3.39</v>
      </c>
      <c r="E58" s="56">
        <f>'Comparação Planners'!$D$23</f>
        <v>37.69</v>
      </c>
      <c r="F58" s="56">
        <f>'Comparação Planners'!$E$23</f>
        <v>41.08</v>
      </c>
      <c r="G58" s="56">
        <f>'Comparação Planners'!$F$23</f>
        <v>3.9155</v>
      </c>
      <c r="H58" s="58">
        <f>'Comparação Planners'!$G$23</f>
        <v>39</v>
      </c>
      <c r="I58" s="54" t="str">
        <f>'Comparação Planners'!$H$23</f>
        <v>✓</v>
      </c>
      <c r="J58" s="60">
        <f>'Comparação Planners'!$I$23</f>
        <v>0</v>
      </c>
      <c r="L58" s="62">
        <f>'Métricas PICK_POSE'!$H$34</f>
        <v>120.0995</v>
      </c>
      <c r="M58" s="62">
        <f>'Métricas TARGET_POSE'!$H$32</f>
        <v>2.2752</v>
      </c>
      <c r="N58" s="63">
        <f>'Métricas IR_POSE TCP_CORRIGIDO'!$Z$66</f>
        <v>1.5676</v>
      </c>
      <c r="O58" s="63">
        <f>'Métricas IR_POSE TCP_CORRIGIDO'!$AB$66</f>
        <v>9.6156</v>
      </c>
      <c r="P58" s="63">
        <f>'Métricas IR_POSE TCP_CORRIGIDO'!$AD$66</f>
        <v>11.1832</v>
      </c>
      <c r="Q58" s="62">
        <f>'Métricas IR_POSE TCP_CORRIGIDO'!$R$66</f>
        <v>0.748331477354706</v>
      </c>
      <c r="R58" s="63">
        <f>'Métricas TERMINAR_TAREFA'!$H$37</f>
        <v>0.0213</v>
      </c>
      <c r="S58" s="63">
        <f>'Métricas TERMINAR_TAREFA'!$J$37</f>
        <v>7.503</v>
      </c>
      <c r="T58" s="63">
        <f>'Métricas TERMINAR_TAREFA'!$L$37</f>
        <v>7.5243</v>
      </c>
    </row>
    <row r="59" spans="1:20" ht="18" customHeight="1">
      <c r="A59" s="54">
        <v>1</v>
      </c>
      <c r="B59" s="54">
        <f>'Comparação Planners'!$A$24</f>
        <v>8</v>
      </c>
      <c r="C59" s="54" t="str">
        <f>'Comparação Planners'!$B$26</f>
        <v>RRTstar</v>
      </c>
      <c r="D59" s="56">
        <f>'Comparação Planners'!$C$26</f>
        <v>3.339</v>
      </c>
      <c r="E59" s="56">
        <f>'Comparação Planners'!$D$26</f>
        <v>38.119</v>
      </c>
      <c r="F59" s="56">
        <f>'Comparação Planners'!$E$26</f>
        <v>41.458</v>
      </c>
      <c r="G59" s="56">
        <f>'Comparação Planners'!$F$26</f>
        <v>4.0122</v>
      </c>
      <c r="H59" s="58">
        <f>'Comparação Planners'!$G$26</f>
        <v>38</v>
      </c>
      <c r="I59" s="54" t="str">
        <f>'Comparação Planners'!$H$26</f>
        <v>✓</v>
      </c>
      <c r="J59" s="60">
        <f>'Comparação Planners'!$I$26</f>
        <v>0</v>
      </c>
      <c r="L59" s="62">
        <f>'Métricas PICK_POSE'!$T$34</f>
        <v>151.9668</v>
      </c>
      <c r="M59" s="62">
        <f>'Métricas TARGET_POSE'!$T$32</f>
        <v>1.5385</v>
      </c>
      <c r="N59" s="63">
        <f>'Métricas IR_POSE TCP_CORRIGIDO'!$Z$67</f>
        <v>1.4429</v>
      </c>
      <c r="O59" s="63">
        <f>'Métricas IR_POSE TCP_CORRIGIDO'!$AB$67</f>
        <v>10.1046</v>
      </c>
      <c r="P59" s="63">
        <f>'Métricas IR_POSE TCP_CORRIGIDO'!$AD$67</f>
        <v>11.5475</v>
      </c>
      <c r="Q59" s="62">
        <f>'Métricas IR_POSE TCP_CORRIGIDO'!$R$67</f>
        <v>1.34907375632322</v>
      </c>
      <c r="R59" s="63">
        <f>'Métricas TERMINAR_TAREFA'!$Y$37</f>
        <v>0.0235</v>
      </c>
      <c r="S59" s="63">
        <f>'Métricas TERMINAR_TAREFA'!$AA$37</f>
        <v>7.4303</v>
      </c>
      <c r="T59" s="63">
        <f>'Métricas TERMINAR_TAREFA'!$AC$37</f>
        <v>7.4538</v>
      </c>
    </row>
    <row r="60" spans="1:20" ht="18" customHeight="1">
      <c r="A60" s="54">
        <v>1</v>
      </c>
      <c r="B60" s="54">
        <f>'Comparação Planners'!$A$27</f>
        <v>9</v>
      </c>
      <c r="C60" s="54" t="str">
        <f>'Comparação Planners'!$B$29</f>
        <v>RRTstar</v>
      </c>
      <c r="D60" s="56">
        <f>'Comparação Planners'!$C$29</f>
        <v>4.049</v>
      </c>
      <c r="E60" s="56">
        <f>'Comparação Planners'!$D$29</f>
        <v>38.652</v>
      </c>
      <c r="F60" s="56">
        <f>'Comparação Planners'!$E$29</f>
        <v>42.701</v>
      </c>
      <c r="G60" s="56">
        <f>'Comparação Planners'!$F$29</f>
        <v>4.2073</v>
      </c>
      <c r="H60" s="58">
        <f>'Comparação Planners'!$G$29</f>
        <v>46</v>
      </c>
      <c r="I60" s="54" t="str">
        <f>'Comparação Planners'!$H$29</f>
        <v>✓</v>
      </c>
      <c r="J60" s="60">
        <f>'Comparação Planners'!$I$29</f>
        <v>0</v>
      </c>
      <c r="L60" s="62">
        <f>'Métricas PICK_POSE'!$H$35</f>
        <v>152.0126</v>
      </c>
      <c r="M60" s="62">
        <f>'Métricas TARGET_POSE'!$H$33</f>
        <v>1.6742</v>
      </c>
      <c r="N60" s="63">
        <f>'Métricas IR_POSE TCP_CORRIGIDO'!$Z$68</f>
        <v>1.5807</v>
      </c>
      <c r="O60" s="63">
        <f>'Métricas IR_POSE TCP_CORRIGIDO'!$AB$68</f>
        <v>11.02</v>
      </c>
      <c r="P60" s="63">
        <f>'Métricas IR_POSE TCP_CORRIGIDO'!$AD$68</f>
        <v>12.6007</v>
      </c>
      <c r="Q60" s="62">
        <f>'Métricas IR_POSE TCP_CORRIGIDO'!$R$68</f>
        <v>0.860232526704239</v>
      </c>
      <c r="R60" s="63">
        <f>'Métricas TERMINAR_TAREFA'!$H$38</f>
        <v>0.0221</v>
      </c>
      <c r="S60" s="63">
        <f>'Métricas TERMINAR_TAREFA'!$J$38</f>
        <v>7.4851</v>
      </c>
      <c r="T60" s="63">
        <f>'Métricas TERMINAR_TAREFA'!$L$38</f>
        <v>7.5072</v>
      </c>
    </row>
    <row r="61" spans="1:20" ht="18" customHeight="1">
      <c r="A61" s="54">
        <v>1</v>
      </c>
      <c r="B61" s="54">
        <f>'Comparação Planners'!$A$30</f>
        <v>10</v>
      </c>
      <c r="C61" s="54" t="str">
        <f>'Comparação Planners'!$B$32</f>
        <v>RRTstar</v>
      </c>
      <c r="D61" s="56">
        <f>'Comparação Planners'!$C$32</f>
        <v>3.465</v>
      </c>
      <c r="E61" s="56">
        <f>'Comparação Planners'!$D$32</f>
        <v>36.741</v>
      </c>
      <c r="F61" s="56">
        <f>'Comparação Planners'!$E$32</f>
        <v>40.206</v>
      </c>
      <c r="G61" s="56">
        <f>'Comparação Planners'!$F$32</f>
        <v>4.0243</v>
      </c>
      <c r="H61" s="58">
        <f>'Comparação Planners'!$G$32</f>
        <v>39</v>
      </c>
      <c r="I61" s="54" t="str">
        <f>'Comparação Planners'!$H$32</f>
        <v>✓</v>
      </c>
      <c r="J61" s="60">
        <f>'Comparação Planners'!$I$32</f>
        <v>0</v>
      </c>
      <c r="L61" s="62">
        <f>'Métricas PICK_POSE'!$T$35</f>
        <v>151.8421</v>
      </c>
      <c r="M61" s="62">
        <f>'Métricas TARGET_POSE'!$T$33</f>
        <v>3.0162</v>
      </c>
      <c r="N61" s="63">
        <f>'Métricas IR_POSE TCP_CORRIGIDO'!$Z$69</f>
        <v>1.258</v>
      </c>
      <c r="O61" s="63">
        <f>'Métricas IR_POSE TCP_CORRIGIDO'!$AB$69</f>
        <v>11.6451</v>
      </c>
      <c r="P61" s="63">
        <f>'Métricas IR_POSE TCP_CORRIGIDO'!$AD$69</f>
        <v>12.9031</v>
      </c>
      <c r="Q61" s="62">
        <f>'Métricas IR_POSE TCP_CORRIGIDO'!$R$69</f>
        <v>1.66132477258363</v>
      </c>
      <c r="R61" s="63">
        <f>'Métricas TERMINAR_TAREFA'!$Y$38</f>
        <v>0.0312</v>
      </c>
      <c r="S61" s="63">
        <f>'Métricas TERMINAR_TAREFA'!$AA$38</f>
        <v>7.447</v>
      </c>
      <c r="T61" s="63">
        <f>'Métricas TERMINAR_TAREFA'!$AC$38</f>
        <v>7.4782</v>
      </c>
    </row>
    <row r="62" spans="1:20" ht="18" customHeight="1">
      <c r="A62" s="54">
        <v>2</v>
      </c>
      <c r="B62" s="54">
        <f>'Comparação Planners'!$R$3</f>
        <v>1</v>
      </c>
      <c r="C62" s="54" t="str">
        <f>'Comparação Planners'!$S$5</f>
        <v>RRTstar</v>
      </c>
      <c r="D62" s="56">
        <f>'Comparação Planners'!$T$5</f>
        <v>4.461</v>
      </c>
      <c r="E62" s="56">
        <f>'Comparação Planners'!$U$5</f>
        <v>31.473</v>
      </c>
      <c r="F62" s="56">
        <f>'Comparação Planners'!$V$5</f>
        <v>35.934</v>
      </c>
      <c r="G62" s="56">
        <f>'Comparação Planners'!$W$5</f>
        <v>7.0657</v>
      </c>
      <c r="H62" s="58">
        <f>'Comparação Planners'!$X$5</f>
        <v>58</v>
      </c>
      <c r="I62" s="54" t="str">
        <f>'Comparação Planners'!$Y$5</f>
        <v>✓</v>
      </c>
      <c r="J62" s="60" t="str">
        <f>'Comparação Planners'!$Z$5</f>
        <v>Replaneou</v>
      </c>
      <c r="L62" s="62">
        <f>'Métricas PICK_POSE'!$H$38</f>
        <v>151.8235</v>
      </c>
      <c r="M62" s="62">
        <f>'Métricas TARGET_POSE'!$H$34</f>
        <v>1.9295</v>
      </c>
      <c r="N62" s="63">
        <f>'Métricas IR_POSE TCP_CORRIGIDO'!$Z$73</f>
        <v>1.5465</v>
      </c>
      <c r="O62" s="63">
        <f>'Métricas IR_POSE TCP_CORRIGIDO'!$AB$73</f>
        <v>10.8976</v>
      </c>
      <c r="P62" s="63">
        <f>'Métricas IR_POSE TCP_CORRIGIDO'!$AD$73</f>
        <v>12.4441</v>
      </c>
      <c r="Q62" s="62">
        <f>'Métricas IR_POSE TCP_CORRIGIDO'!$R$73</f>
        <v>1.14891252930763</v>
      </c>
      <c r="R62" s="63">
        <f>'Métricas TERMINAR_TAREFA'!$H$42</f>
        <v>0.0108</v>
      </c>
      <c r="S62" s="63">
        <f>'Métricas TERMINAR_TAREFA'!$J$42</f>
        <v>8.3271</v>
      </c>
      <c r="T62" s="63">
        <f>'Métricas TERMINAR_TAREFA'!$L$42</f>
        <v>8.3379</v>
      </c>
    </row>
    <row r="63" spans="1:20" ht="18" customHeight="1">
      <c r="A63" s="54">
        <v>2</v>
      </c>
      <c r="B63" s="54">
        <f>'Comparação Planners'!$R$6</f>
        <v>2</v>
      </c>
      <c r="C63" s="54" t="str">
        <f>'Comparação Planners'!$S$8</f>
        <v>RRTstar</v>
      </c>
      <c r="D63" s="56">
        <f>'Comparação Planners'!$T$8</f>
        <v>3.5421</v>
      </c>
      <c r="E63" s="56">
        <f>'Comparação Planners'!$U$8</f>
        <v>24.7654</v>
      </c>
      <c r="F63" s="56">
        <f>'Comparação Planners'!$V$8</f>
        <v>28.3075</v>
      </c>
      <c r="G63" s="56">
        <f>'Comparação Planners'!$W$8</f>
        <v>3.1452</v>
      </c>
      <c r="H63" s="58">
        <f>'Comparação Planners'!$X$8</f>
        <v>37</v>
      </c>
      <c r="I63" s="54" t="str">
        <f>'Comparação Planners'!$Y$8</f>
        <v>✓</v>
      </c>
      <c r="J63" s="60">
        <f>'Comparação Planners'!$Z$8</f>
        <v>0</v>
      </c>
      <c r="L63" s="62">
        <f>'Métricas PICK_POSE'!$T$38</f>
        <v>151.1631</v>
      </c>
      <c r="M63" s="62">
        <f>'Métricas TARGET_POSE'!$T$34</f>
        <v>1.8439</v>
      </c>
      <c r="N63" s="63">
        <f>'Métricas IR_POSE TCP_CORRIGIDO'!$Z$74</f>
        <v>1.536</v>
      </c>
      <c r="O63" s="63">
        <f>'Métricas IR_POSE TCP_CORRIGIDO'!$AB$74</f>
        <v>8.2948</v>
      </c>
      <c r="P63" s="63">
        <f>'Métricas IR_POSE TCP_CORRIGIDO'!$AD$74</f>
        <v>9.8308</v>
      </c>
      <c r="Q63" s="62">
        <f>'Métricas IR_POSE TCP_CORRIGIDO'!$R$74</f>
        <v>1.44568322948011</v>
      </c>
      <c r="R63" s="63">
        <f>'Métricas TERMINAR_TAREFA'!$Y$42</f>
        <v>0.0112</v>
      </c>
      <c r="S63" s="63">
        <f>'Métricas TERMINAR_TAREFA'!$AA$42</f>
        <v>7.6893</v>
      </c>
      <c r="T63" s="63">
        <f>'Métricas TERMINAR_TAREFA'!$AC$42</f>
        <v>7.7005</v>
      </c>
    </row>
    <row r="64" spans="1:20" ht="18" customHeight="1">
      <c r="A64" s="54">
        <v>2</v>
      </c>
      <c r="B64" s="54">
        <f>'Comparação Planners'!$R$9</f>
        <v>3</v>
      </c>
      <c r="C64" s="54" t="str">
        <f>'Comparação Planners'!$S$11</f>
        <v>RRTstar</v>
      </c>
      <c r="D64" s="56">
        <f>'Comparação Planners'!$T$11</f>
        <v>3.772</v>
      </c>
      <c r="E64" s="56">
        <f>'Comparação Planners'!$U$11</f>
        <v>27.113</v>
      </c>
      <c r="F64" s="56">
        <f>'Comparação Planners'!$V$11</f>
        <v>30.885</v>
      </c>
      <c r="G64" s="56">
        <f>'Comparação Planners'!$W$11</f>
        <v>3.7367</v>
      </c>
      <c r="H64" s="58">
        <f>'Comparação Planners'!$X$11</f>
        <v>42</v>
      </c>
      <c r="I64" s="54" t="str">
        <f>'Comparação Planners'!$Y$11</f>
        <v>✓</v>
      </c>
      <c r="J64" s="60">
        <f>'Comparação Planners'!$Z$11</f>
        <v>0</v>
      </c>
      <c r="L64" s="62">
        <f>'Métricas PICK_POSE'!$H$39</f>
        <v>151.8672</v>
      </c>
      <c r="M64" s="62">
        <f>'Métricas TARGET_POSE'!$H$35</f>
        <v>2.9301</v>
      </c>
      <c r="N64" s="63">
        <f>'Métricas IR_POSE TCP_CORRIGIDO'!$Z$75</f>
        <v>1.4551</v>
      </c>
      <c r="O64" s="63">
        <f>'Métricas IR_POSE TCP_CORRIGIDO'!$AB$75</f>
        <v>10.9468</v>
      </c>
      <c r="P64" s="63">
        <f>'Métricas IR_POSE TCP_CORRIGIDO'!$AD$75</f>
        <v>12.4019</v>
      </c>
      <c r="Q64" s="62">
        <f>'Métricas IR_POSE TCP_CORRIGIDO'!$R$75</f>
        <v>1.47309198626556</v>
      </c>
      <c r="R64" s="63">
        <f>'Métricas TERMINAR_TAREFA'!$H$43</f>
        <v>0.0249</v>
      </c>
      <c r="S64" s="63">
        <f>'Métricas TERMINAR_TAREFA'!$J$43</f>
        <v>7.5603</v>
      </c>
      <c r="T64" s="63">
        <f>'Métricas TERMINAR_TAREFA'!$L$43</f>
        <v>7.5852</v>
      </c>
    </row>
    <row r="65" spans="1:20" ht="18" customHeight="1">
      <c r="A65" s="54">
        <v>2</v>
      </c>
      <c r="B65" s="54">
        <f>'Comparação Planners'!$R$12</f>
        <v>4</v>
      </c>
      <c r="C65" s="54" t="str">
        <f>'Comparação Planners'!$S$14</f>
        <v>RRTstar</v>
      </c>
      <c r="D65" s="56">
        <f>'Comparação Planners'!$T$14</f>
        <v>4.069</v>
      </c>
      <c r="E65" s="56">
        <f>'Comparação Planners'!$U$14</f>
        <v>28.798</v>
      </c>
      <c r="F65" s="56">
        <f>'Comparação Planners'!$V$14</f>
        <v>32.867</v>
      </c>
      <c r="G65" s="56">
        <f>'Comparação Planners'!$W$14</f>
        <v>3.2512</v>
      </c>
      <c r="H65" s="58">
        <f>'Comparação Planners'!$X$14</f>
        <v>46</v>
      </c>
      <c r="I65" s="54" t="str">
        <f>'Comparação Planners'!$Y$14</f>
        <v>✓</v>
      </c>
      <c r="J65" s="60">
        <f>'Comparação Planners'!$Z$14</f>
        <v>0</v>
      </c>
      <c r="L65" s="62">
        <f>'Métricas PICK_POSE'!$T$39</f>
        <v>151.9928</v>
      </c>
      <c r="M65" s="62">
        <f>'Métricas TARGET_POSE'!$T$35</f>
        <v>1.7278</v>
      </c>
      <c r="N65" s="63">
        <f>'Métricas IR_POSE TCP_CORRIGIDO'!$Z$76</f>
        <v>1.5372</v>
      </c>
      <c r="O65" s="63">
        <f>'Métricas IR_POSE TCP_CORRIGIDO'!$AB$76</f>
        <v>9.7303</v>
      </c>
      <c r="P65" s="63">
        <f>'Métricas IR_POSE TCP_CORRIGIDO'!$AD$76</f>
        <v>11.2675</v>
      </c>
      <c r="Q65" s="62">
        <f>'Métricas IR_POSE TCP_CORRIGIDO'!$R$76</f>
        <v>0.969535971483262</v>
      </c>
      <c r="R65" s="63">
        <f>'Métricas TERMINAR_TAREFA'!$Y$43</f>
        <v>0.549</v>
      </c>
      <c r="S65" s="63">
        <f>'Métricas TERMINAR_TAREFA'!$AA$43</f>
        <v>6.828</v>
      </c>
      <c r="T65" s="63">
        <f>'Métricas TERMINAR_TAREFA'!$AC$43</f>
        <v>7.377</v>
      </c>
    </row>
    <row r="66" spans="1:20" ht="18" customHeight="1">
      <c r="A66" s="54">
        <v>2</v>
      </c>
      <c r="B66" s="54">
        <f>'Comparação Planners'!$R$15</f>
        <v>5</v>
      </c>
      <c r="C66" s="54" t="str">
        <f>'Comparação Planners'!$S$17</f>
        <v>RRTstar</v>
      </c>
      <c r="D66" s="56">
        <f>'Comparação Planners'!$T$17</f>
        <v>3.756</v>
      </c>
      <c r="E66" s="56">
        <f>'Comparação Planners'!$U$17</f>
        <v>28.754</v>
      </c>
      <c r="F66" s="56">
        <f>'Comparação Planners'!$V$17</f>
        <v>32.51</v>
      </c>
      <c r="G66" s="56">
        <f>'Comparação Planners'!$W$17</f>
        <v>3.5976</v>
      </c>
      <c r="H66" s="58">
        <f>'Comparação Planners'!$X$17</f>
        <v>42</v>
      </c>
      <c r="I66" s="54" t="str">
        <f>'Comparação Planners'!$Y$17</f>
        <v>✓</v>
      </c>
      <c r="J66" s="60">
        <f>'Comparação Planners'!$Z$17</f>
        <v>0</v>
      </c>
      <c r="L66" s="62">
        <f>'Métricas PICK_POSE'!$H$40</f>
        <v>151.6366</v>
      </c>
      <c r="M66" s="62">
        <f>'Métricas TARGET_POSE'!$H$36</f>
        <v>2.0144</v>
      </c>
      <c r="N66" s="63">
        <f>'Métricas IR_POSE TCP_CORRIGIDO'!$Z$77</f>
        <v>1.5558</v>
      </c>
      <c r="O66" s="63">
        <f>'Métricas IR_POSE TCP_CORRIGIDO'!$AB$77</f>
        <v>10.9231</v>
      </c>
      <c r="P66" s="63">
        <f>'Métricas IR_POSE TCP_CORRIGIDO'!$AD$77</f>
        <v>12.4789</v>
      </c>
      <c r="Q66" s="62">
        <f>'Métricas IR_POSE TCP_CORRIGIDO'!$R$77</f>
        <v>1.15758369027904</v>
      </c>
      <c r="R66" s="63">
        <f>'Métricas TERMINAR_TAREFA'!$H$44</f>
        <v>0.0207</v>
      </c>
      <c r="S66" s="63">
        <f>'Métricas TERMINAR_TAREFA'!$J$44</f>
        <v>7.5747</v>
      </c>
      <c r="T66" s="63">
        <f>'Métricas TERMINAR_TAREFA'!$L$44</f>
        <v>7.5954</v>
      </c>
    </row>
    <row r="67" spans="1:20" ht="18" customHeight="1">
      <c r="A67" s="54">
        <v>2</v>
      </c>
      <c r="B67" s="54">
        <f>'Comparação Planners'!$R$18</f>
        <v>6</v>
      </c>
      <c r="C67" s="54" t="str">
        <f>'Comparação Planners'!$S$20</f>
        <v>RRTstar</v>
      </c>
      <c r="D67" s="56">
        <f>'Comparação Planners'!$T$20</f>
        <v>3.6783</v>
      </c>
      <c r="E67" s="56">
        <f>'Comparação Planners'!$U$20</f>
        <v>29.972</v>
      </c>
      <c r="F67" s="56">
        <f>'Comparação Planners'!$V$20</f>
        <v>33.6503</v>
      </c>
      <c r="G67" s="56">
        <f>'Comparação Planners'!$W$20</f>
        <v>3.4358</v>
      </c>
      <c r="H67" s="58">
        <f>'Comparação Planners'!$X$20</f>
        <v>49</v>
      </c>
      <c r="I67" s="54" t="str">
        <f>'Comparação Planners'!$Y$20</f>
        <v>✓</v>
      </c>
      <c r="J67" s="60">
        <f>'Comparação Planners'!$Z$20</f>
        <v>0</v>
      </c>
      <c r="L67" s="62">
        <f>'Métricas PICK_POSE'!$T$40</f>
        <v>151.9761</v>
      </c>
      <c r="M67" s="62">
        <f>'Métricas TARGET_POSE'!$T$36</f>
        <v>1.4045</v>
      </c>
      <c r="N67" s="63">
        <f>'Métricas IR_POSE TCP_CORRIGIDO'!$Z$78</f>
        <v>1.5362</v>
      </c>
      <c r="O67" s="63">
        <f>'Métricas IR_POSE TCP_CORRIGIDO'!$AB$78</f>
        <v>9.7404</v>
      </c>
      <c r="P67" s="63">
        <f>'Métricas IR_POSE TCP_CORRIGIDO'!$AD$78</f>
        <v>11.2766</v>
      </c>
      <c r="Q67" s="62">
        <f>'Métricas IR_POSE TCP_CORRIGIDO'!$R$78</f>
        <v>1.24096736459911</v>
      </c>
      <c r="R67" s="63">
        <f>'Métricas TERMINAR_TAREFA'!$Y$44</f>
        <v>0.0231</v>
      </c>
      <c r="S67" s="63">
        <f>'Métricas TERMINAR_TAREFA'!$AA$44</f>
        <v>7.3618</v>
      </c>
      <c r="T67" s="63">
        <f>'Métricas TERMINAR_TAREFA'!$AC$44</f>
        <v>7.3849</v>
      </c>
    </row>
    <row r="68" spans="1:20" ht="18" customHeight="1">
      <c r="A68" s="54">
        <v>2</v>
      </c>
      <c r="B68" s="54">
        <f>'Comparação Planners'!$R$21</f>
        <v>7</v>
      </c>
      <c r="C68" s="54" t="str">
        <f>'Comparação Planners'!$S$23</f>
        <v>RRTstar</v>
      </c>
      <c r="D68" s="56">
        <f>'Comparação Planners'!$T$23</f>
        <v>3.99</v>
      </c>
      <c r="E68" s="56">
        <f>'Comparação Planners'!$U$23</f>
        <v>29.065</v>
      </c>
      <c r="F68" s="56">
        <f>'Comparação Planners'!$V$23</f>
        <v>33.055</v>
      </c>
      <c r="G68" s="56">
        <f>'Comparação Planners'!$W$23</f>
        <v>3.7852</v>
      </c>
      <c r="H68" s="58">
        <f>'Comparação Planners'!$X$23</f>
        <v>44</v>
      </c>
      <c r="I68" s="54" t="str">
        <f>'Comparação Planners'!$Y$23</f>
        <v>✓</v>
      </c>
      <c r="J68" s="60">
        <f>'Comparação Planners'!$Z$23</f>
        <v>0</v>
      </c>
      <c r="L68" s="62">
        <f>'Métricas PICK_POSE'!$H$41</f>
        <v>152.3657</v>
      </c>
      <c r="M68" s="62">
        <f>'Métricas TARGET_POSE'!$H$37</f>
        <v>1.7507</v>
      </c>
      <c r="N68" s="63">
        <f>'Métricas IR_POSE TCP_CORRIGIDO'!$Z$79</f>
        <v>1.549</v>
      </c>
      <c r="O68" s="63">
        <f>'Métricas IR_POSE TCP_CORRIGIDO'!$AB$79</f>
        <v>9.5401</v>
      </c>
      <c r="P68" s="63">
        <f>'Métricas IR_POSE TCP_CORRIGIDO'!$AD$79</f>
        <v>11.0891</v>
      </c>
      <c r="Q68" s="62">
        <f>'Métricas IR_POSE TCP_CORRIGIDO'!$R$79</f>
        <v>1.02956301409868</v>
      </c>
      <c r="R68" s="63">
        <f>'Métricas TERMINAR_TAREFA'!$H$45</f>
        <v>0.0122</v>
      </c>
      <c r="S68" s="63">
        <f>'Métricas TERMINAR_TAREFA'!$J$45</f>
        <v>7.9048</v>
      </c>
      <c r="T68" s="63">
        <f>'Métricas TERMINAR_TAREFA'!$L$45</f>
        <v>7.917</v>
      </c>
    </row>
    <row r="69" spans="1:20" ht="18" customHeight="1">
      <c r="A69" s="54">
        <v>2</v>
      </c>
      <c r="B69" s="54">
        <f>'Comparação Planners'!$R$24</f>
        <v>8</v>
      </c>
      <c r="C69" s="54" t="str">
        <f>'Comparação Planners'!$S$26</f>
        <v>RRTstar</v>
      </c>
      <c r="D69" s="56">
        <f>'Comparação Planners'!$T$26</f>
        <v>3.751</v>
      </c>
      <c r="E69" s="56">
        <f>'Comparação Planners'!$U$26</f>
        <v>29.222</v>
      </c>
      <c r="F69" s="56">
        <f>'Comparação Planners'!$V$26</f>
        <v>32.973</v>
      </c>
      <c r="G69" s="56">
        <f>'Comparação Planners'!$W$26</f>
        <v>3.8887</v>
      </c>
      <c r="H69" s="58">
        <f>'Comparação Planners'!$X$26</f>
        <v>42</v>
      </c>
      <c r="I69" s="54" t="str">
        <f>'Comparação Planners'!$Y$26</f>
        <v>✓</v>
      </c>
      <c r="J69" s="60">
        <f>'Comparação Planners'!$Z$26</f>
        <v>0</v>
      </c>
      <c r="L69" s="62">
        <f>'Métricas PICK_POSE'!$T$41</f>
        <v>152.1318</v>
      </c>
      <c r="M69" s="62">
        <f>'Métricas TARGET_POSE'!$T$37</f>
        <v>1.9314</v>
      </c>
      <c r="N69" s="63">
        <f>'Métricas IR_POSE TCP_CORRIGIDO'!$Z$80</f>
        <v>1.5596</v>
      </c>
      <c r="O69" s="63">
        <f>'Métricas IR_POSE TCP_CORRIGIDO'!$AB$80</f>
        <v>9.7289</v>
      </c>
      <c r="P69" s="63">
        <f>'Métricas IR_POSE TCP_CORRIGIDO'!$AD$80</f>
        <v>11.2885</v>
      </c>
      <c r="Q69" s="62">
        <f>'Métricas IR_POSE TCP_CORRIGIDO'!$R$80</f>
        <v>0.728010988928078</v>
      </c>
      <c r="R69" s="63">
        <f>'Métricas TERMINAR_TAREFA'!$Y$45</f>
        <v>0.012</v>
      </c>
      <c r="S69" s="63">
        <f>'Métricas TERMINAR_TAREFA'!$AA$45</f>
        <v>7.6148</v>
      </c>
      <c r="T69" s="63">
        <f>'Métricas TERMINAR_TAREFA'!$AC$45</f>
        <v>7.6268</v>
      </c>
    </row>
    <row r="70" spans="1:20" ht="18" customHeight="1">
      <c r="A70" s="54">
        <v>2</v>
      </c>
      <c r="B70" s="54">
        <f>'Comparação Planners'!$R$27</f>
        <v>9</v>
      </c>
      <c r="C70" s="54" t="str">
        <f>'Comparação Planners'!$S$29</f>
        <v>RRTstar</v>
      </c>
      <c r="D70" s="56">
        <f>'Comparação Planners'!$T$29</f>
        <v>3.7</v>
      </c>
      <c r="E70" s="56">
        <f>'Comparação Planners'!$U$29</f>
        <v>30.204</v>
      </c>
      <c r="F70" s="56">
        <f>'Comparação Planners'!$V$29</f>
        <v>33.904</v>
      </c>
      <c r="G70" s="56">
        <f>'Comparação Planners'!$W$29</f>
        <v>4.6124</v>
      </c>
      <c r="H70" s="58">
        <f>'Comparação Planners'!$X$29</f>
        <v>41</v>
      </c>
      <c r="I70" s="54" t="str">
        <f>'Comparação Planners'!$Y$29</f>
        <v>✓</v>
      </c>
      <c r="J70" s="60">
        <f>'Comparação Planners'!$Z$29</f>
        <v>0</v>
      </c>
      <c r="L70" s="62">
        <f>'Métricas PICK_POSE'!$H$42</f>
        <v>152.0212</v>
      </c>
      <c r="M70" s="62">
        <f>'Métricas TARGET_POSE'!$H$38</f>
        <v>1.8058</v>
      </c>
      <c r="N70" s="63">
        <f>'Métricas IR_POSE TCP_CORRIGIDO'!$Z$81</f>
        <v>1.5513</v>
      </c>
      <c r="O70" s="63">
        <f>'Métricas IR_POSE TCP_CORRIGIDO'!$AB$81</f>
        <v>10.8342</v>
      </c>
      <c r="P70" s="63">
        <f>'Métricas IR_POSE TCP_CORRIGIDO'!$AD$81</f>
        <v>12.3855</v>
      </c>
      <c r="Q70" s="62">
        <f>'Métricas IR_POSE TCP_CORRIGIDO'!$R$81</f>
        <v>0.916515138991188</v>
      </c>
      <c r="R70" s="63">
        <f>'Métricas TERMINAR_TAREFA'!$H$46</f>
        <v>0.0193</v>
      </c>
      <c r="S70" s="63">
        <f>'Métricas TERMINAR_TAREFA'!$J$46</f>
        <v>7.5492</v>
      </c>
      <c r="T70" s="63">
        <f>'Métricas TERMINAR_TAREFA'!$L$46</f>
        <v>7.5685</v>
      </c>
    </row>
    <row r="71" spans="1:20" ht="18" customHeight="1">
      <c r="A71" s="54">
        <v>2</v>
      </c>
      <c r="B71" s="54">
        <f>'Comparação Planners'!$R$30</f>
        <v>10</v>
      </c>
      <c r="C71" s="54" t="str">
        <f>'Comparação Planners'!$S$32</f>
        <v>RRTstar</v>
      </c>
      <c r="D71" s="56">
        <f>'Comparação Planners'!$T$32</f>
        <v>4.161</v>
      </c>
      <c r="E71" s="56">
        <f>'Comparação Planners'!$U$32</f>
        <v>33.7</v>
      </c>
      <c r="F71" s="56">
        <f>'Comparação Planners'!$V$32</f>
        <v>37.861</v>
      </c>
      <c r="G71" s="56">
        <f>'Comparação Planners'!$W$32</f>
        <v>5.3424</v>
      </c>
      <c r="H71" s="58">
        <f>'Comparação Planners'!$X$32</f>
        <v>47</v>
      </c>
      <c r="I71" s="54" t="str">
        <f>'Comparação Planners'!$Y$32</f>
        <v>✓</v>
      </c>
      <c r="J71" s="60">
        <f>'Comparação Planners'!$Z$32</f>
        <v>0</v>
      </c>
      <c r="L71" s="62">
        <f>'Métricas PICK_POSE'!$T$42</f>
        <v>151.7551</v>
      </c>
      <c r="M71" s="62">
        <f>'Métricas TARGET_POSE'!$T$38</f>
        <v>1.7836</v>
      </c>
      <c r="N71" s="63">
        <f>'Métricas IR_POSE TCP_CORRIGIDO'!$Z$82</f>
        <v>1.5569</v>
      </c>
      <c r="O71" s="63">
        <f>'Métricas IR_POSE TCP_CORRIGIDO'!$AB$82</f>
        <v>11.6516</v>
      </c>
      <c r="P71" s="63">
        <f>'Métricas IR_POSE TCP_CORRIGIDO'!$AD$82</f>
        <v>13.2085</v>
      </c>
      <c r="Q71" s="62">
        <f>'Métricas IR_POSE TCP_CORRIGIDO'!$R$82</f>
        <v>0.761577310586409</v>
      </c>
      <c r="R71" s="63">
        <f>'Métricas TERMINAR_TAREFA'!$Y$46</f>
        <v>0.0103</v>
      </c>
      <c r="S71" s="63">
        <f>'Métricas TERMINAR_TAREFA'!$AA$46</f>
        <v>6.8594</v>
      </c>
      <c r="T71" s="63">
        <f>'Métricas TERMINAR_TAREFA'!$AC$46</f>
        <v>6.8697</v>
      </c>
    </row>
    <row r="72" spans="1:20" ht="18" customHeight="1">
      <c r="A72" s="54">
        <v>3</v>
      </c>
      <c r="B72" s="54">
        <f>'Comparação Planners'!$A$37</f>
        <v>1</v>
      </c>
      <c r="C72" s="54" t="str">
        <f>'Comparação Planners'!$B$39</f>
        <v>RRTstar</v>
      </c>
      <c r="D72" s="56">
        <f>'Comparação Planners'!$C$39</f>
        <v>3.799</v>
      </c>
      <c r="E72" s="56">
        <f>'Comparação Planners'!$D$39</f>
        <v>31.026</v>
      </c>
      <c r="F72" s="56">
        <f>'Comparação Planners'!$E$39</f>
        <v>34.825</v>
      </c>
      <c r="G72" s="56">
        <f>'Comparação Planners'!$F$39</f>
        <v>4.8452</v>
      </c>
      <c r="H72" s="58">
        <f>'Comparação Planners'!$G$39</f>
        <v>42</v>
      </c>
      <c r="I72" s="54" t="str">
        <f>'Comparação Planners'!$H$39</f>
        <v>✓</v>
      </c>
      <c r="J72" s="60">
        <f>'Comparação Planners'!$I$39</f>
        <v>0</v>
      </c>
      <c r="L72" s="62">
        <f>'Métricas PICK_POSE'!$H$43</f>
        <v>148.6753</v>
      </c>
      <c r="M72" s="62">
        <f>'Métricas TARGET_POSE'!$H$39</f>
        <v>2.017</v>
      </c>
      <c r="N72" s="63">
        <f>'Métricas IR_POSE TCP_CORRIGIDO'!$Z$83</f>
        <v>1.5606</v>
      </c>
      <c r="O72" s="63">
        <f>'Métricas IR_POSE TCP_CORRIGIDO'!$AB$83</f>
        <v>10.8978</v>
      </c>
      <c r="P72" s="63">
        <f>'Métricas IR_POSE TCP_CORRIGIDO'!$AD$83</f>
        <v>12.4584</v>
      </c>
      <c r="Q72" s="62">
        <f>'Métricas IR_POSE TCP_CORRIGIDO'!$R$83</f>
        <v>1.68226038412602</v>
      </c>
      <c r="R72" s="63">
        <f>'Métricas TERMINAR_TAREFA'!$H$47</f>
        <v>0.5313</v>
      </c>
      <c r="S72" s="63">
        <f>'Métricas TERMINAR_TAREFA'!$J$47</f>
        <v>6.982</v>
      </c>
      <c r="T72" s="63">
        <f>'Métricas TERMINAR_TAREFA'!$L$47</f>
        <v>7.5133</v>
      </c>
    </row>
    <row r="73" spans="1:20" ht="18" customHeight="1">
      <c r="A73" s="54">
        <v>3</v>
      </c>
      <c r="B73" s="54">
        <f>'Comparação Planners'!$A$40</f>
        <v>2</v>
      </c>
      <c r="C73" s="54" t="str">
        <f>'Comparação Planners'!$B$42</f>
        <v>RRTstar</v>
      </c>
      <c r="D73" s="56">
        <f>'Comparação Planners'!$C$42</f>
        <v>3.921</v>
      </c>
      <c r="E73" s="56">
        <f>'Comparação Planners'!$D$42</f>
        <v>31.612</v>
      </c>
      <c r="F73" s="56">
        <f>'Comparação Planners'!$E$42</f>
        <v>35.533</v>
      </c>
      <c r="G73" s="56">
        <f>'Comparação Planners'!$F$42</f>
        <v>5.169</v>
      </c>
      <c r="H73" s="58">
        <f>'Comparação Planners'!$G$42</f>
        <v>44</v>
      </c>
      <c r="I73" s="54" t="str">
        <f>'Comparação Planners'!$H$42</f>
        <v>✓</v>
      </c>
      <c r="J73" s="60">
        <f>'Comparação Planners'!$I$42</f>
        <v>0</v>
      </c>
      <c r="L73" s="62">
        <f>'Métricas PICK_POSE'!$T$43</f>
        <v>152.112</v>
      </c>
      <c r="M73" s="62">
        <f>'Métricas TARGET_POSE'!$T$39</f>
        <v>2.387</v>
      </c>
      <c r="N73" s="63">
        <f>'Métricas IR_POSE TCP_CORRIGIDO'!$Z$84</f>
        <v>1.5317</v>
      </c>
      <c r="O73" s="63">
        <f>'Métricas IR_POSE TCP_CORRIGIDO'!$AB$84</f>
        <v>9.7412</v>
      </c>
      <c r="P73" s="63">
        <f>'Métricas IR_POSE TCP_CORRIGIDO'!$AD$84</f>
        <v>11.2729</v>
      </c>
      <c r="Q73" s="62">
        <f>'Métricas IR_POSE TCP_CORRIGIDO'!$R$84</f>
        <v>0.640312423743249</v>
      </c>
      <c r="R73" s="63">
        <f>'Métricas TERMINAR_TAREFA'!$Y$47</f>
        <v>0.0199</v>
      </c>
      <c r="S73" s="63">
        <f>'Métricas TERMINAR_TAREFA'!$AA$47</f>
        <v>8.1549</v>
      </c>
      <c r="T73" s="63">
        <f>'Métricas TERMINAR_TAREFA'!$AC$47</f>
        <v>8.1748</v>
      </c>
    </row>
    <row r="74" spans="1:20" ht="18" customHeight="1">
      <c r="A74" s="54">
        <v>3</v>
      </c>
      <c r="B74" s="54">
        <f>'Comparação Planners'!$A$43</f>
        <v>3</v>
      </c>
      <c r="C74" s="54" t="str">
        <f>'Comparação Planners'!$B$45</f>
        <v>RRTstar</v>
      </c>
      <c r="D74" s="56">
        <f>'Comparação Planners'!$C$45</f>
        <v>3.767</v>
      </c>
      <c r="E74" s="56">
        <f>'Comparação Planners'!$D$45</f>
        <v>29.115</v>
      </c>
      <c r="F74" s="56">
        <f>'Comparação Planners'!$E$45</f>
        <v>32.882</v>
      </c>
      <c r="G74" s="56">
        <f>'Comparação Planners'!$F$45</f>
        <v>3.738</v>
      </c>
      <c r="H74" s="58">
        <f>'Comparação Planners'!$G$45</f>
        <v>42</v>
      </c>
      <c r="I74" s="54" t="str">
        <f>'Comparação Planners'!$H$45</f>
        <v>✓</v>
      </c>
      <c r="J74" s="60">
        <f>'Comparação Planners'!$I$45</f>
        <v>0</v>
      </c>
      <c r="L74" s="62">
        <f>'Métricas PICK_POSE'!$H$44</f>
        <v>152.0221</v>
      </c>
      <c r="M74" s="62">
        <f>'Métricas TARGET_POSE'!$H$40</f>
        <v>1.5528</v>
      </c>
      <c r="N74" s="63">
        <f>'Métricas IR_POSE TCP_CORRIGIDO'!$Z$85</f>
        <v>1.5582</v>
      </c>
      <c r="O74" s="63">
        <f>'Métricas IR_POSE TCP_CORRIGIDO'!$AB$85</f>
        <v>10.8862</v>
      </c>
      <c r="P74" s="63">
        <f>'Métricas IR_POSE TCP_CORRIGIDO'!$AD$85</f>
        <v>12.4444</v>
      </c>
      <c r="Q74" s="62">
        <f>'Métricas IR_POSE TCP_CORRIGIDO'!$R$85</f>
        <v>1.26491106406732</v>
      </c>
      <c r="R74" s="63">
        <f>'Métricas TERMINAR_TAREFA'!$H$48</f>
        <v>0.0193</v>
      </c>
      <c r="S74" s="63">
        <f>'Métricas TERMINAR_TAREFA'!$J$48</f>
        <v>7.5492</v>
      </c>
      <c r="T74" s="63">
        <f>'Métricas TERMINAR_TAREFA'!$L$48</f>
        <v>7.5685</v>
      </c>
    </row>
    <row r="75" spans="1:20" ht="18" customHeight="1">
      <c r="A75" s="54">
        <v>3</v>
      </c>
      <c r="B75" s="54">
        <f>'Comparação Planners'!$A$46</f>
        <v>4</v>
      </c>
      <c r="C75" s="54" t="str">
        <f>'Comparação Planners'!$B$48</f>
        <v>RRTstar</v>
      </c>
      <c r="D75" s="56">
        <f>'Comparação Planners'!$C$48</f>
        <v>4.125</v>
      </c>
      <c r="E75" s="56">
        <f>'Comparação Planners'!$D$48</f>
        <v>29.34</v>
      </c>
      <c r="F75" s="56">
        <f>'Comparação Planners'!$E$48</f>
        <v>33.465</v>
      </c>
      <c r="G75" s="56">
        <f>'Comparação Planners'!$F$48</f>
        <v>3.6778</v>
      </c>
      <c r="H75" s="58">
        <f>'Comparação Planners'!$G$48</f>
        <v>46</v>
      </c>
      <c r="I75" s="54" t="str">
        <f>'Comparação Planners'!$H$48</f>
        <v>✓</v>
      </c>
      <c r="J75" s="60">
        <f>'Comparação Planners'!$I$48</f>
        <v>0</v>
      </c>
      <c r="L75" s="62">
        <f>'Métricas PICK_POSE'!$T$44</f>
        <v>152.5421</v>
      </c>
      <c r="M75" s="62">
        <f>'Métricas TARGET_POSE'!$T$40</f>
        <v>2.0268</v>
      </c>
      <c r="N75" s="63">
        <f>'Métricas IR_POSE TCP_CORRIGIDO'!$Z$86</f>
        <v>1.5428</v>
      </c>
      <c r="O75" s="63">
        <f>'Métricas IR_POSE TCP_CORRIGIDO'!$AB$86</f>
        <v>9.7409</v>
      </c>
      <c r="P75" s="63">
        <f>'Métricas IR_POSE TCP_CORRIGIDO'!$AD$86</f>
        <v>11.2837</v>
      </c>
      <c r="Q75" s="62">
        <f>'Métricas IR_POSE TCP_CORRIGIDO'!$R$86</f>
        <v>0.412310562561761</v>
      </c>
      <c r="R75" s="63">
        <f>'Métricas TERMINAR_TAREFA'!$Y$48</f>
        <v>0.0216</v>
      </c>
      <c r="S75" s="63">
        <f>'Métricas TERMINAR_TAREFA'!$AA$48</f>
        <v>8.1873</v>
      </c>
      <c r="T75" s="63">
        <f>'Métricas TERMINAR_TAREFA'!$AC$48</f>
        <v>8.2089</v>
      </c>
    </row>
    <row r="76" spans="1:20" ht="18" customHeight="1">
      <c r="A76" s="54">
        <v>3</v>
      </c>
      <c r="B76" s="54">
        <f>'Comparação Planners'!$A$49</f>
        <v>5</v>
      </c>
      <c r="C76" s="54" t="str">
        <f>'Comparação Planners'!$B$51</f>
        <v>RRTstar</v>
      </c>
      <c r="D76" s="56">
        <f>'Comparação Planners'!$C$51</f>
        <v>3.868</v>
      </c>
      <c r="E76" s="56">
        <f>'Comparação Planners'!$D$51</f>
        <v>28.854</v>
      </c>
      <c r="F76" s="56">
        <f>'Comparação Planners'!$E$51</f>
        <v>32.722</v>
      </c>
      <c r="G76" s="56">
        <f>'Comparação Planners'!$F$51</f>
        <v>3.6295</v>
      </c>
      <c r="H76" s="58">
        <f>'Comparação Planners'!$G$51</f>
        <v>43</v>
      </c>
      <c r="I76" s="54" t="str">
        <f>'Comparação Planners'!$H$51</f>
        <v>✓</v>
      </c>
      <c r="J76" s="60">
        <f>'Comparação Planners'!$I$51</f>
        <v>0</v>
      </c>
      <c r="L76" s="62">
        <f>'Métricas PICK_POSE'!$H$45</f>
        <v>150.698</v>
      </c>
      <c r="M76" s="62">
        <f>'Métricas TARGET_POSE'!$H$41</f>
        <v>1.5352</v>
      </c>
      <c r="N76" s="63">
        <f>'Métricas IR_POSE TCP_CORRIGIDO'!$Z$87</f>
        <v>1.5465</v>
      </c>
      <c r="O76" s="63">
        <f>'Métricas IR_POSE TCP_CORRIGIDO'!$AB$87</f>
        <v>10.8976</v>
      </c>
      <c r="P76" s="63">
        <f>'Métricas IR_POSE TCP_CORRIGIDO'!$AD$87</f>
        <v>12.4441</v>
      </c>
      <c r="Q76" s="62">
        <f>'Métricas IR_POSE TCP_CORRIGIDO'!$R$87</f>
        <v>1.14891252930763</v>
      </c>
      <c r="R76" s="63">
        <f>'Métricas TERMINAR_TAREFA'!$H$49</f>
        <v>0.01</v>
      </c>
      <c r="S76" s="63">
        <f>'Métricas TERMINAR_TAREFA'!$J$49</f>
        <v>7.5635</v>
      </c>
      <c r="T76" s="63">
        <f>'Métricas TERMINAR_TAREFA'!$L$49</f>
        <v>7.5735</v>
      </c>
    </row>
    <row r="77" spans="1:20" ht="18" customHeight="1">
      <c r="A77" s="54">
        <v>3</v>
      </c>
      <c r="B77" s="54">
        <f>'Comparação Planners'!$A$52</f>
        <v>6</v>
      </c>
      <c r="C77" s="54" t="str">
        <f>'Comparação Planners'!$B$54</f>
        <v>RRTstar</v>
      </c>
      <c r="D77" s="56">
        <f>'Comparação Planners'!$C$54</f>
        <v>4.451</v>
      </c>
      <c r="E77" s="56">
        <f>'Comparação Planners'!$D$54</f>
        <v>30</v>
      </c>
      <c r="F77" s="56">
        <f>'Comparação Planners'!$E$54</f>
        <v>34.451</v>
      </c>
      <c r="G77" s="56">
        <f>'Comparação Planners'!$F$54</f>
        <v>3.4287</v>
      </c>
      <c r="H77" s="58">
        <f>'Comparação Planners'!$G$54</f>
        <v>49</v>
      </c>
      <c r="I77" s="54" t="str">
        <f>'Comparação Planners'!$H$54</f>
        <v>✓</v>
      </c>
      <c r="J77" s="60">
        <f>'Comparação Planners'!$I$54</f>
        <v>0</v>
      </c>
      <c r="L77" s="62">
        <f>'Métricas PICK_POSE'!$T$45</f>
        <v>151.7284</v>
      </c>
      <c r="M77" s="62">
        <f>'Métricas TARGET_POSE'!$T$41</f>
        <v>2.0185</v>
      </c>
      <c r="N77" s="63">
        <f>'Métricas IR_POSE TCP_CORRIGIDO'!$Z$88</f>
        <v>1.536</v>
      </c>
      <c r="O77" s="63">
        <f>'Métricas IR_POSE TCP_CORRIGIDO'!$AB$88</f>
        <v>8.2948</v>
      </c>
      <c r="P77" s="63">
        <f>'Métricas IR_POSE TCP_CORRIGIDO'!$AD$88</f>
        <v>9.8308</v>
      </c>
      <c r="Q77" s="62">
        <f>'Métricas IR_POSE TCP_CORRIGIDO'!$R$88</f>
        <v>1.44568322948011</v>
      </c>
      <c r="R77" s="63">
        <f>'Métricas TERMINAR_TAREFA'!$Y$49</f>
        <v>0.0112</v>
      </c>
      <c r="S77" s="63">
        <f>'Métricas TERMINAR_TAREFA'!$AA$49</f>
        <v>7.6893</v>
      </c>
      <c r="T77" s="63">
        <f>'Métricas TERMINAR_TAREFA'!$AC$49</f>
        <v>7.7005</v>
      </c>
    </row>
    <row r="78" spans="1:20" ht="18" customHeight="1">
      <c r="A78" s="54">
        <v>3</v>
      </c>
      <c r="B78" s="54">
        <f>'Comparação Planners'!$A$55</f>
        <v>7</v>
      </c>
      <c r="C78" s="54" t="str">
        <f>'Comparação Planners'!$B$57</f>
        <v>RRTstar</v>
      </c>
      <c r="D78" s="56">
        <f>'Comparação Planners'!$C$57</f>
        <v>4.481</v>
      </c>
      <c r="E78" s="56">
        <f>'Comparação Planners'!$D$57</f>
        <v>33.336</v>
      </c>
      <c r="F78" s="56">
        <f>'Comparação Planners'!$E$57</f>
        <v>37.817</v>
      </c>
      <c r="G78" s="56">
        <f>'Comparação Planners'!$F$57</f>
        <v>8.4626</v>
      </c>
      <c r="H78" s="58">
        <f>'Comparação Planners'!$G$57</f>
        <v>60</v>
      </c>
      <c r="I78" s="54" t="str">
        <f>'Comparação Planners'!$H$57</f>
        <v>✓</v>
      </c>
      <c r="J78" s="60" t="str">
        <f>'Comparação Planners'!$I$57</f>
        <v>Replaneou</v>
      </c>
      <c r="L78" s="62">
        <f>'Métricas PICK_POSE'!$H$46</f>
        <v>162.0431</v>
      </c>
      <c r="M78" s="62">
        <f>'Métricas TARGET_POSE'!$H$42</f>
        <v>2.0185</v>
      </c>
      <c r="N78" s="63">
        <f>'Métricas IR_POSE TCP_CORRIGIDO'!$Z$89</f>
        <v>1.4551</v>
      </c>
      <c r="O78" s="63">
        <f>'Métricas IR_POSE TCP_CORRIGIDO'!$AB$89</f>
        <v>10.9468</v>
      </c>
      <c r="P78" s="63">
        <f>'Métricas IR_POSE TCP_CORRIGIDO'!$AD$89</f>
        <v>12.4019</v>
      </c>
      <c r="Q78" s="62">
        <f>'Métricas IR_POSE TCP_CORRIGIDO'!$R$89</f>
        <v>1.47309198626556</v>
      </c>
      <c r="R78" s="63">
        <f>'Métricas TERMINAR_TAREFA'!$H$50</f>
        <v>0.0225</v>
      </c>
      <c r="S78" s="63">
        <f>'Métricas TERMINAR_TAREFA'!$J$50</f>
        <v>7.9059</v>
      </c>
      <c r="T78" s="63">
        <f>'Métricas TERMINAR_TAREFA'!$L$50</f>
        <v>7.9284</v>
      </c>
    </row>
    <row r="79" spans="1:20" ht="18" customHeight="1">
      <c r="A79" s="54">
        <v>3</v>
      </c>
      <c r="B79" s="54">
        <f>'Comparação Planners'!$A$58</f>
        <v>8</v>
      </c>
      <c r="C79" s="54" t="str">
        <f>'Comparação Planners'!$B$60</f>
        <v>RRTstar</v>
      </c>
      <c r="D79" s="56">
        <f>'Comparação Planners'!$C$60</f>
        <v>3.789</v>
      </c>
      <c r="E79" s="56">
        <f>'Comparação Planners'!$D$60</f>
        <v>29.18</v>
      </c>
      <c r="F79" s="56">
        <f>'Comparação Planners'!$E$60</f>
        <v>32.969</v>
      </c>
      <c r="G79" s="56">
        <f>'Comparação Planners'!$F$60</f>
        <v>3.9311</v>
      </c>
      <c r="H79" s="58">
        <f>'Comparação Planners'!$G$60</f>
        <v>43</v>
      </c>
      <c r="I79" s="54" t="str">
        <f>'Comparação Planners'!$H$60</f>
        <v>✓</v>
      </c>
      <c r="J79" s="60">
        <f>'Comparação Planners'!$I$60</f>
        <v>0</v>
      </c>
      <c r="L79" s="62">
        <f>'Métricas PICK_POSE'!$T$46</f>
        <v>147.4965</v>
      </c>
      <c r="M79" s="62">
        <f>'Métricas TARGET_POSE'!$T$42</f>
        <v>1.4687</v>
      </c>
      <c r="N79" s="63">
        <f>'Métricas IR_POSE TCP_CORRIGIDO'!$Z$90</f>
        <v>1.5372</v>
      </c>
      <c r="O79" s="63">
        <f>'Métricas IR_POSE TCP_CORRIGIDO'!$AB$90</f>
        <v>9.7303</v>
      </c>
      <c r="P79" s="63">
        <f>'Métricas IR_POSE TCP_CORRIGIDO'!$AD$90</f>
        <v>11.2675</v>
      </c>
      <c r="Q79" s="62">
        <f>'Métricas IR_POSE TCP_CORRIGIDO'!$R$90</f>
        <v>0.969535971483262</v>
      </c>
      <c r="R79" s="63">
        <f>'Métricas TERMINAR_TAREFA'!$Y$50</f>
        <v>0.549</v>
      </c>
      <c r="S79" s="63">
        <f>'Métricas TERMINAR_TAREFA'!$AA$50</f>
        <v>6.828</v>
      </c>
      <c r="T79" s="63">
        <f>'Métricas TERMINAR_TAREFA'!$AC$50</f>
        <v>7.377</v>
      </c>
    </row>
    <row r="80" spans="1:20" ht="18" customHeight="1">
      <c r="A80" s="54">
        <v>3</v>
      </c>
      <c r="B80" s="54">
        <f>'Comparação Planners'!$A$61</f>
        <v>9</v>
      </c>
      <c r="C80" s="54" t="str">
        <f>'Comparação Planners'!$B$63</f>
        <v>RRTstar</v>
      </c>
      <c r="D80" s="56">
        <f>'Comparação Planners'!$C$63</f>
        <v>3.994</v>
      </c>
      <c r="E80" s="56">
        <f>'Comparação Planners'!$D$63</f>
        <v>30.987</v>
      </c>
      <c r="F80" s="56">
        <f>'Comparação Planners'!$E$63</f>
        <v>34.981</v>
      </c>
      <c r="G80" s="56">
        <f>'Comparação Planners'!$F$63</f>
        <v>4.575</v>
      </c>
      <c r="H80" s="58">
        <f>'Comparação Planners'!$G$63</f>
        <v>45</v>
      </c>
      <c r="I80" s="54" t="str">
        <f>'Comparação Planners'!$H$63</f>
        <v>✓</v>
      </c>
      <c r="J80" s="60">
        <f>'Comparação Planners'!$I$63</f>
        <v>0</v>
      </c>
      <c r="L80" s="62">
        <f>'Métricas PICK_POSE'!$H$47</f>
        <v>152.5292</v>
      </c>
      <c r="M80" s="62">
        <f>'Métricas TARGET_POSE'!$H$43</f>
        <v>2.1536</v>
      </c>
      <c r="N80" s="63">
        <f>'Métricas IR_POSE TCP_CORRIGIDO'!$Z$91</f>
        <v>1.5558</v>
      </c>
      <c r="O80" s="63">
        <f>'Métricas IR_POSE TCP_CORRIGIDO'!$AB$91</f>
        <v>10.9231</v>
      </c>
      <c r="P80" s="63">
        <f>'Métricas IR_POSE TCP_CORRIGIDO'!$AD$91</f>
        <v>12.4789</v>
      </c>
      <c r="Q80" s="62">
        <f>'Métricas IR_POSE TCP_CORRIGIDO'!$R$91</f>
        <v>1.15758369027904</v>
      </c>
      <c r="R80" s="63">
        <f>'Métricas TERMINAR_TAREFA'!$H$51</f>
        <v>0.0229</v>
      </c>
      <c r="S80" s="63">
        <f>'Métricas TERMINAR_TAREFA'!$J$51</f>
        <v>7.5847</v>
      </c>
      <c r="T80" s="63">
        <f>'Métricas TERMINAR_TAREFA'!$L$51</f>
        <v>7.6076</v>
      </c>
    </row>
    <row r="81" spans="1:20" ht="18" customHeight="1">
      <c r="A81" s="54">
        <v>3</v>
      </c>
      <c r="B81" s="54">
        <f>'Comparação Planners'!$A$64</f>
        <v>10</v>
      </c>
      <c r="C81" s="54" t="str">
        <f>'Comparação Planners'!$B$66</f>
        <v>RRTstar</v>
      </c>
      <c r="D81" s="56">
        <f>'Comparação Planners'!$C$66</f>
        <v>4.0124</v>
      </c>
      <c r="E81" s="56">
        <f>'Comparação Planners'!$D$66</f>
        <v>30.0912</v>
      </c>
      <c r="F81" s="56">
        <f>'Comparação Planners'!$E$66</f>
        <v>34.1036</v>
      </c>
      <c r="G81" s="56">
        <f>'Comparação Planners'!$F$66</f>
        <v>4.9987</v>
      </c>
      <c r="H81" s="58">
        <f>'Comparação Planners'!$G$66</f>
        <v>48</v>
      </c>
      <c r="I81" s="54" t="str">
        <f>'Comparação Planners'!$H$66</f>
        <v>✓</v>
      </c>
      <c r="J81" s="60">
        <f>'Comparação Planners'!$I$66</f>
        <v>0</v>
      </c>
      <c r="L81" s="62">
        <f>'Métricas PICK_POSE'!$T$47</f>
        <v>153.7588</v>
      </c>
      <c r="M81" s="62">
        <f>'Métricas TARGET_POSE'!$T$43</f>
        <v>1.873</v>
      </c>
      <c r="N81" s="63">
        <f>'Métricas IR_POSE TCP_CORRIGIDO'!$Z$92</f>
        <v>1.5362</v>
      </c>
      <c r="O81" s="63">
        <f>'Métricas IR_POSE TCP_CORRIGIDO'!$AB$92</f>
        <v>9.7404</v>
      </c>
      <c r="P81" s="63">
        <f>'Métricas IR_POSE TCP_CORRIGIDO'!$AD$92</f>
        <v>11.2766</v>
      </c>
      <c r="Q81" s="62">
        <f>'Métricas IR_POSE TCP_CORRIGIDO'!$R$92</f>
        <v>1.24096736459911</v>
      </c>
      <c r="R81" s="63">
        <f>'Métricas TERMINAR_TAREFA'!$Y$51</f>
        <v>0.0231</v>
      </c>
      <c r="S81" s="63">
        <f>'Métricas TERMINAR_TAREFA'!$AA$51</f>
        <v>7.3618</v>
      </c>
      <c r="T81" s="63">
        <f>'Métricas TERMINAR_TAREFA'!$AC$51</f>
        <v>7.3849</v>
      </c>
    </row>
    <row r="82" spans="1:20" ht="18" customHeight="1">
      <c r="A82" s="54">
        <v>4</v>
      </c>
      <c r="B82" s="54">
        <f>'Comparação Planners'!$R$37</f>
        <v>1</v>
      </c>
      <c r="C82" s="54" t="str">
        <f>'Comparação Planners'!$S$39</f>
        <v>RRTstar</v>
      </c>
      <c r="D82" s="56">
        <f>'Comparação Planners'!$T$39</f>
        <v>3.4786</v>
      </c>
      <c r="E82" s="56">
        <f>'Comparação Planners'!$U$39</f>
        <v>28.9311</v>
      </c>
      <c r="F82" s="56">
        <f>'Comparação Planners'!$V$39</f>
        <v>32.4097</v>
      </c>
      <c r="G82" s="56">
        <f>'Comparação Planners'!$W$39</f>
        <v>6.657</v>
      </c>
      <c r="H82" s="58">
        <f>'Comparação Planners'!$X$39</f>
        <v>54</v>
      </c>
      <c r="I82" s="54" t="str">
        <f>'Comparação Planners'!$Y$39</f>
        <v>✓</v>
      </c>
      <c r="J82" s="60" t="str">
        <f>'Comparação Planners'!$Z$39</f>
        <v>Replaneou</v>
      </c>
      <c r="L82" s="62">
        <f>'Métricas PICK_POSE'!$H$50</f>
        <v>155.6973</v>
      </c>
      <c r="M82" s="62">
        <f>'Métricas TARGET_POSE'!$H$46</f>
        <v>1.6365</v>
      </c>
      <c r="N82" s="63">
        <f>'Métricas IR_POSE TCP_CORRIGIDO'!$Z$96</f>
        <v>1.4893</v>
      </c>
      <c r="O82" s="63">
        <f>'Métricas IR_POSE TCP_CORRIGIDO'!$AB$96</f>
        <v>10.4681</v>
      </c>
      <c r="P82" s="63">
        <f>'Métricas IR_POSE TCP_CORRIGIDO'!$AD$96</f>
        <v>11.9574</v>
      </c>
      <c r="Q82" s="62">
        <f>'Métricas IR_POSE TCP_CORRIGIDO'!$R$96</f>
        <v>1.2806248474866</v>
      </c>
      <c r="R82" s="63">
        <f>'Métricas TERMINAR_TAREFA'!$H$55</f>
        <v>0.01</v>
      </c>
      <c r="S82" s="63">
        <f>'Métricas TERMINAR_TAREFA'!$J$55</f>
        <v>8.1681</v>
      </c>
      <c r="T82" s="63">
        <f>'Métricas TERMINAR_TAREFA'!$L$55</f>
        <v>8.1781</v>
      </c>
    </row>
    <row r="83" spans="1:20" ht="18" customHeight="1">
      <c r="A83" s="54">
        <v>4</v>
      </c>
      <c r="B83" s="54">
        <f>'Comparação Planners'!$R$40</f>
        <v>2</v>
      </c>
      <c r="C83" s="54" t="str">
        <f>'Comparação Planners'!$S$42</f>
        <v>RRTstar</v>
      </c>
      <c r="D83" s="56">
        <f>'Comparação Planners'!$T$42</f>
        <v>3.422</v>
      </c>
      <c r="E83" s="56">
        <f>'Comparação Planners'!$U$42</f>
        <v>25.858</v>
      </c>
      <c r="F83" s="56">
        <f>'Comparação Planners'!$V$42</f>
        <v>29.28</v>
      </c>
      <c r="G83" s="56">
        <f>'Comparação Planners'!$W$42</f>
        <v>3.6699</v>
      </c>
      <c r="H83" s="58">
        <f>'Comparação Planners'!$X$42</f>
        <v>38</v>
      </c>
      <c r="I83" s="54" t="str">
        <f>'Comparação Planners'!$Y$42</f>
        <v>✓</v>
      </c>
      <c r="J83" s="60">
        <f>'Comparação Planners'!$Z$42</f>
        <v>0</v>
      </c>
      <c r="L83" s="62">
        <f>'Métricas PICK_POSE'!$T$50</f>
        <v>159.6415</v>
      </c>
      <c r="M83" s="62">
        <f>'Métricas TARGET_POSE'!$T$46</f>
        <v>1.7896</v>
      </c>
      <c r="N83" s="63">
        <f>'Métricas IR_POSE TCP_CORRIGIDO'!$Z$97</f>
        <v>1.5414</v>
      </c>
      <c r="O83" s="63">
        <f>'Métricas IR_POSE TCP_CORRIGIDO'!$AB$97</f>
        <v>9.8438</v>
      </c>
      <c r="P83" s="63">
        <f>'Métricas IR_POSE TCP_CORRIGIDO'!$AD$97</f>
        <v>11.3852</v>
      </c>
      <c r="Q83" s="62">
        <f>'Métricas IR_POSE TCP_CORRIGIDO'!$R$97</f>
        <v>1.41774468787579</v>
      </c>
      <c r="R83" s="63">
        <f>'Métricas TERMINAR_TAREFA'!$Y$55</f>
        <v>0.0203</v>
      </c>
      <c r="S83" s="63">
        <f>'Métricas TERMINAR_TAREFA'!$AA$55</f>
        <v>7.623</v>
      </c>
      <c r="T83" s="63">
        <f>'Métricas TERMINAR_TAREFA'!$AC$55</f>
        <v>7.6433</v>
      </c>
    </row>
    <row r="84" spans="1:20" ht="18" customHeight="1">
      <c r="A84" s="54">
        <v>4</v>
      </c>
      <c r="B84" s="54">
        <f>'Comparação Planners'!$R$43</f>
        <v>3</v>
      </c>
      <c r="C84" s="54" t="str">
        <f>'Comparação Planners'!$S$45</f>
        <v>RRTstar</v>
      </c>
      <c r="D84" s="56">
        <f>'Comparação Planners'!$T$45</f>
        <v>3.772</v>
      </c>
      <c r="E84" s="56">
        <f>'Comparação Planners'!$U$45</f>
        <v>27.113</v>
      </c>
      <c r="F84" s="56">
        <f>'Comparação Planners'!$V$45</f>
        <v>30.885</v>
      </c>
      <c r="G84" s="56">
        <f>'Comparação Planners'!$W$45</f>
        <v>3.7367</v>
      </c>
      <c r="H84" s="58">
        <f>'Comparação Planners'!$X$45</f>
        <v>42</v>
      </c>
      <c r="I84" s="54" t="str">
        <f>'Comparação Planners'!$Y$45</f>
        <v>✓</v>
      </c>
      <c r="J84" s="60">
        <f>'Comparação Planners'!$Z$45</f>
        <v>0</v>
      </c>
      <c r="L84" s="62">
        <f>'Métricas PICK_POSE'!$H$51</f>
        <v>152.0994</v>
      </c>
      <c r="M84" s="62">
        <f>'Métricas TARGET_POSE'!$H$47</f>
        <v>2.0521</v>
      </c>
      <c r="N84" s="63">
        <f>'Métricas IR_POSE TCP_CORRIGIDO'!$Z$98</f>
        <v>1.595</v>
      </c>
      <c r="O84" s="63">
        <f>'Métricas IR_POSE TCP_CORRIGIDO'!$AB$98</f>
        <v>11.0429</v>
      </c>
      <c r="P84" s="63">
        <f>'Métricas IR_POSE TCP_CORRIGIDO'!$AD$98</f>
        <v>12.6379</v>
      </c>
      <c r="Q84" s="62">
        <f>'Métricas IR_POSE TCP_CORRIGIDO'!$R$98</f>
        <v>1.31909059582728</v>
      </c>
      <c r="R84" s="63">
        <f>'Métricas TERMINAR_TAREFA'!$H$56</f>
        <v>0.0263</v>
      </c>
      <c r="S84" s="63">
        <f>'Métricas TERMINAR_TAREFA'!$J$56</f>
        <v>7.401</v>
      </c>
      <c r="T84" s="63">
        <f>'Métricas TERMINAR_TAREFA'!$L$56</f>
        <v>7.4273</v>
      </c>
    </row>
    <row r="85" spans="1:20" ht="18" customHeight="1">
      <c r="A85" s="54">
        <v>4</v>
      </c>
      <c r="B85" s="54">
        <f>'Comparação Planners'!$R$46</f>
        <v>4</v>
      </c>
      <c r="C85" s="54" t="str">
        <f>'Comparação Planners'!$S$48</f>
        <v>RRTstar</v>
      </c>
      <c r="D85" s="56">
        <f>'Comparação Planners'!$T$48</f>
        <v>4.125</v>
      </c>
      <c r="E85" s="56">
        <f>'Comparação Planners'!$U$48</f>
        <v>28.34</v>
      </c>
      <c r="F85" s="56">
        <f>'Comparação Planners'!$V$48</f>
        <v>32.465</v>
      </c>
      <c r="G85" s="56">
        <f>'Comparação Planners'!$W$48</f>
        <v>3.6778</v>
      </c>
      <c r="H85" s="58">
        <f>'Comparação Planners'!$X$48</f>
        <v>46</v>
      </c>
      <c r="I85" s="54" t="str">
        <f>'Comparação Planners'!$Y$48</f>
        <v>✓</v>
      </c>
      <c r="J85" s="60">
        <f>'Comparação Planners'!$Z$48</f>
        <v>0</v>
      </c>
      <c r="L85" s="62">
        <f>'Métricas PICK_POSE'!$T$51</f>
        <v>152.0512</v>
      </c>
      <c r="M85" s="62">
        <f>'Métricas TARGET_POSE'!$T$47</f>
        <v>2.6116</v>
      </c>
      <c r="N85" s="63">
        <f>'Métricas IR_POSE TCP_CORRIGIDO'!$Z$99</f>
        <v>1.2412</v>
      </c>
      <c r="O85" s="63">
        <f>'Métricas IR_POSE TCP_CORRIGIDO'!$AB$99</f>
        <v>9.8242</v>
      </c>
      <c r="P85" s="63">
        <f>'Métricas IR_POSE TCP_CORRIGIDO'!$AD$99</f>
        <v>11.0654</v>
      </c>
      <c r="Q85" s="62">
        <f>'Métricas IR_POSE TCP_CORRIGIDO'!$R$99</f>
        <v>1.39283882771845</v>
      </c>
      <c r="R85" s="63">
        <f>'Métricas TERMINAR_TAREFA'!$Y$56</f>
        <v>0.0433</v>
      </c>
      <c r="S85" s="63">
        <f>'Métricas TERMINAR_TAREFA'!$AA$56</f>
        <v>7.6637</v>
      </c>
      <c r="T85" s="63">
        <f>'Métricas TERMINAR_TAREFA'!$AC$56</f>
        <v>7.707</v>
      </c>
    </row>
    <row r="86" spans="1:20" ht="18" customHeight="1">
      <c r="A86" s="54">
        <v>4</v>
      </c>
      <c r="B86" s="54">
        <f>'Comparação Planners'!$R$49</f>
        <v>5</v>
      </c>
      <c r="C86" s="54" t="str">
        <f>'Comparação Planners'!$S$51</f>
        <v>RRTstar</v>
      </c>
      <c r="D86" s="56">
        <f>'Comparação Planners'!$T$51</f>
        <v>3.756</v>
      </c>
      <c r="E86" s="56">
        <f>'Comparação Planners'!$U$51</f>
        <v>28.754</v>
      </c>
      <c r="F86" s="56">
        <f>'Comparação Planners'!$V$51</f>
        <v>32.51</v>
      </c>
      <c r="G86" s="56">
        <f>'Comparação Planners'!$W$51</f>
        <v>3.5976</v>
      </c>
      <c r="H86" s="58">
        <f>'Comparação Planners'!$X$51</f>
        <v>42</v>
      </c>
      <c r="I86" s="54" t="str">
        <f>'Comparação Planners'!$Y$51</f>
        <v>✓</v>
      </c>
      <c r="J86" s="60">
        <f>'Comparação Planners'!$Z$51</f>
        <v>0</v>
      </c>
      <c r="L86" s="62">
        <f>'Métricas PICK_POSE'!$H$52</f>
        <v>152.1919</v>
      </c>
      <c r="M86" s="62">
        <f>'Métricas TARGET_POSE'!$H$48</f>
        <v>1.5466</v>
      </c>
      <c r="N86" s="63">
        <f>'Métricas IR_POSE TCP_CORRIGIDO'!$Z$100</f>
        <v>1.5378</v>
      </c>
      <c r="O86" s="63">
        <f>'Métricas IR_POSE TCP_CORRIGIDO'!$AB$100</f>
        <v>10.9551</v>
      </c>
      <c r="P86" s="63">
        <f>'Métricas IR_POSE TCP_CORRIGIDO'!$AD$100</f>
        <v>12.4929</v>
      </c>
      <c r="Q86" s="62">
        <f>'Métricas IR_POSE TCP_CORRIGIDO'!$R$100</f>
        <v>0.099999999999989</v>
      </c>
      <c r="R86" s="63">
        <f>'Métricas TERMINAR_TAREFA'!$H$57</f>
        <v>0.0095</v>
      </c>
      <c r="S86" s="63">
        <f>'Métricas TERMINAR_TAREFA'!$J$57</f>
        <v>7.4744</v>
      </c>
      <c r="T86" s="63">
        <f>'Métricas TERMINAR_TAREFA'!$L$57</f>
        <v>7.4839</v>
      </c>
    </row>
    <row r="87" spans="1:20" ht="18" customHeight="1">
      <c r="A87" s="54">
        <v>4</v>
      </c>
      <c r="B87" s="54">
        <f>'Comparação Planners'!$R$52</f>
        <v>6</v>
      </c>
      <c r="C87" s="54" t="str">
        <f>'Comparação Planners'!$S$54</f>
        <v>RRTstar</v>
      </c>
      <c r="D87" s="56">
        <f>'Comparação Planners'!$T$54</f>
        <v>3.6783</v>
      </c>
      <c r="E87" s="56">
        <f>'Comparação Planners'!$U$54</f>
        <v>25.972</v>
      </c>
      <c r="F87" s="56">
        <f>'Comparação Planners'!$V$54</f>
        <v>29.6503</v>
      </c>
      <c r="G87" s="56">
        <f>'Comparação Planners'!$W$54</f>
        <v>3.4358</v>
      </c>
      <c r="H87" s="58">
        <f>'Comparação Planners'!$X$54</f>
        <v>49</v>
      </c>
      <c r="I87" s="54" t="str">
        <f>'Comparação Planners'!$Y$54</f>
        <v>✓</v>
      </c>
      <c r="J87" s="60">
        <f>'Comparação Planners'!$Z$54</f>
        <v>0</v>
      </c>
      <c r="L87" s="62">
        <f>'Métricas PICK_POSE'!$T$52</f>
        <v>151.7828</v>
      </c>
      <c r="M87" s="62">
        <f>'Métricas TARGET_POSE'!$T$48</f>
        <v>1.9436</v>
      </c>
      <c r="N87" s="63">
        <f>'Métricas IR_POSE TCP_CORRIGIDO'!$Z$101</f>
        <v>1.5347</v>
      </c>
      <c r="O87" s="63">
        <f>'Métricas IR_POSE TCP_CORRIGIDO'!$AB$101</f>
        <v>9.7847</v>
      </c>
      <c r="P87" s="63">
        <f>'Métricas IR_POSE TCP_CORRIGIDO'!$AD$101</f>
        <v>11.3194</v>
      </c>
      <c r="Q87" s="62">
        <f>'Métricas IR_POSE TCP_CORRIGIDO'!$R$101</f>
        <v>1.26885775404498</v>
      </c>
      <c r="R87" s="63">
        <f>'Métricas TERMINAR_TAREFA'!$Y$57</f>
        <v>0.0211</v>
      </c>
      <c r="S87" s="63">
        <f>'Métricas TERMINAR_TAREFA'!$AA$57</f>
        <v>7.601</v>
      </c>
      <c r="T87" s="63">
        <f>'Métricas TERMINAR_TAREFA'!$AC$57</f>
        <v>7.6221</v>
      </c>
    </row>
    <row r="88" spans="1:20" ht="18" customHeight="1">
      <c r="A88" s="54">
        <v>4</v>
      </c>
      <c r="B88" s="54">
        <f>'Comparação Planners'!$R$55</f>
        <v>7</v>
      </c>
      <c r="C88" s="54" t="str">
        <f>'Comparação Planners'!$S$57</f>
        <v>RRTstar</v>
      </c>
      <c r="D88" s="56">
        <f>'Comparação Planners'!$T$57</f>
        <v>4.481</v>
      </c>
      <c r="E88" s="56">
        <f>'Comparação Planners'!$U$57</f>
        <v>25.336</v>
      </c>
      <c r="F88" s="56">
        <f>'Comparação Planners'!$V$57</f>
        <v>29.817</v>
      </c>
      <c r="G88" s="56">
        <f>'Comparação Planners'!$W$57</f>
        <v>8.4626</v>
      </c>
      <c r="H88" s="58">
        <f>'Comparação Planners'!$X$57</f>
        <v>60</v>
      </c>
      <c r="I88" s="54" t="str">
        <f>'Comparação Planners'!$Y$57</f>
        <v>✓</v>
      </c>
      <c r="J88" s="60" t="str">
        <f>'Comparação Planners'!$Z$57</f>
        <v>Replaneou</v>
      </c>
      <c r="L88" s="62">
        <f>'Métricas PICK_POSE'!$H$53</f>
        <v>151.9523</v>
      </c>
      <c r="M88" s="62">
        <f>'Métricas TARGET_POSE'!$H$49</f>
        <v>1.6193</v>
      </c>
      <c r="N88" s="63">
        <f>'Métricas IR_POSE TCP_CORRIGIDO'!$Z$102</f>
        <v>1.5402</v>
      </c>
      <c r="O88" s="63">
        <f>'Métricas IR_POSE TCP_CORRIGIDO'!$AB$102</f>
        <v>10.9793</v>
      </c>
      <c r="P88" s="63">
        <f>'Métricas IR_POSE TCP_CORRIGIDO'!$AD$102</f>
        <v>12.5195</v>
      </c>
      <c r="Q88" s="62">
        <f>'Métricas IR_POSE TCP_CORRIGIDO'!$R$102</f>
        <v>1.6248076809272</v>
      </c>
      <c r="R88" s="63">
        <f>'Métricas TERMINAR_TAREFA'!$H$58</f>
        <v>0.5584</v>
      </c>
      <c r="S88" s="63">
        <f>'Métricas TERMINAR_TAREFA'!$J$58</f>
        <v>7.5329</v>
      </c>
      <c r="T88" s="63">
        <f>'Métricas TERMINAR_TAREFA'!$L$58</f>
        <v>8.0913</v>
      </c>
    </row>
    <row r="89" spans="1:20" ht="18" customHeight="1">
      <c r="A89" s="54">
        <v>4</v>
      </c>
      <c r="B89" s="54">
        <f>'Comparação Planners'!$R$58</f>
        <v>8</v>
      </c>
      <c r="C89" s="54" t="str">
        <f>'Comparação Planners'!$S$60</f>
        <v>RRTstar</v>
      </c>
      <c r="D89" s="56">
        <f>'Comparação Planners'!$T$60</f>
        <v>3.339</v>
      </c>
      <c r="E89" s="56">
        <f>'Comparação Planners'!$U$60</f>
        <v>35.119</v>
      </c>
      <c r="F89" s="56">
        <f>'Comparação Planners'!$V$60</f>
        <v>38.458</v>
      </c>
      <c r="G89" s="56">
        <f>'Comparação Planners'!$W$60</f>
        <v>4.0122</v>
      </c>
      <c r="H89" s="58">
        <f>'Comparação Planners'!$X$60</f>
        <v>38</v>
      </c>
      <c r="I89" s="54" t="str">
        <f>'Comparação Planners'!$Y$60</f>
        <v>✓</v>
      </c>
      <c r="J89" s="60">
        <f>'Comparação Planners'!$Z$60</f>
        <v>0</v>
      </c>
      <c r="L89" s="62">
        <f>'Métricas PICK_POSE'!$T$53</f>
        <v>151.5344</v>
      </c>
      <c r="M89" s="62">
        <f>'Métricas TARGET_POSE'!$T$49</f>
        <v>2.198</v>
      </c>
      <c r="N89" s="63">
        <f>'Métricas IR_POSE TCP_CORRIGIDO'!$Z$103</f>
        <v>1.4407</v>
      </c>
      <c r="O89" s="63">
        <f>'Métricas IR_POSE TCP_CORRIGIDO'!$AB$103</f>
        <v>9.7748</v>
      </c>
      <c r="P89" s="63">
        <f>'Métricas IR_POSE TCP_CORRIGIDO'!$AD$103</f>
        <v>11.2155</v>
      </c>
      <c r="Q89" s="62">
        <f>'Métricas IR_POSE TCP_CORRIGIDO'!$R$103</f>
        <v>0.574456264653856</v>
      </c>
      <c r="R89" s="63">
        <f>'Métricas TERMINAR_TAREFA'!$Y$58</f>
        <v>0.0107</v>
      </c>
      <c r="S89" s="63">
        <f>'Métricas TERMINAR_TAREFA'!$AA$58</f>
        <v>7.8172</v>
      </c>
      <c r="T89" s="63">
        <f>'Métricas TERMINAR_TAREFA'!$AC$58</f>
        <v>7.8279</v>
      </c>
    </row>
    <row r="90" spans="1:20" ht="18" customHeight="1">
      <c r="A90" s="54">
        <v>4</v>
      </c>
      <c r="B90" s="54">
        <f>'Comparação Planners'!$R$61</f>
        <v>9</v>
      </c>
      <c r="C90" s="54" t="str">
        <f>'Comparação Planners'!$S$63</f>
        <v>RRTstar</v>
      </c>
      <c r="D90" s="56">
        <f>'Comparação Planners'!$T$63</f>
        <v>3.049</v>
      </c>
      <c r="E90" s="56">
        <f>'Comparação Planners'!$U$63</f>
        <v>25.652</v>
      </c>
      <c r="F90" s="56">
        <f>'Comparação Planners'!$V$63</f>
        <v>28.701</v>
      </c>
      <c r="G90" s="56">
        <f>'Comparação Planners'!$W$63</f>
        <v>4.2073</v>
      </c>
      <c r="H90" s="58">
        <f>'Comparação Planners'!$X$63</f>
        <v>46</v>
      </c>
      <c r="I90" s="54" t="str">
        <f>'Comparação Planners'!$Y$63</f>
        <v>✓</v>
      </c>
      <c r="J90" s="60">
        <f>'Comparação Planners'!$Z$63</f>
        <v>0</v>
      </c>
      <c r="L90" s="62">
        <f>'Métricas PICK_POSE'!$H$54</f>
        <v>152.1189</v>
      </c>
      <c r="M90" s="62">
        <f>'Métricas TARGET_POSE'!$H$50</f>
        <v>2.8617</v>
      </c>
      <c r="N90" s="63">
        <f>'Métricas IR_POSE TCP_CORRIGIDO'!$Z$104</f>
        <v>1.5793</v>
      </c>
      <c r="O90" s="63">
        <f>'Métricas IR_POSE TCP_CORRIGIDO'!$AB$104</f>
        <v>10.9945</v>
      </c>
      <c r="P90" s="63">
        <f>'Métricas IR_POSE TCP_CORRIGIDO'!$AD$104</f>
        <v>12.5738</v>
      </c>
      <c r="Q90" s="62">
        <f>'Métricas IR_POSE TCP_CORRIGIDO'!$R$104</f>
        <v>1.61554944214038</v>
      </c>
      <c r="R90" s="63">
        <f>'Métricas TERMINAR_TAREFA'!$H$59</f>
        <v>0.5581</v>
      </c>
      <c r="S90" s="63">
        <f>'Métricas TERMINAR_TAREFA'!$J$59</f>
        <v>6.7788</v>
      </c>
      <c r="T90" s="63">
        <f>'Métricas TERMINAR_TAREFA'!$L$59</f>
        <v>7.3369</v>
      </c>
    </row>
    <row r="91" spans="1:20" ht="18" customHeight="1">
      <c r="A91" s="54">
        <v>4</v>
      </c>
      <c r="B91" s="54">
        <f>'Comparação Planners'!$R$64</f>
        <v>10</v>
      </c>
      <c r="C91" s="54" t="str">
        <f>'Comparação Planners'!$S$66</f>
        <v>RRTstar</v>
      </c>
      <c r="D91" s="56">
        <f>'Comparação Planners'!$T$66</f>
        <v>3.7</v>
      </c>
      <c r="E91" s="56">
        <f>'Comparação Planners'!$U$66</f>
        <v>30.204</v>
      </c>
      <c r="F91" s="56">
        <f>'Comparação Planners'!$V$66</f>
        <v>33.904</v>
      </c>
      <c r="G91" s="56">
        <f>'Comparação Planners'!$W$66</f>
        <v>4.6124</v>
      </c>
      <c r="H91" s="58">
        <f>'Comparação Planners'!$X$66</f>
        <v>41</v>
      </c>
      <c r="I91" s="54" t="str">
        <f>'Comparação Planners'!$Y$66</f>
        <v>✓</v>
      </c>
      <c r="J91" s="60">
        <f>'Comparação Planners'!$Z$66</f>
        <v>0</v>
      </c>
      <c r="L91" s="62">
        <f>'Métricas PICK_POSE'!$T$54</f>
        <v>152.4341</v>
      </c>
      <c r="M91" s="62">
        <f>'Métricas TARGET_POSE'!$T$50</f>
        <v>1.7622</v>
      </c>
      <c r="N91" s="63">
        <f>'Métricas IR_POSE TCP_CORRIGIDO'!$Z$105</f>
        <v>1.2808</v>
      </c>
      <c r="O91" s="63">
        <f>'Métricas IR_POSE TCP_CORRIGIDO'!$AB$105</f>
        <v>9.7713</v>
      </c>
      <c r="P91" s="63">
        <f>'Métricas IR_POSE TCP_CORRIGIDO'!$AD$105</f>
        <v>11.0521</v>
      </c>
      <c r="Q91" s="62">
        <f>'Métricas IR_POSE TCP_CORRIGIDO'!$R$105</f>
        <v>0.447213595499983</v>
      </c>
      <c r="R91" s="63">
        <f>'Métricas TERMINAR_TAREFA'!$Y$59</f>
        <v>0.0213</v>
      </c>
      <c r="S91" s="63">
        <f>'Métricas TERMINAR_TAREFA'!$AA$59</f>
        <v>7.6451</v>
      </c>
      <c r="T91" s="63">
        <f>'Métricas TERMINAR_TAREFA'!$AC$59</f>
        <v>7.6664</v>
      </c>
    </row>
    <row r="92" spans="1:20" ht="18" customHeight="1">
      <c r="A92" s="54">
        <v>5</v>
      </c>
      <c r="B92" s="54">
        <f>'Comparação Planners'!$A$70</f>
        <v>1</v>
      </c>
      <c r="C92" s="54" t="str">
        <f>'Comparação Planners'!$B$72</f>
        <v>RRTstar</v>
      </c>
      <c r="D92" s="56">
        <f>'Comparação Planners'!$C$72</f>
        <v>3.217</v>
      </c>
      <c r="E92" s="56">
        <f>'Comparação Planners'!$D$72</f>
        <v>34.022</v>
      </c>
      <c r="F92" s="56">
        <f>'Comparação Planners'!$E$72</f>
        <v>37.239</v>
      </c>
      <c r="G92" s="56">
        <f>'Comparação Planners'!$F$72</f>
        <v>3.8195</v>
      </c>
      <c r="H92" s="58">
        <f>'Comparação Planners'!$G$72</f>
        <v>37</v>
      </c>
      <c r="I92" s="54" t="str">
        <f>'Comparação Planners'!$H$72</f>
        <v>✓</v>
      </c>
      <c r="J92" s="60">
        <f>'Comparação Planners'!$I$72</f>
        <v>0</v>
      </c>
      <c r="L92" s="62">
        <f>'Métricas PICK_POSE'!$H$55</f>
        <v>151.8147</v>
      </c>
      <c r="M92" s="62">
        <f>'Métricas TARGET_POSE'!$H$51</f>
        <v>2.9683</v>
      </c>
      <c r="N92" s="63">
        <f>'Métricas IR_POSE TCP_CORRIGIDO'!$Z$106</f>
        <v>1.5588</v>
      </c>
      <c r="O92" s="63">
        <f>'Métricas IR_POSE TCP_CORRIGIDO'!$AB$106</f>
        <v>11.6863</v>
      </c>
      <c r="P92" s="63">
        <f>'Métricas IR_POSE TCP_CORRIGIDO'!$AD$106</f>
        <v>13.2451</v>
      </c>
      <c r="Q92" s="62">
        <f>'Métricas IR_POSE TCP_CORRIGIDO'!$R$106</f>
        <v>0.99498743710663</v>
      </c>
      <c r="R92" s="63">
        <f>'Métricas TERMINAR_TAREFA'!$H$60</f>
        <v>0.0117</v>
      </c>
      <c r="S92" s="63">
        <f>'Métricas TERMINAR_TAREFA'!$J$60</f>
        <v>7.366</v>
      </c>
      <c r="T92" s="63">
        <f>'Métricas TERMINAR_TAREFA'!$L$60</f>
        <v>7.3777</v>
      </c>
    </row>
    <row r="93" spans="1:20" ht="18" customHeight="1">
      <c r="A93" s="54">
        <v>5</v>
      </c>
      <c r="B93" s="54">
        <f>'Comparação Planners'!$A$73</f>
        <v>2</v>
      </c>
      <c r="C93" s="54" t="str">
        <f>'Comparação Planners'!$B$75</f>
        <v>RRTstar</v>
      </c>
      <c r="D93" s="56">
        <f>'Comparação Planners'!$C$75</f>
        <v>3.921</v>
      </c>
      <c r="E93" s="56">
        <f>'Comparação Planners'!$D$75</f>
        <v>31.612</v>
      </c>
      <c r="F93" s="56">
        <f>'Comparação Planners'!$E$75</f>
        <v>35.533</v>
      </c>
      <c r="G93" s="56">
        <f>'Comparação Planners'!$F$75</f>
        <v>5.169</v>
      </c>
      <c r="H93" s="58">
        <f>'Comparação Planners'!$G$75</f>
        <v>44</v>
      </c>
      <c r="I93" s="54" t="str">
        <f>'Comparação Planners'!$H$75</f>
        <v>✓</v>
      </c>
      <c r="J93" s="60">
        <f>'Comparação Planners'!$I$75</f>
        <v>0</v>
      </c>
      <c r="L93" s="62">
        <f>'Métricas PICK_POSE'!$T$55</f>
        <v>152.3049</v>
      </c>
      <c r="M93" s="62">
        <f>'Métricas TARGET_POSE'!$T$51</f>
        <v>2.1009</v>
      </c>
      <c r="N93" s="63">
        <f>'Métricas IR_POSE TCP_CORRIGIDO'!$Z$107</f>
        <v>1.2918</v>
      </c>
      <c r="O93" s="63">
        <f>'Métricas IR_POSE TCP_CORRIGIDO'!$AB$107</f>
        <v>9.7818</v>
      </c>
      <c r="P93" s="63">
        <f>'Métricas IR_POSE TCP_CORRIGIDO'!$AD$107</f>
        <v>11.0736</v>
      </c>
      <c r="Q93" s="62">
        <f>'Métricas IR_POSE TCP_CORRIGIDO'!$R$107</f>
        <v>0.927361849549576</v>
      </c>
      <c r="R93" s="63">
        <f>'Métricas TERMINAR_TAREFA'!$Y$60</f>
        <v>0.0206</v>
      </c>
      <c r="S93" s="63">
        <f>'Métricas TERMINAR_TAREFA'!$AA$60</f>
        <v>7.9944</v>
      </c>
      <c r="T93" s="63">
        <f>'Métricas TERMINAR_TAREFA'!$AC$60</f>
        <v>8.015</v>
      </c>
    </row>
    <row r="94" spans="1:20" ht="18" customHeight="1">
      <c r="A94" s="54">
        <v>5</v>
      </c>
      <c r="B94" s="54">
        <f>'Comparação Planners'!$A$76</f>
        <v>3</v>
      </c>
      <c r="C94" s="54" t="str">
        <f>'Comparação Planners'!$B$78</f>
        <v>RRTstar</v>
      </c>
      <c r="D94" s="56">
        <f>'Comparação Planners'!$C$78</f>
        <v>3.772</v>
      </c>
      <c r="E94" s="56">
        <f>'Comparação Planners'!$D$78</f>
        <v>27.113</v>
      </c>
      <c r="F94" s="56">
        <f>'Comparação Planners'!$E$78</f>
        <v>30.885</v>
      </c>
      <c r="G94" s="56">
        <f>'Comparação Planners'!$F$78</f>
        <v>3.7367</v>
      </c>
      <c r="H94" s="58">
        <f>'Comparação Planners'!$G$78</f>
        <v>42</v>
      </c>
      <c r="I94" s="54" t="str">
        <f>'Comparação Planners'!$H$78</f>
        <v>✓</v>
      </c>
      <c r="J94" s="60">
        <f>'Comparação Planners'!$I$78</f>
        <v>0</v>
      </c>
      <c r="L94" s="62">
        <f>'Métricas PICK_POSE'!$H$56</f>
        <v>152.5493</v>
      </c>
      <c r="M94" s="62">
        <f>'Métricas TARGET_POSE'!$H$52</f>
        <v>1.8072</v>
      </c>
      <c r="N94" s="63">
        <f>'Métricas IR_POSE TCP_CORRIGIDO'!$Z$108</f>
        <v>1.4766</v>
      </c>
      <c r="O94" s="63">
        <f>'Métricas IR_POSE TCP_CORRIGIDO'!$AB$108</f>
        <v>11.6564</v>
      </c>
      <c r="P94" s="63">
        <f>'Métricas IR_POSE TCP_CORRIGIDO'!$AD$108</f>
        <v>13.133</v>
      </c>
      <c r="Q94" s="62">
        <f>'Métricas IR_POSE TCP_CORRIGIDO'!$R$108</f>
        <v>0.565685424949176</v>
      </c>
      <c r="R94" s="63">
        <f>'Métricas TERMINAR_TAREFA'!$H$61</f>
        <v>0.0216</v>
      </c>
      <c r="S94" s="63">
        <f>'Métricas TERMINAR_TAREFA'!$J$61</f>
        <v>7.4098</v>
      </c>
      <c r="T94" s="63">
        <f>'Métricas TERMINAR_TAREFA'!$L$61</f>
        <v>7.4314</v>
      </c>
    </row>
    <row r="95" spans="1:20" ht="18" customHeight="1">
      <c r="A95" s="54">
        <v>5</v>
      </c>
      <c r="B95" s="54">
        <f>'Comparação Planners'!$A$79</f>
        <v>4</v>
      </c>
      <c r="C95" s="54" t="str">
        <f>'Comparação Planners'!$B$81</f>
        <v>RRTstar</v>
      </c>
      <c r="D95" s="56">
        <f>'Comparação Planners'!$C$81</f>
        <v>3.406</v>
      </c>
      <c r="E95" s="56">
        <f>'Comparação Planners'!$D$81</f>
        <v>33.592</v>
      </c>
      <c r="F95" s="56">
        <f>'Comparação Planners'!$E$81</f>
        <v>36.998</v>
      </c>
      <c r="G95" s="56">
        <f>'Comparação Planners'!$F$81</f>
        <v>3.5102</v>
      </c>
      <c r="H95" s="58">
        <f>'Comparação Planners'!$G$81</f>
        <v>39</v>
      </c>
      <c r="I95" s="54" t="str">
        <f>'Comparação Planners'!$H$81</f>
        <v>✓</v>
      </c>
      <c r="J95" s="60">
        <f>'Comparação Planners'!$I$81</f>
        <v>0</v>
      </c>
      <c r="L95" s="62">
        <f>'Métricas PICK_POSE'!$T$56</f>
        <v>152.1719</v>
      </c>
      <c r="M95" s="62">
        <f>'Métricas TARGET_POSE'!$T$52</f>
        <v>2.0564</v>
      </c>
      <c r="N95" s="63">
        <f>'Métricas IR_POSE TCP_CORRIGIDO'!$Z$109</f>
        <v>1.5453</v>
      </c>
      <c r="O95" s="63">
        <f>'Métricas IR_POSE TCP_CORRIGIDO'!$AB$109</f>
        <v>8.5402</v>
      </c>
      <c r="P95" s="63">
        <f>'Métricas IR_POSE TCP_CORRIGIDO'!$AD$109</f>
        <v>10.0855</v>
      </c>
      <c r="Q95" s="62">
        <f>'Métricas IR_POSE TCP_CORRIGIDO'!$R$109</f>
        <v>1.07703296142691</v>
      </c>
      <c r="R95" s="63">
        <f>'Métricas TERMINAR_TAREFA'!$Y$61</f>
        <v>0.0206</v>
      </c>
      <c r="S95" s="63">
        <f>'Métricas TERMINAR_TAREFA'!$AA$61</f>
        <v>7.9898</v>
      </c>
      <c r="T95" s="63">
        <f>'Métricas TERMINAR_TAREFA'!$AC$61</f>
        <v>8.0104</v>
      </c>
    </row>
    <row r="96" spans="1:20" ht="18" customHeight="1">
      <c r="A96" s="54">
        <v>5</v>
      </c>
      <c r="B96" s="54">
        <f>'Comparação Planners'!$A$82</f>
        <v>5</v>
      </c>
      <c r="C96" s="54" t="str">
        <f>'Comparação Planners'!$B$84</f>
        <v>RRTstar</v>
      </c>
      <c r="D96" s="56">
        <f>'Comparação Planners'!$C$84</f>
        <v>3.868</v>
      </c>
      <c r="E96" s="56">
        <f>'Comparação Planners'!$D$84</f>
        <v>28.854</v>
      </c>
      <c r="F96" s="56">
        <f>'Comparação Planners'!$E$84</f>
        <v>32.722</v>
      </c>
      <c r="G96" s="56">
        <f>'Comparação Planners'!$F$84</f>
        <v>3.6295</v>
      </c>
      <c r="H96" s="58">
        <f>'Comparação Planners'!$G$84</f>
        <v>43</v>
      </c>
      <c r="I96" s="54" t="str">
        <f>'Comparação Planners'!$H$84</f>
        <v>✓</v>
      </c>
      <c r="J96" s="60">
        <f>'Comparação Planners'!$I$84</f>
        <v>0</v>
      </c>
      <c r="L96" s="62">
        <f>'Métricas PICK_POSE'!$H$57</f>
        <v>152.2031</v>
      </c>
      <c r="M96" s="62">
        <f>'Métricas TARGET_POSE'!$H$53</f>
        <v>1.9119</v>
      </c>
      <c r="N96" s="63">
        <f>'Métricas IR_POSE TCP_CORRIGIDO'!$Z$110</f>
        <v>1.595</v>
      </c>
      <c r="O96" s="63">
        <f>'Métricas IR_POSE TCP_CORRIGIDO'!$AB$110</f>
        <v>11.0429</v>
      </c>
      <c r="P96" s="63">
        <f>'Métricas IR_POSE TCP_CORRIGIDO'!$AD$110</f>
        <v>12.6379</v>
      </c>
      <c r="Q96" s="62">
        <f>'Métricas IR_POSE TCP_CORRIGIDO'!$R$110</f>
        <v>1.31909059582728</v>
      </c>
      <c r="R96" s="63">
        <f>'Métricas TERMINAR_TAREFA'!$H$62</f>
        <v>0.022</v>
      </c>
      <c r="S96" s="63">
        <f>'Métricas TERMINAR_TAREFA'!$J$62</f>
        <v>8.2317</v>
      </c>
      <c r="T96" s="63">
        <f>'Métricas TERMINAR_TAREFA'!$L$62</f>
        <v>8.2537</v>
      </c>
    </row>
    <row r="97" spans="1:20" ht="18" customHeight="1">
      <c r="A97" s="54">
        <v>5</v>
      </c>
      <c r="B97" s="54">
        <f>'Comparação Planners'!$A$85</f>
        <v>6</v>
      </c>
      <c r="C97" s="54" t="str">
        <f>'Comparação Planners'!$B$87</f>
        <v>RRTstar</v>
      </c>
      <c r="D97" s="56">
        <f>'Comparação Planners'!$C$87</f>
        <v>3.6783</v>
      </c>
      <c r="E97" s="56">
        <f>'Comparação Planners'!$D$87</f>
        <v>29.972</v>
      </c>
      <c r="F97" s="56">
        <f>'Comparação Planners'!$E$87</f>
        <v>33.6503</v>
      </c>
      <c r="G97" s="56">
        <f>'Comparação Planners'!$F$87</f>
        <v>3.4358</v>
      </c>
      <c r="H97" s="58">
        <f>'Comparação Planners'!$G$87</f>
        <v>49</v>
      </c>
      <c r="I97" s="54" t="str">
        <f>'Comparação Planners'!$H$87</f>
        <v>✓</v>
      </c>
      <c r="J97" s="60">
        <f>'Comparação Planners'!$I$87</f>
        <v>0</v>
      </c>
      <c r="L97" s="62">
        <f>'Métricas PICK_POSE'!$T$57</f>
        <v>153.9531</v>
      </c>
      <c r="M97" s="62">
        <f>'Métricas TARGET_POSE'!$T$53</f>
        <v>2.2185</v>
      </c>
      <c r="N97" s="63">
        <f>'Métricas IR_POSE TCP_CORRIGIDO'!$Z$111</f>
        <v>1.2412</v>
      </c>
      <c r="O97" s="63">
        <f>'Métricas IR_POSE TCP_CORRIGIDO'!$AB$111</f>
        <v>9.8242</v>
      </c>
      <c r="P97" s="63">
        <f>'Métricas IR_POSE TCP_CORRIGIDO'!$AD$111</f>
        <v>11.0654</v>
      </c>
      <c r="Q97" s="62">
        <f>'Métricas IR_POSE TCP_CORRIGIDO'!$R$111</f>
        <v>1.39283882771845</v>
      </c>
      <c r="R97" s="63">
        <f>'Métricas TERMINAR_TAREFA'!$Y$62</f>
        <v>0.0198</v>
      </c>
      <c r="S97" s="63">
        <f>'Métricas TERMINAR_TAREFA'!$AA$62</f>
        <v>7.6061</v>
      </c>
      <c r="T97" s="63">
        <f>'Métricas TERMINAR_TAREFA'!$AC$62</f>
        <v>7.6259</v>
      </c>
    </row>
    <row r="98" spans="1:20" ht="18" customHeight="1">
      <c r="A98" s="54">
        <v>5</v>
      </c>
      <c r="B98" s="54">
        <f>'Comparação Planners'!$A$88</f>
        <v>7</v>
      </c>
      <c r="C98" s="54" t="str">
        <f>'Comparação Planners'!$B$90</f>
        <v>RRTstar</v>
      </c>
      <c r="D98" s="56">
        <f>'Comparação Planners'!$C$90</f>
        <v>4.481</v>
      </c>
      <c r="E98" s="56">
        <f>'Comparação Planners'!$D$90</f>
        <v>33.336</v>
      </c>
      <c r="F98" s="56">
        <f>'Comparação Planners'!$E$90</f>
        <v>37.817</v>
      </c>
      <c r="G98" s="56">
        <f>'Comparação Planners'!$F$90</f>
        <v>8.4626</v>
      </c>
      <c r="H98" s="58">
        <f>'Comparação Planners'!$G$90</f>
        <v>60</v>
      </c>
      <c r="I98" s="54" t="str">
        <f>'Comparação Planners'!$H$90</f>
        <v>✓</v>
      </c>
      <c r="J98" s="60" t="str">
        <f>'Comparação Planners'!$I$90</f>
        <v>Replaneou</v>
      </c>
      <c r="L98" s="62">
        <f>'Métricas PICK_POSE'!$H$58</f>
        <v>151.3426</v>
      </c>
      <c r="M98" s="62">
        <f>'Métricas TARGET_POSE'!$H$54</f>
        <v>1.9355</v>
      </c>
      <c r="N98" s="63">
        <f>'Métricas IR_POSE TCP_CORRIGIDO'!$Z$112</f>
        <v>1.5378</v>
      </c>
      <c r="O98" s="63">
        <f>'Métricas IR_POSE TCP_CORRIGIDO'!$AB$112</f>
        <v>10.9551</v>
      </c>
      <c r="P98" s="63">
        <f>'Métricas IR_POSE TCP_CORRIGIDO'!$AD$112</f>
        <v>12.4929</v>
      </c>
      <c r="Q98" s="62">
        <f>'Métricas IR_POSE TCP_CORRIGIDO'!$R$112</f>
        <v>0.099999999999989</v>
      </c>
      <c r="R98" s="63">
        <f>'Métricas TERMINAR_TAREFA'!$H$63</f>
        <v>0.217</v>
      </c>
      <c r="S98" s="63">
        <f>'Métricas TERMINAR_TAREFA'!$J$63</f>
        <v>7.4696</v>
      </c>
      <c r="T98" s="63">
        <f>'Métricas TERMINAR_TAREFA'!$L$63</f>
        <v>7.6866</v>
      </c>
    </row>
    <row r="99" spans="1:20" ht="18" customHeight="1">
      <c r="A99" s="54">
        <v>5</v>
      </c>
      <c r="B99" s="54">
        <f>'Comparação Planners'!$A$91</f>
        <v>8</v>
      </c>
      <c r="C99" s="54" t="str">
        <f>'Comparação Planners'!$B$93</f>
        <v>RRTstar</v>
      </c>
      <c r="D99" s="56">
        <f>'Comparação Planners'!$C$93</f>
        <v>3.751</v>
      </c>
      <c r="E99" s="56">
        <f>'Comparação Planners'!$D$93</f>
        <v>29.222</v>
      </c>
      <c r="F99" s="56">
        <f>'Comparação Planners'!$E$93</f>
        <v>32.973</v>
      </c>
      <c r="G99" s="56">
        <f>'Comparação Planners'!$F$93</f>
        <v>3.8887</v>
      </c>
      <c r="H99" s="58">
        <f>'Comparação Planners'!$G$93</f>
        <v>42</v>
      </c>
      <c r="I99" s="54" t="str">
        <f>'Comparação Planners'!$H$93</f>
        <v>✓</v>
      </c>
      <c r="J99" s="60">
        <f>'Comparação Planners'!$I$93</f>
        <v>0</v>
      </c>
      <c r="L99" s="62">
        <f>'Métricas PICK_POSE'!$T$58</f>
        <v>151.9287</v>
      </c>
      <c r="M99" s="62">
        <f>'Métricas TARGET_POSE'!$T$54</f>
        <v>1.6861</v>
      </c>
      <c r="N99" s="63">
        <f>'Métricas IR_POSE TCP_CORRIGIDO'!$Z$113</f>
        <v>1.5347</v>
      </c>
      <c r="O99" s="63">
        <f>'Métricas IR_POSE TCP_CORRIGIDO'!$AB$113</f>
        <v>9.7847</v>
      </c>
      <c r="P99" s="63">
        <f>'Métricas IR_POSE TCP_CORRIGIDO'!$AD$113</f>
        <v>11.3194</v>
      </c>
      <c r="Q99" s="62">
        <f>'Métricas IR_POSE TCP_CORRIGIDO'!$R$113</f>
        <v>1.26885775404498</v>
      </c>
      <c r="R99" s="63">
        <f>'Métricas TERMINAR_TAREFA'!$Y$63</f>
        <v>0.021</v>
      </c>
      <c r="S99" s="63">
        <f>'Métricas TERMINAR_TAREFA'!$AA$63</f>
        <v>7.6177</v>
      </c>
      <c r="T99" s="63">
        <f>'Métricas TERMINAR_TAREFA'!$AC$63</f>
        <v>7.6387</v>
      </c>
    </row>
    <row r="100" spans="1:20" ht="18" customHeight="1">
      <c r="A100" s="54">
        <v>5</v>
      </c>
      <c r="B100" s="54">
        <f>'Comparação Planners'!$A$94</f>
        <v>9</v>
      </c>
      <c r="C100" s="54" t="str">
        <f>'Comparação Planners'!$B$96</f>
        <v>RRTstar</v>
      </c>
      <c r="D100" s="56">
        <f>'Comparação Planners'!$C$96</f>
        <v>4.049</v>
      </c>
      <c r="E100" s="56">
        <f>'Comparação Planners'!$D$96</f>
        <v>33.652</v>
      </c>
      <c r="F100" s="56">
        <f>'Comparação Planners'!$E$96</f>
        <v>37.701</v>
      </c>
      <c r="G100" s="56">
        <f>'Comparação Planners'!$F$96</f>
        <v>4.2073</v>
      </c>
      <c r="H100" s="58">
        <f>'Comparação Planners'!$G$96</f>
        <v>46</v>
      </c>
      <c r="I100" s="54" t="str">
        <f>'Comparação Planners'!$H$96</f>
        <v>✓</v>
      </c>
      <c r="J100" s="60">
        <f>'Comparação Planners'!$I$96</f>
        <v>0</v>
      </c>
      <c r="L100" s="62">
        <f>'Métricas PICK_POSE'!$H$59</f>
        <v>152.5195</v>
      </c>
      <c r="M100" s="62">
        <f>'Métricas TARGET_POSE'!$H$55</f>
        <v>2.7595</v>
      </c>
      <c r="N100" s="63">
        <f>'Métricas IR_POSE TCP_CORRIGIDO'!$Z$114</f>
        <v>1.5402</v>
      </c>
      <c r="O100" s="63">
        <f>'Métricas IR_POSE TCP_CORRIGIDO'!$AB$114</f>
        <v>10.9793</v>
      </c>
      <c r="P100" s="63">
        <f>'Métricas IR_POSE TCP_CORRIGIDO'!$AD$114</f>
        <v>12.5195</v>
      </c>
      <c r="Q100" s="62">
        <f>'Métricas IR_POSE TCP_CORRIGIDO'!$R$114</f>
        <v>1.6248076809272</v>
      </c>
      <c r="R100" s="63">
        <f>'Métricas TERMINAR_TAREFA'!$H$64</f>
        <v>0.0103</v>
      </c>
      <c r="S100" s="63">
        <f>'Métricas TERMINAR_TAREFA'!$J$64</f>
        <v>7.3897</v>
      </c>
      <c r="T100" s="63">
        <f>'Métricas TERMINAR_TAREFA'!$L$64</f>
        <v>7.4</v>
      </c>
    </row>
    <row r="101" spans="1:20" ht="18" customHeight="1">
      <c r="A101" s="54">
        <v>5</v>
      </c>
      <c r="B101" s="54">
        <f>'Comparação Planners'!$A$97</f>
        <v>10</v>
      </c>
      <c r="C101" s="54" t="str">
        <f>'Comparação Planners'!$B$99</f>
        <v>RRTstar</v>
      </c>
      <c r="D101" s="56">
        <f>'Comparação Planners'!$C$99</f>
        <v>4.161</v>
      </c>
      <c r="E101" s="56">
        <f>'Comparação Planners'!$D$99</f>
        <v>33.7</v>
      </c>
      <c r="F101" s="56">
        <f>'Comparação Planners'!$E$99</f>
        <v>37.861</v>
      </c>
      <c r="G101" s="56">
        <f>'Comparação Planners'!$F$99</f>
        <v>5.3424</v>
      </c>
      <c r="H101" s="58">
        <f>'Comparação Planners'!$G$99</f>
        <v>47</v>
      </c>
      <c r="I101" s="54" t="str">
        <f>'Comparação Planners'!$H$99</f>
        <v>✓</v>
      </c>
      <c r="J101" s="60">
        <f>'Comparação Planners'!$I$99</f>
        <v>0</v>
      </c>
      <c r="L101" s="62">
        <f>'Métricas PICK_POSE'!$T$59</f>
        <v>151.4128</v>
      </c>
      <c r="M101" s="62">
        <f>'Métricas TARGET_POSE'!$T$55</f>
        <v>3.1998</v>
      </c>
      <c r="N101" s="63">
        <f>'Métricas IR_POSE TCP_CORRIGIDO'!$Z$115</f>
        <v>1.4407</v>
      </c>
      <c r="O101" s="63">
        <f>'Métricas IR_POSE TCP_CORRIGIDO'!$AB$115</f>
        <v>9.7748</v>
      </c>
      <c r="P101" s="63">
        <f>'Métricas IR_POSE TCP_CORRIGIDO'!$AD$115</f>
        <v>11.2155</v>
      </c>
      <c r="Q101" s="62">
        <f>'Métricas IR_POSE TCP_CORRIGIDO'!$R$115</f>
        <v>0.574456264653856</v>
      </c>
      <c r="R101" s="63">
        <f>'Métricas TERMINAR_TAREFA'!$Y$64</f>
        <v>0.0212</v>
      </c>
      <c r="S101" s="63">
        <f>'Métricas TERMINAR_TAREFA'!$AA$64</f>
        <v>7.6705</v>
      </c>
      <c r="T101" s="63">
        <f>'Métricas TERMINAR_TAREFA'!$AC$64</f>
        <v>7.6917</v>
      </c>
    </row>
    <row r="102" spans="1:20" ht="18" customHeight="1">
      <c r="A102" s="54">
        <v>1</v>
      </c>
      <c r="B102" s="54">
        <f>'Comparação Planners'!$A$3</f>
        <v>1</v>
      </c>
      <c r="C102" s="54" t="str">
        <f>'Comparação Planners'!$B$4</f>
        <v>PRMstar</v>
      </c>
      <c r="D102" s="56">
        <f>'Comparação Planners'!$C$4</f>
        <v>4.0674</v>
      </c>
      <c r="E102" s="56">
        <f>'Comparação Planners'!$D$4</f>
        <v>35.806</v>
      </c>
      <c r="F102" s="56">
        <f>'Comparação Planners'!$E$4</f>
        <v>39.8734</v>
      </c>
      <c r="G102" s="56">
        <f>'Comparação Planners'!$F$4</f>
        <v>3.5204</v>
      </c>
      <c r="H102" s="58">
        <f>'Comparação Planners'!$G$4</f>
        <v>45</v>
      </c>
      <c r="I102" s="54" t="str">
        <f>'Comparação Planners'!$H$4</f>
        <v>✓</v>
      </c>
      <c r="J102" s="60">
        <f>'Comparação Planners'!$I$4</f>
        <v>0</v>
      </c>
      <c r="M102" s="62">
        <f>'Métricas TARGET_POSE'!$H$56</f>
        <v>1.9298</v>
      </c>
      <c r="N102" s="63">
        <f>'Métricas IR_POSE TCP_CORRIGIDO'!$Z$119</f>
        <v>1.55</v>
      </c>
      <c r="O102" s="63">
        <f>'Métricas IR_POSE TCP_CORRIGIDO'!$AB$119</f>
        <v>11.2044</v>
      </c>
      <c r="P102" s="63">
        <f>'Métricas IR_POSE TCP_CORRIGIDO'!$AD$119</f>
        <v>12.7544</v>
      </c>
      <c r="Q102" s="62">
        <f>'Métricas IR_POSE TCP_CORRIGIDO'!$R$119</f>
        <v>1.04880884817012</v>
      </c>
    </row>
    <row r="103" spans="1:20" ht="18" customHeight="1">
      <c r="A103" s="54">
        <v>1</v>
      </c>
      <c r="B103" s="54">
        <f>'Comparação Planners'!$A$6</f>
        <v>2</v>
      </c>
      <c r="C103" s="54" t="str">
        <f>'Comparação Planners'!$B$7</f>
        <v>PRMstar</v>
      </c>
      <c r="D103" s="56">
        <f>'Comparação Planners'!$C$7</f>
        <v>3.401</v>
      </c>
      <c r="E103" s="56">
        <f>'Comparação Planners'!$D$7</f>
        <v>40.138</v>
      </c>
      <c r="F103" s="56">
        <f>'Comparação Planners'!$E$7</f>
        <v>43.539</v>
      </c>
      <c r="G103" s="56">
        <f>'Comparação Planners'!$F$7</f>
        <v>4.4645</v>
      </c>
      <c r="H103" s="58">
        <f>'Comparação Planners'!$G$7</f>
        <v>39</v>
      </c>
      <c r="I103" s="54" t="str">
        <f>'Comparação Planners'!$H$7</f>
        <v>✓</v>
      </c>
      <c r="J103" s="60">
        <f>'Comparação Planners'!$I$7</f>
        <v>0</v>
      </c>
      <c r="M103" s="62">
        <f>'Métricas TARGET_POSE'!$T$56</f>
        <v>1.6477</v>
      </c>
      <c r="N103" s="63">
        <f>'Métricas IR_POSE TCP_CORRIGIDO'!$Z$120</f>
        <v>1.5407</v>
      </c>
      <c r="O103" s="63">
        <f>'Métricas IR_POSE TCP_CORRIGIDO'!$AB$120</f>
        <v>9.3377</v>
      </c>
      <c r="P103" s="63">
        <f>'Métricas IR_POSE TCP_CORRIGIDO'!$AD$120</f>
        <v>10.8784</v>
      </c>
      <c r="Q103" s="62">
        <f>'Métricas IR_POSE TCP_CORRIGIDO'!$R$120</f>
        <v>0.142828568570854</v>
      </c>
    </row>
    <row r="104" spans="1:20" ht="18" customHeight="1">
      <c r="A104" s="54">
        <v>1</v>
      </c>
      <c r="B104" s="54">
        <f>'Comparação Planners'!$A$9</f>
        <v>3</v>
      </c>
      <c r="C104" s="54" t="str">
        <f>'Comparação Planners'!$B$10</f>
        <v>PRMstar</v>
      </c>
      <c r="D104" s="56">
        <f>'Comparação Planners'!$C$10</f>
        <v>3.311</v>
      </c>
      <c r="E104" s="56">
        <f>'Comparação Planners'!$D$10</f>
        <v>41.53</v>
      </c>
      <c r="F104" s="56">
        <f>'Comparação Planners'!$E$10</f>
        <v>44.841</v>
      </c>
      <c r="G104" s="56">
        <f>'Comparação Planners'!$F$10</f>
        <v>4.2954</v>
      </c>
      <c r="H104" s="58">
        <f>'Comparação Planners'!$G$10</f>
        <v>38</v>
      </c>
      <c r="I104" s="54" t="str">
        <f>'Comparação Planners'!$H$10</f>
        <v>✓</v>
      </c>
      <c r="J104" s="60">
        <f>'Comparação Planners'!$I$10</f>
        <v>0</v>
      </c>
      <c r="M104" s="62">
        <f>'Métricas TARGET_POSE'!$H$57</f>
        <v>1.9007</v>
      </c>
      <c r="N104" s="63">
        <f>'Métricas IR_POSE TCP_CORRIGIDO'!$Z$121</f>
        <v>1.5735</v>
      </c>
      <c r="O104" s="63">
        <f>'Métricas IR_POSE TCP_CORRIGIDO'!$AB$121</f>
        <v>11.2043</v>
      </c>
      <c r="P104" s="63">
        <f>'Métricas IR_POSE TCP_CORRIGIDO'!$AD$121</f>
        <v>12.7778</v>
      </c>
      <c r="Q104" s="62">
        <f>'Métricas IR_POSE TCP_CORRIGIDO'!$R$121</f>
        <v>0.911043357914439</v>
      </c>
    </row>
    <row r="105" spans="1:20" ht="18" customHeight="1">
      <c r="A105" s="54">
        <v>1</v>
      </c>
      <c r="B105" s="54">
        <f>'Comparação Planners'!$A$12</f>
        <v>4</v>
      </c>
      <c r="C105" s="54" t="str">
        <f>'Comparação Planners'!$B$13</f>
        <v>PRMstar</v>
      </c>
      <c r="D105" s="56">
        <f>'Comparação Planners'!$C$13</f>
        <v>4.127</v>
      </c>
      <c r="E105" s="56">
        <f>'Comparação Planners'!$D$13</f>
        <v>37.361</v>
      </c>
      <c r="F105" s="56">
        <f>'Comparação Planners'!$E$13</f>
        <v>41.488</v>
      </c>
      <c r="G105" s="56">
        <f>'Comparação Planners'!$F$13</f>
        <v>4.2357</v>
      </c>
      <c r="H105" s="58">
        <f>'Comparação Planners'!$G$13</f>
        <v>46</v>
      </c>
      <c r="I105" s="54" t="str">
        <f>'Comparação Planners'!$H$13</f>
        <v>✓</v>
      </c>
      <c r="J105" s="60">
        <f>'Comparação Planners'!$I$13</f>
        <v>0</v>
      </c>
      <c r="M105" s="62">
        <f>'Métricas TARGET_POSE'!$T$57</f>
        <v>1.8783</v>
      </c>
      <c r="N105" s="63">
        <f>'Métricas IR_POSE TCP_CORRIGIDO'!$Z$122</f>
        <v>1.5477</v>
      </c>
      <c r="O105" s="63">
        <f>'Métricas IR_POSE TCP_CORRIGIDO'!$AB$122</f>
        <v>8.7386</v>
      </c>
      <c r="P105" s="63">
        <f>'Métricas IR_POSE TCP_CORRIGIDO'!$AD$122</f>
        <v>10.2863</v>
      </c>
      <c r="Q105" s="62">
        <f>'Métricas IR_POSE TCP_CORRIGIDO'!$R$122</f>
        <v>0.818535277187218</v>
      </c>
    </row>
    <row r="106" spans="1:20" ht="18" customHeight="1">
      <c r="A106" s="54">
        <v>1</v>
      </c>
      <c r="B106" s="54">
        <f>'Comparação Planners'!$A$15</f>
        <v>5</v>
      </c>
      <c r="C106" s="54" t="str">
        <f>'Comparação Planners'!$B$16</f>
        <v>PRMstar</v>
      </c>
      <c r="D106" s="56">
        <f>'Comparação Planners'!$C$16</f>
        <v>3.491</v>
      </c>
      <c r="E106" s="56">
        <f>'Comparação Planners'!$D$16</f>
        <v>38.343</v>
      </c>
      <c r="F106" s="56">
        <f>'Comparação Planners'!$E$16</f>
        <v>41.834</v>
      </c>
      <c r="G106" s="56">
        <f>'Comparação Planners'!$F$16</f>
        <v>4.4431</v>
      </c>
      <c r="H106" s="58">
        <f>'Comparação Planners'!$G$16</f>
        <v>40</v>
      </c>
      <c r="I106" s="54" t="str">
        <f>'Comparação Planners'!$H$16</f>
        <v>✓</v>
      </c>
      <c r="J106" s="60">
        <f>'Comparação Planners'!$I$16</f>
        <v>0</v>
      </c>
      <c r="M106" s="62">
        <f>'Métricas TARGET_POSE'!$H$58</f>
        <v>2.2304</v>
      </c>
      <c r="N106" s="63">
        <f>'Métricas IR_POSE TCP_CORRIGIDO'!$Z$123</f>
        <v>1.555</v>
      </c>
      <c r="O106" s="63">
        <f>'Métricas IR_POSE TCP_CORRIGIDO'!$AB$123</f>
        <v>9.9133</v>
      </c>
      <c r="P106" s="63">
        <f>'Métricas IR_POSE TCP_CORRIGIDO'!$AD$123</f>
        <v>11.4683</v>
      </c>
      <c r="Q106" s="62">
        <f>'Métricas IR_POSE TCP_CORRIGIDO'!$R$123</f>
        <v>0.424264068711895</v>
      </c>
    </row>
    <row r="107" spans="1:20" ht="18" customHeight="1">
      <c r="A107" s="54">
        <v>1</v>
      </c>
      <c r="B107" s="54">
        <f>'Comparação Planners'!$A$18</f>
        <v>6</v>
      </c>
      <c r="C107" s="54" t="str">
        <f>'Comparação Planners'!$B$19</f>
        <v>PRMstar</v>
      </c>
      <c r="D107" s="56">
        <f>'Comparação Planners'!$C$19</f>
        <v>3.268</v>
      </c>
      <c r="E107" s="56">
        <f>'Comparação Planners'!$D$19</f>
        <v>33.975</v>
      </c>
      <c r="F107" s="56">
        <f>'Comparação Planners'!$E$19</f>
        <v>37.243</v>
      </c>
      <c r="G107" s="56">
        <f>'Comparação Planners'!$F$19</f>
        <v>4.2726</v>
      </c>
      <c r="H107" s="58">
        <f>'Comparação Planners'!$G$19</f>
        <v>38</v>
      </c>
      <c r="I107" s="54" t="str">
        <f>'Comparação Planners'!$H$19</f>
        <v>✓</v>
      </c>
      <c r="J107" s="60">
        <f>'Comparação Planners'!$I$19</f>
        <v>0</v>
      </c>
      <c r="M107" s="62">
        <f>'Métricas TARGET_POSE'!$T$58</f>
        <v>1.4751</v>
      </c>
      <c r="N107" s="63">
        <f>'Métricas IR_POSE TCP_CORRIGIDO'!$Z$124</f>
        <v>1.5737</v>
      </c>
      <c r="O107" s="63">
        <f>'Métricas IR_POSE TCP_CORRIGIDO'!$AB$124</f>
        <v>10.0994</v>
      </c>
      <c r="P107" s="63">
        <f>'Métricas IR_POSE TCP_CORRIGIDO'!$AD$124</f>
        <v>11.6731</v>
      </c>
      <c r="Q107" s="62">
        <f>'Métricas IR_POSE TCP_CORRIGIDO'!$R$124</f>
        <v>0.374165738677386</v>
      </c>
    </row>
    <row r="108" spans="1:20" ht="18" customHeight="1">
      <c r="A108" s="54">
        <v>1</v>
      </c>
      <c r="B108" s="54">
        <f>'Comparação Planners'!$A$21</f>
        <v>7</v>
      </c>
      <c r="C108" s="54" t="str">
        <f>'Comparação Planners'!$B$22</f>
        <v>PRMstar</v>
      </c>
      <c r="D108" s="56">
        <f>'Comparação Planners'!$C$22</f>
        <v>4.088</v>
      </c>
      <c r="E108" s="56">
        <f>'Comparação Planners'!$D$22</f>
        <v>36.978</v>
      </c>
      <c r="F108" s="56">
        <f>'Comparação Planners'!$E$22</f>
        <v>41.066</v>
      </c>
      <c r="G108" s="56">
        <f>'Comparação Planners'!$F$22</f>
        <v>4.4906</v>
      </c>
      <c r="H108" s="58">
        <f>'Comparação Planners'!$G$22</f>
        <v>47</v>
      </c>
      <c r="I108" s="54" t="str">
        <f>'Comparação Planners'!$H$22</f>
        <v>✓</v>
      </c>
      <c r="J108" s="60">
        <f>'Comparação Planners'!$I$22</f>
        <v>0</v>
      </c>
      <c r="M108" s="62">
        <f>'Métricas TARGET_POSE'!$H$59</f>
        <v>1.9054</v>
      </c>
      <c r="N108" s="63">
        <f>'Métricas IR_POSE TCP_CORRIGIDO'!$Z$125</f>
        <v>1.5628</v>
      </c>
      <c r="O108" s="63">
        <f>'Métricas IR_POSE TCP_CORRIGIDO'!$AB$125</f>
        <v>11.202</v>
      </c>
      <c r="P108" s="63">
        <f>'Métricas IR_POSE TCP_CORRIGIDO'!$AD$125</f>
        <v>12.7648</v>
      </c>
      <c r="Q108" s="62">
        <f>'Métricas IR_POSE TCP_CORRIGIDO'!$R$125</f>
        <v>1.08627804912003</v>
      </c>
    </row>
    <row r="109" spans="1:20" ht="18" customHeight="1">
      <c r="A109" s="54">
        <v>1</v>
      </c>
      <c r="B109" s="54">
        <f>'Comparação Planners'!$A$24</f>
        <v>8</v>
      </c>
      <c r="C109" s="54" t="str">
        <f>'Comparação Planners'!$B$25</f>
        <v>PRMstar</v>
      </c>
      <c r="D109" s="56">
        <f>'Comparação Planners'!$C$25</f>
        <v>3.351</v>
      </c>
      <c r="E109" s="56">
        <f>'Comparação Planners'!$D$25</f>
        <v>39.147</v>
      </c>
      <c r="F109" s="56">
        <f>'Comparação Planners'!$E$25</f>
        <v>42.498</v>
      </c>
      <c r="G109" s="56">
        <f>'Comparação Planners'!$F$25</f>
        <v>4.3687</v>
      </c>
      <c r="H109" s="58">
        <f>'Comparação Planners'!$G$25</f>
        <v>38</v>
      </c>
      <c r="I109" s="54" t="str">
        <f>'Comparação Planners'!$H$25</f>
        <v>✓</v>
      </c>
      <c r="J109" s="60">
        <f>'Comparação Planners'!$I$25</f>
        <v>0</v>
      </c>
      <c r="M109" s="62">
        <f>'Métricas TARGET_POSE'!$T$59</f>
        <v>1.4172</v>
      </c>
      <c r="N109" s="63">
        <f>'Métricas IR_POSE TCP_CORRIGIDO'!$Z$126</f>
        <v>1.5324</v>
      </c>
      <c r="O109" s="63">
        <f>'Métricas IR_POSE TCP_CORRIGIDO'!$AB$126</f>
        <v>10.0834</v>
      </c>
      <c r="P109" s="63">
        <f>'Métricas IR_POSE TCP_CORRIGIDO'!$AD$126</f>
        <v>11.6158</v>
      </c>
      <c r="Q109" s="62">
        <f>'Métricas IR_POSE TCP_CORRIGIDO'!$R$126</f>
        <v>0.984885780179632</v>
      </c>
    </row>
    <row r="110" spans="1:20" ht="18" customHeight="1">
      <c r="A110" s="54">
        <v>1</v>
      </c>
      <c r="B110" s="54">
        <f>'Comparação Planners'!$A$27</f>
        <v>9</v>
      </c>
      <c r="C110" s="54" t="str">
        <f>'Comparação Planners'!$B$28</f>
        <v>PRMstar</v>
      </c>
      <c r="D110" s="56">
        <f>'Comparação Planners'!$C$28</f>
        <v>4.04</v>
      </c>
      <c r="E110" s="56">
        <f>'Comparação Planners'!$D$28</f>
        <v>46.696</v>
      </c>
      <c r="F110" s="56">
        <f>'Comparação Planners'!$E$28</f>
        <v>50.736</v>
      </c>
      <c r="G110" s="56">
        <f>'Comparação Planners'!$F$28</f>
        <v>4.5032</v>
      </c>
      <c r="H110" s="58">
        <f>'Comparação Planners'!$G$28</f>
        <v>45</v>
      </c>
      <c r="I110" s="54" t="str">
        <f>'Comparação Planners'!$H$28</f>
        <v>✓</v>
      </c>
      <c r="J110" s="60">
        <f>'Comparação Planners'!$I$28</f>
        <v>0</v>
      </c>
      <c r="M110" s="62">
        <f>'Métricas TARGET_POSE'!$H$60</f>
        <v>1.7829</v>
      </c>
      <c r="N110" s="63">
        <f>'Métricas IR_POSE TCP_CORRIGIDO'!$Z$127</f>
        <v>1.5448</v>
      </c>
      <c r="O110" s="63">
        <f>'Métricas IR_POSE TCP_CORRIGIDO'!$AB$127</f>
        <v>10.8503</v>
      </c>
      <c r="P110" s="63">
        <f>'Métricas IR_POSE TCP_CORRIGIDO'!$AD$127</f>
        <v>12.3951</v>
      </c>
      <c r="Q110" s="62">
        <f>'Métricas IR_POSE TCP_CORRIGIDO'!$R$127</f>
        <v>0.787400787401228</v>
      </c>
    </row>
    <row r="111" spans="1:20" ht="18" customHeight="1">
      <c r="A111" s="54">
        <v>1</v>
      </c>
      <c r="B111" s="54">
        <f>'Comparação Planners'!$A$30</f>
        <v>10</v>
      </c>
      <c r="C111" s="54" t="str">
        <f>'Comparação Planners'!$B$31</f>
        <v>PRMstar</v>
      </c>
      <c r="D111" s="56">
        <f>'Comparação Planners'!$C$31</f>
        <v>4.142</v>
      </c>
      <c r="E111" s="56">
        <f>'Comparação Planners'!$D$31</f>
        <v>27.014</v>
      </c>
      <c r="F111" s="56">
        <f>'Comparação Planners'!$E$31</f>
        <v>31.156</v>
      </c>
      <c r="G111" s="56">
        <f>'Comparação Planners'!$F$31</f>
        <v>4.3946</v>
      </c>
      <c r="H111" s="58">
        <f>'Comparação Planners'!$G$31</f>
        <v>48</v>
      </c>
      <c r="I111" s="54" t="str">
        <f>'Comparação Planners'!$H$31</f>
        <v>✓</v>
      </c>
      <c r="J111" s="60">
        <f>'Comparação Planners'!$I$31</f>
        <v>0</v>
      </c>
      <c r="M111" s="62">
        <f>'Métricas TARGET_POSE'!$T$60</f>
        <v>1.5621</v>
      </c>
      <c r="N111" s="63">
        <f>'Métricas IR_POSE TCP_CORRIGIDO'!$Z$128</f>
        <v>1.5459</v>
      </c>
      <c r="O111" s="63">
        <f>'Métricas IR_POSE TCP_CORRIGIDO'!$AB$128</f>
        <v>10.9562</v>
      </c>
      <c r="P111" s="63">
        <f>'Métricas IR_POSE TCP_CORRIGIDO'!$AD$128</f>
        <v>12.5021</v>
      </c>
      <c r="Q111" s="62">
        <f>'Métricas IR_POSE TCP_CORRIGIDO'!$R$128</f>
        <v>1.37477270848677</v>
      </c>
    </row>
    <row r="112" spans="1:20" ht="18" customHeight="1">
      <c r="A112" s="54">
        <v>2</v>
      </c>
      <c r="B112" s="54">
        <f>'Comparação Planners'!$R$3</f>
        <v>1</v>
      </c>
      <c r="C112" s="54" t="str">
        <f>'Comparação Planners'!$S$4</f>
        <v>PRMstar</v>
      </c>
      <c r="D112" s="56">
        <f>'Comparação Planners'!$T$4</f>
        <v>3.926</v>
      </c>
      <c r="E112" s="56">
        <f>'Comparação Planners'!$U$4</f>
        <v>29.107</v>
      </c>
      <c r="F112" s="56">
        <f>'Comparação Planners'!$V$4</f>
        <v>33.033</v>
      </c>
      <c r="G112" s="56">
        <f>'Comparação Planners'!$W$4</f>
        <v>3.5837</v>
      </c>
      <c r="H112" s="58">
        <f>'Comparação Planners'!$X$4</f>
        <v>44</v>
      </c>
      <c r="I112" s="54" t="str">
        <f>'Comparação Planners'!$Y$4</f>
        <v>✓</v>
      </c>
      <c r="J112" s="60">
        <f>'Comparação Planners'!$Z$4</f>
        <v>0</v>
      </c>
      <c r="M112" s="62">
        <f>'Métricas TARGET_POSE'!$H$61</f>
        <v>2.5272</v>
      </c>
      <c r="N112" s="63">
        <f>'Métricas IR_POSE TCP_CORRIGIDO'!$Z$129</f>
        <v>1.5167</v>
      </c>
      <c r="O112" s="63">
        <f>'Métricas IR_POSE TCP_CORRIGIDO'!$AB$129</f>
        <v>8.32</v>
      </c>
      <c r="P112" s="63">
        <f>'Métricas IR_POSE TCP_CORRIGIDO'!$AD$129</f>
        <v>9.8367</v>
      </c>
      <c r="Q112" s="62">
        <f>'Métricas IR_POSE TCP_CORRIGIDO'!$R$129</f>
        <v>1.558845726812</v>
      </c>
    </row>
    <row r="113" spans="1:17" ht="18" customHeight="1">
      <c r="A113" s="54">
        <v>2</v>
      </c>
      <c r="B113" s="54">
        <f>'Comparação Planners'!$R$6</f>
        <v>2</v>
      </c>
      <c r="C113" s="54" t="str">
        <f>'Comparação Planners'!$S$7</f>
        <v>PRMstar</v>
      </c>
      <c r="D113" s="56">
        <f>'Comparação Planners'!$T$7</f>
        <v>4.366</v>
      </c>
      <c r="E113" s="56">
        <f>'Comparação Planners'!$U$7</f>
        <v>26.377</v>
      </c>
      <c r="F113" s="56">
        <f>'Comparação Planners'!$V$7</f>
        <v>30.743</v>
      </c>
      <c r="G113" s="56">
        <f>'Comparação Planners'!$W$7</f>
        <v>3.3897</v>
      </c>
      <c r="H113" s="58">
        <f>'Comparação Planners'!$X$7</f>
        <v>48</v>
      </c>
      <c r="I113" s="54" t="str">
        <f>'Comparação Planners'!$Y$7</f>
        <v>✓</v>
      </c>
      <c r="J113" s="60">
        <f>'Comparação Planners'!$Z$7</f>
        <v>0</v>
      </c>
      <c r="M113" s="62">
        <f>'Métricas TARGET_POSE'!$T$61</f>
        <v>1.621</v>
      </c>
      <c r="N113" s="63">
        <f>'Métricas IR_POSE TCP_CORRIGIDO'!$Z$130</f>
        <v>1.5407</v>
      </c>
      <c r="O113" s="63">
        <f>'Métricas IR_POSE TCP_CORRIGIDO'!$AB$130</f>
        <v>9.8984</v>
      </c>
      <c r="P113" s="63">
        <f>'Métricas IR_POSE TCP_CORRIGIDO'!$AD$130</f>
        <v>11.4391</v>
      </c>
      <c r="Q113" s="62">
        <f>'Métricas IR_POSE TCP_CORRIGIDO'!$R$130</f>
        <v>2.06881608655775</v>
      </c>
    </row>
    <row r="114" spans="1:17" ht="18" customHeight="1">
      <c r="A114" s="54">
        <v>2</v>
      </c>
      <c r="B114" s="54">
        <f>'Comparação Planners'!$R$9</f>
        <v>3</v>
      </c>
      <c r="C114" s="54" t="str">
        <f>'Comparação Planners'!$S$10</f>
        <v>PRMstar</v>
      </c>
      <c r="D114" s="56">
        <f>'Comparação Planners'!$T$10</f>
        <v>3.786</v>
      </c>
      <c r="E114" s="56">
        <f>'Comparação Planners'!$U$10</f>
        <v>28.927</v>
      </c>
      <c r="F114" s="56">
        <f>'Comparação Planners'!$V$10</f>
        <v>32.713</v>
      </c>
      <c r="G114" s="56">
        <f>'Comparação Planners'!$W$10</f>
        <v>7.9259</v>
      </c>
      <c r="H114" s="58">
        <f>'Comparação Planners'!$X$10</f>
        <v>65</v>
      </c>
      <c r="I114" s="54" t="str">
        <f>'Comparação Planners'!$Y$10</f>
        <v>✓</v>
      </c>
      <c r="J114" s="60" t="str">
        <f>'Comparação Planners'!$Z$10</f>
        <v>Replaneou</v>
      </c>
      <c r="M114" s="62">
        <f>'Métricas TARGET_POSE'!$H$62</f>
        <v>1.8046</v>
      </c>
      <c r="N114" s="63">
        <f>'Métricas IR_POSE TCP_CORRIGIDO'!$Z$131</f>
        <v>1.5966</v>
      </c>
      <c r="O114" s="63">
        <f>'Métricas IR_POSE TCP_CORRIGIDO'!$AB$131</f>
        <v>7.5518</v>
      </c>
      <c r="P114" s="63">
        <f>'Métricas IR_POSE TCP_CORRIGIDO'!$AD$131</f>
        <v>9.1484</v>
      </c>
      <c r="Q114" s="62">
        <f>'Métricas IR_POSE TCP_CORRIGIDO'!$R$131</f>
        <v>0.916515138991188</v>
      </c>
    </row>
    <row r="115" spans="1:17" ht="18" customHeight="1">
      <c r="A115" s="54">
        <v>2</v>
      </c>
      <c r="B115" s="54">
        <f>'Comparação Planners'!$R$12</f>
        <v>4</v>
      </c>
      <c r="C115" s="54" t="str">
        <f>'Comparação Planners'!$S$13</f>
        <v>PRMstar</v>
      </c>
      <c r="D115" s="56">
        <f>'Comparação Planners'!$T$13</f>
        <v>4.073</v>
      </c>
      <c r="E115" s="56">
        <f>'Comparação Planners'!$U$13</f>
        <v>26.6987</v>
      </c>
      <c r="F115" s="56">
        <f>'Comparação Planners'!$V$13</f>
        <v>30.7717</v>
      </c>
      <c r="G115" s="56">
        <f>'Comparação Planners'!$W$13</f>
        <v>2.7396</v>
      </c>
      <c r="H115" s="58">
        <f>'Comparação Planners'!$X$13</f>
        <v>46</v>
      </c>
      <c r="I115" s="54" t="str">
        <f>'Comparação Planners'!$Y$13</f>
        <v>✓</v>
      </c>
      <c r="J115" s="60">
        <f>'Comparação Planners'!$Z$13</f>
        <v>0</v>
      </c>
      <c r="M115" s="62">
        <f>'Métricas TARGET_POSE'!$T$62</f>
        <v>1.7722</v>
      </c>
      <c r="N115" s="63">
        <f>'Métricas IR_POSE TCP_CORRIGIDO'!$Z$132</f>
        <v>1.5476</v>
      </c>
      <c r="O115" s="63">
        <f>'Métricas IR_POSE TCP_CORRIGIDO'!$AB$132</f>
        <v>10.7292</v>
      </c>
      <c r="P115" s="63">
        <f>'Métricas IR_POSE TCP_CORRIGIDO'!$AD$132</f>
        <v>12.2768</v>
      </c>
      <c r="Q115" s="62">
        <f>'Métricas IR_POSE TCP_CORRIGIDO'!$R$132</f>
        <v>0.640312423743321</v>
      </c>
    </row>
    <row r="116" spans="1:17" ht="18" customHeight="1">
      <c r="A116" s="54">
        <v>2</v>
      </c>
      <c r="B116" s="54">
        <f>'Comparação Planners'!$R$15</f>
        <v>5</v>
      </c>
      <c r="C116" s="54" t="str">
        <f>'Comparação Planners'!$S$16</f>
        <v>PRMstar</v>
      </c>
      <c r="D116" s="56">
        <f>'Comparação Planners'!$T$16</f>
        <v>4.439</v>
      </c>
      <c r="E116" s="56">
        <f>'Comparação Planners'!$U$16</f>
        <v>26.742</v>
      </c>
      <c r="F116" s="56">
        <f>'Comparação Planners'!$V$16</f>
        <v>31.181</v>
      </c>
      <c r="G116" s="56">
        <f>'Comparação Planners'!$W$16</f>
        <v>4.3399</v>
      </c>
      <c r="H116" s="58">
        <f>'Comparação Planners'!$X$16</f>
        <v>49</v>
      </c>
      <c r="I116" s="54" t="str">
        <f>'Comparação Planners'!$Y$16</f>
        <v>✓</v>
      </c>
      <c r="J116" s="60">
        <f>'Comparação Planners'!$Z$16</f>
        <v>0</v>
      </c>
      <c r="M116" s="62">
        <f>'Métricas TARGET_POSE'!$H$63</f>
        <v>1.7679</v>
      </c>
      <c r="N116" s="63">
        <f>'Métricas IR_POSE TCP_CORRIGIDO'!$Z$133</f>
        <v>1.5371</v>
      </c>
      <c r="O116" s="63">
        <f>'Métricas IR_POSE TCP_CORRIGIDO'!$AB$133</f>
        <v>8.1993</v>
      </c>
      <c r="P116" s="63">
        <f>'Métricas IR_POSE TCP_CORRIGIDO'!$AD$133</f>
        <v>9.7364</v>
      </c>
      <c r="Q116" s="62">
        <f>'Métricas IR_POSE TCP_CORRIGIDO'!$R$133</f>
        <v>0.781024967590665</v>
      </c>
    </row>
    <row r="117" spans="1:17" ht="18" customHeight="1">
      <c r="A117" s="54">
        <v>2</v>
      </c>
      <c r="B117" s="54">
        <f>'Comparação Planners'!$R$18</f>
        <v>6</v>
      </c>
      <c r="C117" s="54" t="str">
        <f>'Comparação Planners'!$S$19</f>
        <v>PRMstar</v>
      </c>
      <c r="D117" s="56">
        <f>'Comparação Planners'!$T$19</f>
        <v>3.7289</v>
      </c>
      <c r="E117" s="56">
        <f>'Comparação Planners'!$U$19</f>
        <v>29.757</v>
      </c>
      <c r="F117" s="56">
        <f>'Comparação Planners'!$V$19</f>
        <v>33.4859</v>
      </c>
      <c r="G117" s="56">
        <f>'Comparação Planners'!$W$19</f>
        <v>3.7169</v>
      </c>
      <c r="H117" s="58">
        <f>'Comparação Planners'!$X$19</f>
        <v>42</v>
      </c>
      <c r="I117" s="54" t="str">
        <f>'Comparação Planners'!$Y$19</f>
        <v>✓</v>
      </c>
      <c r="J117" s="60">
        <f>'Comparação Planners'!$Z$19</f>
        <v>0</v>
      </c>
      <c r="M117" s="62">
        <f>'Métricas TARGET_POSE'!$T$63</f>
        <v>2.1665</v>
      </c>
      <c r="N117" s="63">
        <f>'Métricas IR_POSE TCP_CORRIGIDO'!$Z$134</f>
        <v>1.5361</v>
      </c>
      <c r="O117" s="63">
        <f>'Métricas IR_POSE TCP_CORRIGIDO'!$AB$134</f>
        <v>9.794</v>
      </c>
      <c r="P117" s="63">
        <f>'Métricas IR_POSE TCP_CORRIGIDO'!$AD$134</f>
        <v>11.3301</v>
      </c>
      <c r="Q117" s="62">
        <f>'Métricas IR_POSE TCP_CORRIGIDO'!$R$134</f>
        <v>1.26491106406734</v>
      </c>
    </row>
    <row r="118" spans="1:17" ht="18" customHeight="1">
      <c r="A118" s="54">
        <v>2</v>
      </c>
      <c r="B118" s="54">
        <f>'Comparação Planners'!$R$21</f>
        <v>7</v>
      </c>
      <c r="C118" s="54" t="str">
        <f>'Comparação Planners'!$S$22</f>
        <v>PRMstar</v>
      </c>
      <c r="D118" s="56">
        <f>'Comparação Planners'!$T$22</f>
        <v>4.072</v>
      </c>
      <c r="E118" s="56">
        <f>'Comparação Planners'!$U$22</f>
        <v>29.144</v>
      </c>
      <c r="F118" s="56">
        <f>'Comparação Planners'!$V$22</f>
        <v>33.216</v>
      </c>
      <c r="G118" s="56">
        <f>'Comparação Planners'!$W$22</f>
        <v>6.222</v>
      </c>
      <c r="H118" s="58">
        <f>'Comparação Planners'!$X$22</f>
        <v>46</v>
      </c>
      <c r="I118" s="54" t="str">
        <f>'Comparação Planners'!$Y$22</f>
        <v>✓</v>
      </c>
      <c r="J118" s="60">
        <f>'Comparação Planners'!$Z$22</f>
        <v>0</v>
      </c>
      <c r="M118" s="62">
        <f>'Métricas TARGET_POSE'!$H$64</f>
        <v>1.7862</v>
      </c>
      <c r="N118" s="63">
        <f>'Métricas IR_POSE TCP_CORRIGIDO'!$Z$135</f>
        <v>1.5218</v>
      </c>
      <c r="O118" s="63">
        <f>'Métricas IR_POSE TCP_CORRIGIDO'!$AB$135</f>
        <v>11.8847</v>
      </c>
      <c r="P118" s="63">
        <f>'Métricas IR_POSE TCP_CORRIGIDO'!$AD$135</f>
        <v>13.4065</v>
      </c>
      <c r="Q118" s="62">
        <f>'Métricas IR_POSE TCP_CORRIGIDO'!$R$135</f>
        <v>0.905538513813728</v>
      </c>
    </row>
    <row r="119" spans="1:17" ht="18" customHeight="1">
      <c r="A119" s="54">
        <v>2</v>
      </c>
      <c r="B119" s="54">
        <f>'Comparação Planners'!$R$24</f>
        <v>8</v>
      </c>
      <c r="C119" s="54" t="str">
        <f>'Comparação Planners'!$S$25</f>
        <v>PRMstar</v>
      </c>
      <c r="D119" s="56">
        <f>'Comparação Planners'!$T$25</f>
        <v>3.737</v>
      </c>
      <c r="E119" s="56">
        <f>'Comparação Planners'!$U$25</f>
        <v>29.279</v>
      </c>
      <c r="F119" s="56">
        <f>'Comparação Planners'!$V$25</f>
        <v>33.016</v>
      </c>
      <c r="G119" s="56">
        <f>'Comparação Planners'!$W$25</f>
        <v>4.4951</v>
      </c>
      <c r="H119" s="58">
        <f>'Comparação Planners'!$X$25</f>
        <v>42</v>
      </c>
      <c r="I119" s="54" t="str">
        <f>'Comparação Planners'!$Y$25</f>
        <v>✓</v>
      </c>
      <c r="J119" s="60">
        <f>'Comparação Planners'!$Z$25</f>
        <v>0</v>
      </c>
      <c r="M119" s="62">
        <f>'Métricas TARGET_POSE'!$T$64</f>
        <v>1.8127</v>
      </c>
      <c r="N119" s="63">
        <f>'Métricas IR_POSE TCP_CORRIGIDO'!$Z$136</f>
        <v>1.522</v>
      </c>
      <c r="O119" s="63">
        <f>'Métricas IR_POSE TCP_CORRIGIDO'!$AB$136</f>
        <v>10.7265</v>
      </c>
      <c r="P119" s="63">
        <f>'Métricas IR_POSE TCP_CORRIGIDO'!$AD$136</f>
        <v>12.2485</v>
      </c>
      <c r="Q119" s="62">
        <f>'Métricas IR_POSE TCP_CORRIGIDO'!$R$136</f>
        <v>1.10905365064094</v>
      </c>
    </row>
    <row r="120" spans="1:17" ht="18" customHeight="1">
      <c r="A120" s="54">
        <v>2</v>
      </c>
      <c r="B120" s="54">
        <f>'Comparação Planners'!$R$27</f>
        <v>9</v>
      </c>
      <c r="C120" s="54" t="str">
        <f>'Comparação Planners'!$S$28</f>
        <v>PRMstar</v>
      </c>
      <c r="D120" s="56">
        <f>'Comparação Planners'!$T$28</f>
        <v>3.762</v>
      </c>
      <c r="E120" s="56">
        <f>'Comparação Planners'!$U$28</f>
        <v>31.789</v>
      </c>
      <c r="F120" s="56">
        <f>'Comparação Planners'!$V$28</f>
        <v>35.551</v>
      </c>
      <c r="G120" s="56">
        <f>'Comparação Planners'!$W$28</f>
        <v>6.747</v>
      </c>
      <c r="H120" s="58">
        <f>'Comparação Planners'!$X$28</f>
        <v>42</v>
      </c>
      <c r="I120" s="54" t="str">
        <f>'Comparação Planners'!$Y$28</f>
        <v>✓</v>
      </c>
      <c r="J120" s="60">
        <f>'Comparação Planners'!$Z$28</f>
        <v>0</v>
      </c>
      <c r="M120" s="62">
        <f>'Métricas TARGET_POSE'!$H$65</f>
        <v>1.4441</v>
      </c>
      <c r="N120" s="63">
        <f>'Métricas IR_POSE TCP_CORRIGIDO'!$Z$137</f>
        <v>1.5751</v>
      </c>
      <c r="O120" s="63">
        <f>'Métricas IR_POSE TCP_CORRIGIDO'!$AB$137</f>
        <v>9.615</v>
      </c>
      <c r="P120" s="63">
        <f>'Métricas IR_POSE TCP_CORRIGIDO'!$AD$137</f>
        <v>11.1901</v>
      </c>
      <c r="Q120" s="62">
        <f>'Métricas IR_POSE TCP_CORRIGIDO'!$R$137</f>
        <v>0.331662479035554</v>
      </c>
    </row>
    <row r="121" spans="1:17" ht="18" customHeight="1">
      <c r="A121" s="54">
        <v>2</v>
      </c>
      <c r="B121" s="54">
        <f>'Comparação Planners'!$R$30</f>
        <v>10</v>
      </c>
      <c r="C121" s="54" t="str">
        <f>'Comparação Planners'!$S$31</f>
        <v>PRMstar</v>
      </c>
      <c r="D121" s="56">
        <f>'Comparação Planners'!$T$31</f>
        <v>3.978</v>
      </c>
      <c r="E121" s="56">
        <f>'Comparação Planners'!$U$31</f>
        <v>29.164</v>
      </c>
      <c r="F121" s="56">
        <f>'Comparação Planners'!$V$31</f>
        <v>33.142</v>
      </c>
      <c r="G121" s="56">
        <f>'Comparação Planners'!$W$31</f>
        <v>4.1148</v>
      </c>
      <c r="H121" s="58">
        <f>'Comparação Planners'!$X$31</f>
        <v>45</v>
      </c>
      <c r="I121" s="54" t="str">
        <f>'Comparação Planners'!$Y$31</f>
        <v>✓</v>
      </c>
      <c r="J121" s="60">
        <f>'Comparação Planners'!$Z$31</f>
        <v>0</v>
      </c>
      <c r="M121" s="62">
        <f>'Métricas TARGET_POSE'!$T$65</f>
        <v>1.5605</v>
      </c>
      <c r="N121" s="63">
        <f>'Métricas IR_POSE TCP_CORRIGIDO'!$Z$138</f>
        <v>1.5105</v>
      </c>
      <c r="O121" s="63">
        <f>'Métricas IR_POSE TCP_CORRIGIDO'!$AB$138</f>
        <v>7.237</v>
      </c>
      <c r="P121" s="63">
        <f>'Métricas IR_POSE TCP_CORRIGIDO'!$AD$138</f>
        <v>8.7475</v>
      </c>
      <c r="Q121" s="62">
        <f>'Métricas IR_POSE TCP_CORRIGIDO'!$R$138</f>
        <v>0.787400787401172</v>
      </c>
    </row>
    <row r="122" spans="1:17" ht="18" customHeight="1">
      <c r="A122" s="54">
        <v>3</v>
      </c>
      <c r="B122" s="54">
        <f>'Comparação Planners'!$A$37</f>
        <v>1</v>
      </c>
      <c r="C122" s="54" t="str">
        <f>'Comparação Planners'!$B$38</f>
        <v>PRMstar</v>
      </c>
      <c r="D122" s="56">
        <f>'Comparação Planners'!$C$38</f>
        <v>3.786</v>
      </c>
      <c r="E122" s="56">
        <f>'Comparação Planners'!$D$38</f>
        <v>27.38</v>
      </c>
      <c r="F122" s="56">
        <f>'Comparação Planners'!$E$38</f>
        <v>31.166</v>
      </c>
      <c r="G122" s="56">
        <f>'Comparação Planners'!$F$38</f>
        <v>3.7629</v>
      </c>
      <c r="H122" s="58">
        <f>'Comparação Planners'!$G$38</f>
        <v>42</v>
      </c>
      <c r="I122" s="54" t="str">
        <f>'Comparação Planners'!$H$38</f>
        <v>✓</v>
      </c>
      <c r="J122" s="60">
        <f>'Comparação Planners'!$I$38</f>
        <v>0</v>
      </c>
      <c r="M122" s="62">
        <f>'Métricas TARGET_POSE'!$H$68</f>
        <v>1.7071</v>
      </c>
      <c r="N122" s="63">
        <f>'Métricas IR_POSE TCP_CORRIGIDO'!$Z$142</f>
        <v>1.5523</v>
      </c>
      <c r="O122" s="63">
        <f>'Métricas IR_POSE TCP_CORRIGIDO'!$AB$142</f>
        <v>11.4386</v>
      </c>
      <c r="P122" s="63">
        <f>'Métricas IR_POSE TCP_CORRIGIDO'!$AD$142</f>
        <v>12.9909</v>
      </c>
      <c r="Q122" s="62">
        <f>'Métricas IR_POSE TCP_CORRIGIDO'!$R$142</f>
        <v>1.00995049383621</v>
      </c>
    </row>
    <row r="123" spans="1:17" ht="18" customHeight="1">
      <c r="A123" s="54">
        <v>3</v>
      </c>
      <c r="B123" s="54">
        <f>'Comparação Planners'!$A$40</f>
        <v>2</v>
      </c>
      <c r="C123" s="54" t="str">
        <f>'Comparação Planners'!$B$41</f>
        <v>PRMstar</v>
      </c>
      <c r="D123" s="56">
        <f>'Comparação Planners'!$C$41</f>
        <v>6.618</v>
      </c>
      <c r="E123" s="56">
        <f>'Comparação Planners'!$D$41</f>
        <v>29.987</v>
      </c>
      <c r="F123" s="56">
        <f>'Comparação Planners'!$E$41</f>
        <v>36.605</v>
      </c>
      <c r="G123" s="56">
        <f>'Comparação Planners'!$F$41</f>
        <v>6.6493</v>
      </c>
      <c r="H123" s="58">
        <f>'Comparação Planners'!$G$41</f>
        <v>71</v>
      </c>
      <c r="I123" s="54" t="str">
        <f>'Comparação Planners'!$H$41</f>
        <v>✓</v>
      </c>
      <c r="J123" s="60" t="str">
        <f>'Comparação Planners'!$I$41</f>
        <v>Replaneou</v>
      </c>
      <c r="M123" s="62">
        <f>'Métricas TARGET_POSE'!$T$68</f>
        <v>1.3294</v>
      </c>
      <c r="N123" s="63">
        <f>'Métricas IR_POSE TCP_CORRIGIDO'!$Z$143</f>
        <v>1.5706</v>
      </c>
      <c r="O123" s="63">
        <f>'Métricas IR_POSE TCP_CORRIGIDO'!$AB$143</f>
        <v>10.5196</v>
      </c>
      <c r="P123" s="63">
        <f>'Métricas IR_POSE TCP_CORRIGIDO'!$AD$143</f>
        <v>12.0902</v>
      </c>
      <c r="Q123" s="62">
        <f>'Métricas IR_POSE TCP_CORRIGIDO'!$R$143</f>
        <v>0.435889894354058</v>
      </c>
    </row>
    <row r="124" spans="1:17" ht="18" customHeight="1">
      <c r="A124" s="54">
        <v>3</v>
      </c>
      <c r="B124" s="54">
        <f>'Comparação Planners'!$A$43</f>
        <v>3</v>
      </c>
      <c r="C124" s="54" t="str">
        <f>'Comparação Planners'!$B$44</f>
        <v>PRMstar</v>
      </c>
      <c r="D124" s="56">
        <f>'Comparação Planners'!$C$44</f>
        <v>4.426</v>
      </c>
      <c r="E124" s="56">
        <f>'Comparação Planners'!$D$44</f>
        <v>29.631</v>
      </c>
      <c r="F124" s="56">
        <f>'Comparação Planners'!$E$44</f>
        <v>34.057</v>
      </c>
      <c r="G124" s="56">
        <f>'Comparação Planners'!$F$44</f>
        <v>3.4781</v>
      </c>
      <c r="H124" s="58">
        <f>'Comparação Planners'!$G$44</f>
        <v>48</v>
      </c>
      <c r="I124" s="54" t="str">
        <f>'Comparação Planners'!$H$44</f>
        <v>✓</v>
      </c>
      <c r="J124" s="60">
        <f>'Comparação Planners'!$I$44</f>
        <v>0</v>
      </c>
      <c r="M124" s="62">
        <f>'Métricas TARGET_POSE'!$H$69</f>
        <v>1.9329</v>
      </c>
      <c r="N124" s="63">
        <f>'Métricas IR_POSE TCP_CORRIGIDO'!$Z$144</f>
        <v>1.5541</v>
      </c>
      <c r="O124" s="63">
        <f>'Métricas IR_POSE TCP_CORRIGIDO'!$AB$144</f>
        <v>10.1699</v>
      </c>
      <c r="P124" s="63">
        <f>'Métricas IR_POSE TCP_CORRIGIDO'!$AD$144</f>
        <v>11.724</v>
      </c>
      <c r="Q124" s="62">
        <f>'Métricas IR_POSE TCP_CORRIGIDO'!$R$144</f>
        <v>0.424264068711885</v>
      </c>
    </row>
    <row r="125" spans="1:17" ht="18" customHeight="1">
      <c r="A125" s="54">
        <v>3</v>
      </c>
      <c r="B125" s="54">
        <f>'Comparação Planners'!$A$46</f>
        <v>4</v>
      </c>
      <c r="C125" s="54" t="str">
        <f>'Comparação Planners'!$B$47</f>
        <v>PRMstar</v>
      </c>
      <c r="D125" s="56">
        <f>'Comparação Planners'!$C$47</f>
        <v>4.024</v>
      </c>
      <c r="E125" s="56">
        <f>'Comparação Planners'!$D$47</f>
        <v>31.102</v>
      </c>
      <c r="F125" s="56">
        <f>'Comparação Planners'!$E$47</f>
        <v>35.126</v>
      </c>
      <c r="G125" s="56">
        <f>'Comparação Planners'!$F$47</f>
        <v>4.0447</v>
      </c>
      <c r="H125" s="58">
        <f>'Comparação Planners'!$G$47</f>
        <v>45</v>
      </c>
      <c r="I125" s="54" t="str">
        <f>'Comparação Planners'!$H$47</f>
        <v>✓</v>
      </c>
      <c r="J125" s="60">
        <f>'Comparação Planners'!$I$47</f>
        <v>0</v>
      </c>
      <c r="M125" s="62">
        <f>'Métricas TARGET_POSE'!$T$69</f>
        <v>1.5965</v>
      </c>
      <c r="N125" s="63">
        <f>'Métricas IR_POSE TCP_CORRIGIDO'!$Z$145</f>
        <v>1.5881</v>
      </c>
      <c r="O125" s="63">
        <f>'Métricas IR_POSE TCP_CORRIGIDO'!$AB$145</f>
        <v>13.1244</v>
      </c>
      <c r="P125" s="63">
        <f>'Métricas IR_POSE TCP_CORRIGIDO'!$AD$145</f>
        <v>14.7125</v>
      </c>
      <c r="Q125" s="62">
        <f>'Métricas IR_POSE TCP_CORRIGIDO'!$R$145</f>
        <v>1.157583690279</v>
      </c>
    </row>
    <row r="126" spans="1:17" ht="18" customHeight="1">
      <c r="A126" s="54">
        <v>3</v>
      </c>
      <c r="B126" s="54">
        <f>'Comparação Planners'!$A$49</f>
        <v>5</v>
      </c>
      <c r="C126" s="54" t="str">
        <f>'Comparação Planners'!$B$50</f>
        <v>PRMstar</v>
      </c>
      <c r="D126" s="56">
        <f>'Comparação Planners'!$C$50</f>
        <v>4.431</v>
      </c>
      <c r="E126" s="56">
        <f>'Comparação Planners'!$D$50</f>
        <v>27.318</v>
      </c>
      <c r="F126" s="56">
        <f>'Comparação Planners'!$E$50</f>
        <v>31.749</v>
      </c>
      <c r="G126" s="56">
        <f>'Comparação Planners'!$F$50</f>
        <v>4.3696</v>
      </c>
      <c r="H126" s="58">
        <f>'Comparação Planners'!$G$50</f>
        <v>49</v>
      </c>
      <c r="I126" s="54" t="str">
        <f>'Comparação Planners'!$H$50</f>
        <v>✓</v>
      </c>
      <c r="J126" s="60">
        <f>'Comparação Planners'!$I$50</f>
        <v>0</v>
      </c>
      <c r="M126" s="62">
        <f>'Métricas TARGET_POSE'!$H$70</f>
        <v>2.0618</v>
      </c>
      <c r="N126" s="63">
        <f>'Métricas IR_POSE TCP_CORRIGIDO'!$Z$146</f>
        <v>1.5699</v>
      </c>
      <c r="O126" s="63">
        <f>'Métricas IR_POSE TCP_CORRIGIDO'!$AB$146</f>
        <v>9.5756</v>
      </c>
      <c r="P126" s="63">
        <f>'Métricas IR_POSE TCP_CORRIGIDO'!$AD$146</f>
        <v>11.1455</v>
      </c>
      <c r="Q126" s="62">
        <f>'Métricas IR_POSE TCP_CORRIGIDO'!$R$146</f>
        <v>0.748331477354817</v>
      </c>
    </row>
    <row r="127" spans="1:17" ht="18" customHeight="1">
      <c r="A127" s="54">
        <v>3</v>
      </c>
      <c r="B127" s="54">
        <f>'Comparação Planners'!$A$52</f>
        <v>6</v>
      </c>
      <c r="C127" s="54" t="str">
        <f>'Comparação Planners'!$B$53</f>
        <v>PRMstar</v>
      </c>
      <c r="D127" s="56">
        <f>'Comparação Planners'!$C$53</f>
        <v>4.445</v>
      </c>
      <c r="E127" s="56">
        <f>'Comparação Planners'!$D$53</f>
        <v>29.938</v>
      </c>
      <c r="F127" s="56">
        <f>'Comparação Planners'!$E$53</f>
        <v>34.383</v>
      </c>
      <c r="G127" s="56">
        <f>'Comparação Planners'!$F$53</f>
        <v>4.2956</v>
      </c>
      <c r="H127" s="58">
        <f>'Comparação Planners'!$G$53</f>
        <v>49</v>
      </c>
      <c r="I127" s="54" t="str">
        <f>'Comparação Planners'!$H$53</f>
        <v>✓</v>
      </c>
      <c r="J127" s="60">
        <f>'Comparação Planners'!$I$53</f>
        <v>0</v>
      </c>
      <c r="M127" s="62">
        <f>'Métricas TARGET_POSE'!$T$70</f>
        <v>1.807</v>
      </c>
      <c r="N127" s="63">
        <f>'Métricas IR_POSE TCP_CORRIGIDO'!$Z$147</f>
        <v>1.5382</v>
      </c>
      <c r="O127" s="63">
        <f>'Métricas IR_POSE TCP_CORRIGIDO'!$AB$147</f>
        <v>10.0902</v>
      </c>
      <c r="P127" s="63">
        <f>'Métricas IR_POSE TCP_CORRIGIDO'!$AD$147</f>
        <v>11.6284</v>
      </c>
      <c r="Q127" s="62">
        <f>'Métricas IR_POSE TCP_CORRIGIDO'!$R$147</f>
        <v>0.489897948556627</v>
      </c>
    </row>
    <row r="128" spans="1:17" ht="18" customHeight="1">
      <c r="A128" s="54">
        <v>3</v>
      </c>
      <c r="B128" s="54">
        <f>'Comparação Planners'!$A$55</f>
        <v>7</v>
      </c>
      <c r="C128" s="54" t="str">
        <f>'Comparação Planners'!$B$56</f>
        <v>PRMstar</v>
      </c>
      <c r="D128" s="56">
        <f>'Comparação Planners'!$C$56</f>
        <v>4.388</v>
      </c>
      <c r="E128" s="56">
        <f>'Comparação Planners'!$D$56</f>
        <v>27.743</v>
      </c>
      <c r="F128" s="56">
        <f>'Comparação Planners'!$E$56</f>
        <v>32.131</v>
      </c>
      <c r="G128" s="56">
        <f>'Comparação Planners'!$F$56</f>
        <v>8.3405</v>
      </c>
      <c r="H128" s="58">
        <f>'Comparação Planners'!$G$56</f>
        <v>80</v>
      </c>
      <c r="I128" s="54" t="str">
        <f>'Comparação Planners'!$H$56</f>
        <v>✓</v>
      </c>
      <c r="J128" s="60" t="str">
        <f>'Comparação Planners'!$I$56</f>
        <v>Replaneou</v>
      </c>
      <c r="M128" s="62">
        <f>'Métricas TARGET_POSE'!$H$71</f>
        <v>1.8332</v>
      </c>
      <c r="N128" s="63">
        <f>'Métricas IR_POSE TCP_CORRIGIDO'!$Z$148</f>
        <v>1.5673</v>
      </c>
      <c r="O128" s="63">
        <f>'Métricas IR_POSE TCP_CORRIGIDO'!$AB$148</f>
        <v>11.5459</v>
      </c>
      <c r="P128" s="63">
        <f>'Métricas IR_POSE TCP_CORRIGIDO'!$AD$148</f>
        <v>13.1132</v>
      </c>
      <c r="Q128" s="62">
        <f>'Métricas IR_POSE TCP_CORRIGIDO'!$R$148</f>
        <v>0.670820393249925</v>
      </c>
    </row>
    <row r="129" spans="1:17" ht="18" customHeight="1">
      <c r="A129" s="54">
        <v>3</v>
      </c>
      <c r="B129" s="54">
        <f>'Comparação Planners'!$A$58</f>
        <v>8</v>
      </c>
      <c r="C129" s="54" t="str">
        <f>'Comparação Planners'!$B$59</f>
        <v>PRMstar</v>
      </c>
      <c r="D129" s="56">
        <f>'Comparação Planners'!$C$59</f>
        <v>3.966</v>
      </c>
      <c r="E129" s="56">
        <f>'Comparação Planners'!$D$59</f>
        <v>30.389</v>
      </c>
      <c r="F129" s="56">
        <f>'Comparação Planners'!$E$59</f>
        <v>34.355</v>
      </c>
      <c r="G129" s="56">
        <f>'Comparação Planners'!$F$59</f>
        <v>6.9334</v>
      </c>
      <c r="H129" s="58">
        <f>'Comparação Planners'!$G$59</f>
        <v>52</v>
      </c>
      <c r="I129" s="54" t="str">
        <f>'Comparação Planners'!$H$59</f>
        <v>✓</v>
      </c>
      <c r="J129" s="60">
        <f>'Comparação Planners'!$I$59</f>
        <v>0</v>
      </c>
      <c r="M129" s="62">
        <f>'Métricas TARGET_POSE'!$T$71</f>
        <v>1.94</v>
      </c>
      <c r="N129" s="63">
        <f>'Métricas IR_POSE TCP_CORRIGIDO'!$Z$149</f>
        <v>1.5838</v>
      </c>
      <c r="O129" s="63">
        <f>'Métricas IR_POSE TCP_CORRIGIDO'!$AB$149</f>
        <v>10.5091</v>
      </c>
      <c r="P129" s="63">
        <f>'Métricas IR_POSE TCP_CORRIGIDO'!$AD$149</f>
        <v>12.0929</v>
      </c>
      <c r="Q129" s="62">
        <f>'Métricas IR_POSE TCP_CORRIGIDO'!$R$149</f>
        <v>1.67332005306815</v>
      </c>
    </row>
    <row r="130" spans="1:17" ht="18" customHeight="1">
      <c r="A130" s="54">
        <v>3</v>
      </c>
      <c r="B130" s="54">
        <f>'Comparação Planners'!$A$61</f>
        <v>9</v>
      </c>
      <c r="C130" s="54" t="str">
        <f>'Comparação Planners'!$B$62</f>
        <v>PRMstar</v>
      </c>
      <c r="D130" s="56">
        <f>'Comparação Planners'!$C$62</f>
        <v>4.422</v>
      </c>
      <c r="E130" s="56">
        <f>'Comparação Planners'!$D$62</f>
        <v>30.974</v>
      </c>
      <c r="F130" s="56">
        <f>'Comparação Planners'!$E$62</f>
        <v>35.396</v>
      </c>
      <c r="G130" s="56">
        <f>'Comparação Planners'!$F$62</f>
        <v>5.092</v>
      </c>
      <c r="H130" s="58">
        <f>'Comparação Planners'!$G$62</f>
        <v>49</v>
      </c>
      <c r="I130" s="54" t="str">
        <f>'Comparação Planners'!$H$62</f>
        <v>✓</v>
      </c>
      <c r="J130" s="60">
        <f>'Comparação Planners'!$I$62</f>
        <v>0</v>
      </c>
      <c r="M130" s="62">
        <f>'Métricas TARGET_POSE'!$H$72</f>
        <v>1.442</v>
      </c>
      <c r="N130" s="63">
        <f>'Métricas IR_POSE TCP_CORRIGIDO'!$Z$150</f>
        <v>1.543</v>
      </c>
      <c r="O130" s="63">
        <f>'Métricas IR_POSE TCP_CORRIGIDO'!$AB$150</f>
        <v>7.7461</v>
      </c>
      <c r="P130" s="63">
        <f>'Métricas IR_POSE TCP_CORRIGIDO'!$AD$150</f>
        <v>9.2891</v>
      </c>
      <c r="Q130" s="62">
        <f>'Métricas IR_POSE TCP_CORRIGIDO'!$R$150</f>
        <v>1.06301458127346</v>
      </c>
    </row>
    <row r="131" spans="1:17" ht="18" customHeight="1">
      <c r="A131" s="54">
        <v>3</v>
      </c>
      <c r="B131" s="54">
        <f>'Comparação Planners'!$A$64</f>
        <v>10</v>
      </c>
      <c r="C131" s="54" t="str">
        <f>'Comparação Planners'!$B$65</f>
        <v>PRMstar</v>
      </c>
      <c r="D131" s="56">
        <f>'Comparação Planners'!$C$65</f>
        <v>4.345</v>
      </c>
      <c r="E131" s="56">
        <f>'Comparação Planners'!$D$65</f>
        <v>27.647</v>
      </c>
      <c r="F131" s="56">
        <f>'Comparação Planners'!$E$65</f>
        <v>31.992</v>
      </c>
      <c r="G131" s="56">
        <f>'Comparação Planners'!$F$65</f>
        <v>5.1385</v>
      </c>
      <c r="H131" s="58">
        <f>'Comparação Planners'!$G$65</f>
        <v>48</v>
      </c>
      <c r="I131" s="54" t="str">
        <f>'Comparação Planners'!$H$65</f>
        <v>✓</v>
      </c>
      <c r="J131" s="60">
        <f>'Comparação Planners'!$I$65</f>
        <v>0</v>
      </c>
      <c r="M131" s="62">
        <f>'Métricas TARGET_POSE'!$T$72</f>
        <v>2.1501</v>
      </c>
      <c r="N131" s="63">
        <f>'Métricas IR_POSE TCP_CORRIGIDO'!$Z$151</f>
        <v>1.5638</v>
      </c>
      <c r="O131" s="63">
        <f>'Métricas IR_POSE TCP_CORRIGIDO'!$AB$151</f>
        <v>8.647</v>
      </c>
      <c r="P131" s="63">
        <f>'Métricas IR_POSE TCP_CORRIGIDO'!$AD$151</f>
        <v>10.2108</v>
      </c>
      <c r="Q131" s="62">
        <f>'Métricas IR_POSE TCP_CORRIGIDO'!$R$151</f>
        <v>1.67630546142402</v>
      </c>
    </row>
    <row r="132" spans="1:17" ht="18" customHeight="1">
      <c r="A132" s="54">
        <v>4</v>
      </c>
      <c r="B132" s="54">
        <f>'Comparação Planners'!$R$37</f>
        <v>1</v>
      </c>
      <c r="C132" s="54" t="str">
        <f>'Comparação Planners'!$S$38</f>
        <v>PRMstar</v>
      </c>
      <c r="D132" s="56">
        <f>'Comparação Planners'!$T$38</f>
        <v>3.818</v>
      </c>
      <c r="E132" s="56">
        <f>'Comparação Planners'!$U$38</f>
        <v>30.263</v>
      </c>
      <c r="F132" s="56">
        <f>'Comparação Planners'!$V$38</f>
        <v>34.081</v>
      </c>
      <c r="G132" s="56">
        <f>'Comparação Planners'!$W$38</f>
        <v>5.4729</v>
      </c>
      <c r="H132" s="58">
        <f>'Comparação Planners'!$X$38</f>
        <v>48</v>
      </c>
      <c r="I132" s="54" t="str">
        <f>'Comparação Planners'!$Y$38</f>
        <v>✓</v>
      </c>
      <c r="J132" s="60">
        <f>'Comparação Planners'!$Z$38</f>
        <v>0</v>
      </c>
      <c r="M132" s="62">
        <f>'Métricas TARGET_POSE'!$H$73</f>
        <v>2.4388</v>
      </c>
      <c r="N132" s="63">
        <f>'Métricas IR_POSE TCP_CORRIGIDO'!$Z$152</f>
        <v>1.5449</v>
      </c>
      <c r="O132" s="63">
        <f>'Métricas IR_POSE TCP_CORRIGIDO'!$AB$152</f>
        <v>10.1144</v>
      </c>
      <c r="P132" s="63">
        <f>'Métricas IR_POSE TCP_CORRIGIDO'!$AD$152</f>
        <v>11.6593</v>
      </c>
      <c r="Q132" s="62">
        <f>'Métricas IR_POSE TCP_CORRIGIDO'!$R$152</f>
        <v>1.21243556529825</v>
      </c>
    </row>
    <row r="133" spans="1:17" ht="18" customHeight="1">
      <c r="A133" s="54">
        <v>4</v>
      </c>
      <c r="B133" s="54">
        <f>'Comparação Planners'!$R$40</f>
        <v>2</v>
      </c>
      <c r="C133" s="54" t="str">
        <f>'Comparação Planners'!$S$41</f>
        <v>PRMstar</v>
      </c>
      <c r="D133" s="56">
        <f>'Comparação Planners'!$T$41</f>
        <v>4.042</v>
      </c>
      <c r="E133" s="56">
        <f>'Comparação Planners'!$U$41</f>
        <v>28.704</v>
      </c>
      <c r="F133" s="56">
        <f>'Comparação Planners'!$V$41</f>
        <v>32.746</v>
      </c>
      <c r="G133" s="56">
        <f>'Comparação Planners'!$W$41</f>
        <v>5.0766</v>
      </c>
      <c r="H133" s="58">
        <f>'Comparação Planners'!$X$41</f>
        <v>47</v>
      </c>
      <c r="I133" s="54" t="str">
        <f>'Comparação Planners'!$Y$41</f>
        <v>✓</v>
      </c>
      <c r="J133" s="60">
        <f>'Comparação Planners'!$Z$41</f>
        <v>0</v>
      </c>
      <c r="M133" s="62">
        <f>'Métricas TARGET_POSE'!$T$73</f>
        <v>2.1265</v>
      </c>
      <c r="N133" s="63">
        <f>'Métricas IR_POSE TCP_CORRIGIDO'!$Z$153</f>
        <v>1.5048</v>
      </c>
      <c r="O133" s="63">
        <f>'Métricas IR_POSE TCP_CORRIGIDO'!$AB$153</f>
        <v>11.7662</v>
      </c>
      <c r="P133" s="63">
        <f>'Métricas IR_POSE TCP_CORRIGIDO'!$AD$153</f>
        <v>13.271</v>
      </c>
      <c r="Q133" s="62">
        <f>'Métricas IR_POSE TCP_CORRIGIDO'!$R$153</f>
        <v>0.74833147735478</v>
      </c>
    </row>
    <row r="134" spans="1:17" ht="18" customHeight="1">
      <c r="A134" s="54">
        <v>4</v>
      </c>
      <c r="B134" s="54">
        <f>'Comparação Planners'!$R$43</f>
        <v>3</v>
      </c>
      <c r="C134" s="54" t="str">
        <f>'Comparação Planners'!$S$44</f>
        <v>PRMstar</v>
      </c>
      <c r="D134" s="56">
        <f>'Comparação Planners'!$T$44</f>
        <v>3.996</v>
      </c>
      <c r="E134" s="56">
        <f>'Comparação Planners'!$U$44</f>
        <v>29.377</v>
      </c>
      <c r="F134" s="56">
        <f>'Comparação Planners'!$V$44</f>
        <v>33.373</v>
      </c>
      <c r="G134" s="56">
        <f>'Comparação Planners'!$W$44</f>
        <v>3.07004</v>
      </c>
      <c r="H134" s="58">
        <f>'Comparação Planners'!$X$44</f>
        <v>42</v>
      </c>
      <c r="I134" s="54" t="str">
        <f>'Comparação Planners'!$Y$44</f>
        <v>✓</v>
      </c>
      <c r="J134" s="60">
        <f>'Comparação Planners'!$Z$44</f>
        <v>0</v>
      </c>
      <c r="M134" s="62">
        <f>'Métricas TARGET_POSE'!$H$74</f>
        <v>1.6196</v>
      </c>
      <c r="N134" s="63">
        <f>'Métricas IR_POSE TCP_CORRIGIDO'!$Z$154</f>
        <v>1.6362</v>
      </c>
      <c r="O134" s="63">
        <f>'Métricas IR_POSE TCP_CORRIGIDO'!$AB$154</f>
        <v>9.1421</v>
      </c>
      <c r="P134" s="63">
        <f>'Métricas IR_POSE TCP_CORRIGIDO'!$AD$154</f>
        <v>10.7783</v>
      </c>
      <c r="Q134" s="62">
        <f>'Métricas IR_POSE TCP_CORRIGIDO'!$R$154</f>
        <v>0.860232526704284</v>
      </c>
    </row>
    <row r="135" spans="1:17" ht="18" customHeight="1">
      <c r="A135" s="54">
        <v>4</v>
      </c>
      <c r="B135" s="54">
        <f>'Comparação Planners'!$R$46</f>
        <v>4</v>
      </c>
      <c r="C135" s="54" t="str">
        <f>'Comparação Planners'!$S$47</f>
        <v>PRMstar</v>
      </c>
      <c r="D135" s="56">
        <f>'Comparação Planners'!$T$47</f>
        <v>3.753</v>
      </c>
      <c r="E135" s="56">
        <f>'Comparação Planners'!$U$47</f>
        <v>29.896</v>
      </c>
      <c r="F135" s="56">
        <f>'Comparação Planners'!$V$47</f>
        <v>33.649</v>
      </c>
      <c r="G135" s="56">
        <f>'Comparação Planners'!$W$47</f>
        <v>3.6148</v>
      </c>
      <c r="H135" s="58">
        <f>'Comparação Planners'!$X$47</f>
        <v>46</v>
      </c>
      <c r="I135" s="54" t="str">
        <f>'Comparação Planners'!$Y$47</f>
        <v>✓</v>
      </c>
      <c r="J135" s="60">
        <f>'Comparação Planners'!$Z$47</f>
        <v>0</v>
      </c>
      <c r="M135" s="62">
        <f>'Métricas TARGET_POSE'!$T$74</f>
        <v>2.7037</v>
      </c>
      <c r="N135" s="63">
        <f>'Métricas IR_POSE TCP_CORRIGIDO'!$Z$155</f>
        <v>1.5558</v>
      </c>
      <c r="O135" s="63">
        <f>'Métricas IR_POSE TCP_CORRIGIDO'!$AB$155</f>
        <v>8.7724</v>
      </c>
      <c r="P135" s="63">
        <f>'Métricas IR_POSE TCP_CORRIGIDO'!$AD$155</f>
        <v>10.3282</v>
      </c>
      <c r="Q135" s="62">
        <f>'Métricas IR_POSE TCP_CORRIGIDO'!$R$155</f>
        <v>1.27279220613578</v>
      </c>
    </row>
    <row r="136" spans="1:17" ht="18" customHeight="1">
      <c r="A136" s="54">
        <v>4</v>
      </c>
      <c r="B136" s="54">
        <f>'Comparação Planners'!$R$49</f>
        <v>5</v>
      </c>
      <c r="C136" s="54" t="str">
        <f>'Comparação Planners'!$S$50</f>
        <v>PRMstar</v>
      </c>
      <c r="D136" s="56">
        <f>'Comparação Planners'!$T$50</f>
        <v>4.202</v>
      </c>
      <c r="E136" s="56">
        <f>'Comparação Planners'!$U$50</f>
        <v>27.164</v>
      </c>
      <c r="F136" s="56">
        <f>'Comparação Planners'!$V$50</f>
        <v>31.366</v>
      </c>
      <c r="G136" s="56">
        <f>'Comparação Planners'!$W$50</f>
        <v>4.6047</v>
      </c>
      <c r="H136" s="58">
        <f>'Comparação Planners'!$X$50</f>
        <v>50</v>
      </c>
      <c r="I136" s="54" t="str">
        <f>'Comparação Planners'!$Y$50</f>
        <v>✓</v>
      </c>
      <c r="J136" s="60">
        <f>'Comparação Planners'!$Z$50</f>
        <v>0</v>
      </c>
      <c r="M136" s="62">
        <f>'Métricas TARGET_POSE'!$H$75</f>
        <v>2.3296</v>
      </c>
      <c r="N136" s="63">
        <f>'Métricas IR_POSE TCP_CORRIGIDO'!$Z$156</f>
        <v>1.5462</v>
      </c>
      <c r="O136" s="63">
        <f>'Métricas IR_POSE TCP_CORRIGIDO'!$AB$156</f>
        <v>7.2595</v>
      </c>
      <c r="P136" s="63">
        <f>'Métricas IR_POSE TCP_CORRIGIDO'!$AD$156</f>
        <v>8.8057</v>
      </c>
      <c r="Q136" s="62">
        <f>'Métricas IR_POSE TCP_CORRIGIDO'!$R$156</f>
        <v>1.87882942280561</v>
      </c>
    </row>
    <row r="137" spans="1:17" ht="18" customHeight="1">
      <c r="A137" s="54">
        <v>4</v>
      </c>
      <c r="B137" s="54">
        <f>'Comparação Planners'!$R$52</f>
        <v>6</v>
      </c>
      <c r="C137" s="54" t="str">
        <f>'Comparação Planners'!$S$53</f>
        <v>PRMstar</v>
      </c>
      <c r="D137" s="56">
        <f>'Comparação Planners'!$T$53</f>
        <v>4.397</v>
      </c>
      <c r="E137" s="56">
        <f>'Comparação Planners'!$U$53</f>
        <v>27.179</v>
      </c>
      <c r="F137" s="56">
        <f>'Comparação Planners'!$V$53</f>
        <v>31.576</v>
      </c>
      <c r="G137" s="56">
        <f>'Comparação Planners'!$W$53</f>
        <v>4.2967</v>
      </c>
      <c r="H137" s="58">
        <f>'Comparação Planners'!$X$53</f>
        <v>49</v>
      </c>
      <c r="I137" s="54" t="str">
        <f>'Comparação Planners'!$Y$53</f>
        <v>✓</v>
      </c>
      <c r="J137" s="60">
        <f>'Comparação Planners'!$Z$53</f>
        <v>0</v>
      </c>
      <c r="M137" s="62">
        <f>'Métricas TARGET_POSE'!$T$75</f>
        <v>2.4032</v>
      </c>
      <c r="N137" s="63">
        <f>'Métricas IR_POSE TCP_CORRIGIDO'!$Z$157</f>
        <v>1.5155</v>
      </c>
      <c r="O137" s="63">
        <f>'Métricas IR_POSE TCP_CORRIGIDO'!$AB$157</f>
        <v>8.5561</v>
      </c>
      <c r="P137" s="63">
        <f>'Métricas IR_POSE TCP_CORRIGIDO'!$AD$157</f>
        <v>10.0716</v>
      </c>
      <c r="Q137" s="62">
        <f>'Métricas IR_POSE TCP_CORRIGIDO'!$R$157</f>
        <v>1.17473401244701</v>
      </c>
    </row>
    <row r="138" spans="1:17" ht="18" customHeight="1">
      <c r="A138" s="54">
        <v>4</v>
      </c>
      <c r="B138" s="54">
        <f>'Comparação Planners'!$R$55</f>
        <v>7</v>
      </c>
      <c r="C138" s="54" t="str">
        <f>'Comparação Planners'!$S$56</f>
        <v>PRMstar</v>
      </c>
      <c r="D138" s="56">
        <f>'Comparação Planners'!$T$56</f>
        <v>4.616</v>
      </c>
      <c r="E138" s="56">
        <f>'Comparação Planners'!$U$56</f>
        <v>30.934</v>
      </c>
      <c r="F138" s="56">
        <f>'Comparação Planners'!$V$56</f>
        <v>35.55</v>
      </c>
      <c r="G138" s="56">
        <f>'Comparação Planners'!$W$56</f>
        <v>6.8187</v>
      </c>
      <c r="H138" s="58">
        <f>'Comparação Planners'!$X$56</f>
        <v>50</v>
      </c>
      <c r="I138" s="54" t="str">
        <f>'Comparação Planners'!$Y$56</f>
        <v>✓</v>
      </c>
      <c r="J138" s="60">
        <f>'Comparação Planners'!$Z$56</f>
        <v>0</v>
      </c>
      <c r="M138" s="62">
        <f>'Métricas TARGET_POSE'!$H$76</f>
        <v>1.6029</v>
      </c>
      <c r="N138" s="63">
        <f>'Métricas IR_POSE TCP_CORRIGIDO'!$Z$158</f>
        <v>1.6201</v>
      </c>
      <c r="O138" s="63">
        <f>'Métricas IR_POSE TCP_CORRIGIDO'!$AB$158</f>
        <v>9.1183</v>
      </c>
      <c r="P138" s="63">
        <f>'Métricas IR_POSE TCP_CORRIGIDO'!$AD$158</f>
        <v>10.7384</v>
      </c>
      <c r="Q138" s="62">
        <f>'Métricas IR_POSE TCP_CORRIGIDO'!$R$158</f>
        <v>0.877496438739169</v>
      </c>
    </row>
    <row r="139" spans="1:17" ht="18" customHeight="1">
      <c r="A139" s="54">
        <v>4</v>
      </c>
      <c r="B139" s="54">
        <f>'Comparação Planners'!$R$58</f>
        <v>8</v>
      </c>
      <c r="C139" s="54" t="str">
        <f>'Comparação Planners'!$S$59</f>
        <v>PRMstar</v>
      </c>
      <c r="D139" s="56">
        <f>'Comparação Planners'!$T$59</f>
        <v>4.377</v>
      </c>
      <c r="E139" s="56">
        <f>'Comparação Planners'!$U$59</f>
        <v>29.027</v>
      </c>
      <c r="F139" s="56">
        <f>'Comparação Planners'!$V$59</f>
        <v>33.404</v>
      </c>
      <c r="G139" s="56">
        <f>'Comparação Planners'!$W$59</f>
        <v>4.5348</v>
      </c>
      <c r="H139" s="58">
        <f>'Comparação Planners'!$X$59</f>
        <v>42</v>
      </c>
      <c r="I139" s="54" t="str">
        <f>'Comparação Planners'!$Y$59</f>
        <v>✓</v>
      </c>
      <c r="J139" s="60">
        <f>'Comparação Planners'!$Z$59</f>
        <v>0</v>
      </c>
      <c r="M139" s="62">
        <f>'Métricas TARGET_POSE'!$T$76</f>
        <v>1.6677</v>
      </c>
      <c r="N139" s="63">
        <f>'Métricas IR_POSE TCP_CORRIGIDO'!$Z$159</f>
        <v>1.5043</v>
      </c>
      <c r="O139" s="63">
        <f>'Métricas IR_POSE TCP_CORRIGIDO'!$AB$159</f>
        <v>11.5991</v>
      </c>
      <c r="P139" s="63">
        <f>'Métricas IR_POSE TCP_CORRIGIDO'!$AD$159</f>
        <v>13.1034</v>
      </c>
      <c r="Q139" s="62">
        <f>'Métricas IR_POSE TCP_CORRIGIDO'!$R$159</f>
        <v>1.2369316876853</v>
      </c>
    </row>
    <row r="140" spans="1:17" ht="18" customHeight="1">
      <c r="A140" s="54">
        <v>4</v>
      </c>
      <c r="B140" s="54">
        <f>'Comparação Planners'!$R$61</f>
        <v>9</v>
      </c>
      <c r="C140" s="54" t="str">
        <f>'Comparação Planners'!$S$62</f>
        <v>PRMstar</v>
      </c>
      <c r="D140" s="56">
        <f>'Comparação Planners'!$T$62</f>
        <v>3.785</v>
      </c>
      <c r="E140" s="56">
        <f>'Comparação Planners'!$U$62</f>
        <v>27.648</v>
      </c>
      <c r="F140" s="56">
        <f>'Comparação Planners'!$V$62</f>
        <v>31.433</v>
      </c>
      <c r="G140" s="56">
        <f>'Comparação Planners'!$W$62</f>
        <v>3.3111</v>
      </c>
      <c r="H140" s="58">
        <f>'Comparação Planners'!$X$62</f>
        <v>41</v>
      </c>
      <c r="I140" s="54" t="str">
        <f>'Comparação Planners'!$Y$62</f>
        <v>✓</v>
      </c>
      <c r="J140" s="60">
        <f>'Comparação Planners'!$Z$62</f>
        <v>0</v>
      </c>
      <c r="M140" s="62">
        <f>'Métricas TARGET_POSE'!$H$77</f>
        <v>1.9593</v>
      </c>
      <c r="N140" s="63">
        <f>'Métricas IR_POSE TCP_CORRIGIDO'!$Z$160</f>
        <v>1.541</v>
      </c>
      <c r="O140" s="63">
        <f>'Métricas IR_POSE TCP_CORRIGIDO'!$AB$160</f>
        <v>7.0781</v>
      </c>
      <c r="P140" s="63">
        <f>'Métricas IR_POSE TCP_CORRIGIDO'!$AD$160</f>
        <v>8.6191</v>
      </c>
      <c r="Q140" s="62">
        <f>'Métricas IR_POSE TCP_CORRIGIDO'!$R$160</f>
        <v>0.640312423743275</v>
      </c>
    </row>
    <row r="141" spans="1:17" ht="18" customHeight="1">
      <c r="A141" s="54">
        <v>4</v>
      </c>
      <c r="B141" s="54">
        <f>'Comparação Planners'!$R$64</f>
        <v>10</v>
      </c>
      <c r="C141" s="54" t="str">
        <f>'Comparação Planners'!$S$65</f>
        <v>PRMstar</v>
      </c>
      <c r="D141" s="56">
        <f>'Comparação Planners'!$T$65</f>
        <v>3.728</v>
      </c>
      <c r="E141" s="56">
        <f>'Comparação Planners'!$U$65</f>
        <v>24.402</v>
      </c>
      <c r="F141" s="56">
        <f>'Comparação Planners'!$V$65</f>
        <v>28.13</v>
      </c>
      <c r="G141" s="56">
        <f>'Comparação Planners'!$W$65</f>
        <v>3.9465</v>
      </c>
      <c r="H141" s="58">
        <f>'Comparação Planners'!$X$65</f>
        <v>48</v>
      </c>
      <c r="I141" s="54" t="str">
        <f>'Comparação Planners'!$Y$65</f>
        <v>✓</v>
      </c>
      <c r="J141" s="60">
        <f>'Comparação Planners'!$Z$65</f>
        <v>0</v>
      </c>
      <c r="M141" s="62">
        <f>'Métricas TARGET_POSE'!$T$77</f>
        <v>1.9727</v>
      </c>
      <c r="N141" s="63">
        <f>'Métricas IR_POSE TCP_CORRIGIDO'!$Z$161</f>
        <v>1.5209</v>
      </c>
      <c r="O141" s="63">
        <f>'Métricas IR_POSE TCP_CORRIGIDO'!$AB$161</f>
        <v>9.7862</v>
      </c>
      <c r="P141" s="63">
        <f>'Métricas IR_POSE TCP_CORRIGIDO'!$AD$161</f>
        <v>11.3071</v>
      </c>
      <c r="Q141" s="62">
        <f>'Métricas IR_POSE TCP_CORRIGIDO'!$R$161</f>
        <v>0.640312423743258</v>
      </c>
    </row>
    <row r="142" spans="1:17" ht="18" customHeight="1">
      <c r="A142" s="54">
        <v>5</v>
      </c>
      <c r="B142" s="54">
        <f>'Comparação Planners'!$A$70</f>
        <v>1</v>
      </c>
      <c r="C142" s="54" t="str">
        <f>'Comparação Planners'!$B$71</f>
        <v>PRMstar</v>
      </c>
      <c r="D142" s="56">
        <f>'Comparação Planners'!$C$71</f>
        <v>4.357</v>
      </c>
      <c r="E142" s="56">
        <f>'Comparação Planners'!$D$71</f>
        <v>32.442</v>
      </c>
      <c r="F142" s="56">
        <f>'Comparação Planners'!$E$71</f>
        <v>36.799</v>
      </c>
      <c r="G142" s="56">
        <f>'Comparação Planners'!$F$71</f>
        <v>5.6034</v>
      </c>
      <c r="H142" s="58">
        <f>'Comparação Planners'!$G$71</f>
        <v>43</v>
      </c>
      <c r="I142" s="54" t="str">
        <f>'Comparação Planners'!$H$71</f>
        <v>✓</v>
      </c>
      <c r="J142" s="60">
        <f>'Comparação Planners'!$I$71</f>
        <v>0</v>
      </c>
      <c r="M142" s="62">
        <f>'Métricas TARGET_POSE'!$H$78</f>
        <v>1.8685</v>
      </c>
      <c r="N142" s="63">
        <f>'Métricas IR_POSE TCP_CORRIGIDO'!$Z$165</f>
        <v>1.5439</v>
      </c>
      <c r="O142" s="63">
        <f>'Métricas IR_POSE TCP_CORRIGIDO'!$AB$165</f>
        <v>11.0415</v>
      </c>
      <c r="P142" s="63">
        <f>'Métricas IR_POSE TCP_CORRIGIDO'!$AD$165</f>
        <v>12.5854</v>
      </c>
      <c r="Q142" s="62">
        <f>'Métricas IR_POSE TCP_CORRIGIDO'!$R$165</f>
        <v>1.23693168768531</v>
      </c>
    </row>
    <row r="143" spans="1:17" ht="18" customHeight="1">
      <c r="A143" s="54">
        <v>5</v>
      </c>
      <c r="B143" s="54">
        <f>'Comparação Planners'!$A$73</f>
        <v>2</v>
      </c>
      <c r="C143" s="54" t="str">
        <f>'Comparação Planners'!$B$74</f>
        <v>PRMstar</v>
      </c>
      <c r="D143" s="56">
        <f>'Comparação Planners'!$C$74</f>
        <v>3.822</v>
      </c>
      <c r="E143" s="56">
        <f>'Comparação Planners'!$D$74</f>
        <v>28.044</v>
      </c>
      <c r="F143" s="56">
        <f>'Comparação Planners'!$E$74</f>
        <v>31.866</v>
      </c>
      <c r="G143" s="56">
        <f>'Comparação Planners'!$F$74</f>
        <v>4.1946</v>
      </c>
      <c r="H143" s="58">
        <f>'Comparação Planners'!$G$74</f>
        <v>45</v>
      </c>
      <c r="I143" s="54" t="str">
        <f>'Comparação Planners'!$H$74</f>
        <v>✓</v>
      </c>
      <c r="J143" s="60">
        <f>'Comparação Planners'!$I$74</f>
        <v>0</v>
      </c>
      <c r="M143" s="62">
        <f>'Métricas TARGET_POSE'!$T$78</f>
        <v>1.8339</v>
      </c>
      <c r="N143" s="63">
        <f>'Métricas IR_POSE TCP_CORRIGIDO'!$Z$166</f>
        <v>1.5298</v>
      </c>
      <c r="O143" s="63">
        <f>'Métricas IR_POSE TCP_CORRIGIDO'!$AB$166</f>
        <v>10.2363</v>
      </c>
      <c r="P143" s="63">
        <f>'Métricas IR_POSE TCP_CORRIGIDO'!$AD$166</f>
        <v>11.7661</v>
      </c>
      <c r="Q143" s="62">
        <f>'Métricas IR_POSE TCP_CORRIGIDO'!$R$166</f>
        <v>0.871779788708153</v>
      </c>
    </row>
    <row r="144" spans="1:17" ht="18" customHeight="1">
      <c r="A144" s="54">
        <v>5</v>
      </c>
      <c r="B144" s="54">
        <f>'Comparação Planners'!$A$76</f>
        <v>3</v>
      </c>
      <c r="C144" s="54" t="str">
        <f>'Comparação Planners'!$B$77</f>
        <v>PRMstar</v>
      </c>
      <c r="D144" s="56">
        <f>'Comparação Planners'!$C$77</f>
        <v>4.009</v>
      </c>
      <c r="E144" s="56">
        <f>'Comparação Planners'!$D$77</f>
        <v>31.535</v>
      </c>
      <c r="F144" s="56">
        <f>'Comparação Planners'!$E$77</f>
        <v>35.544</v>
      </c>
      <c r="G144" s="56">
        <f>'Comparação Planners'!$F$77</f>
        <v>5.8891</v>
      </c>
      <c r="H144" s="58">
        <f>'Comparação Planners'!$G$77</f>
        <v>43</v>
      </c>
      <c r="I144" s="54" t="str">
        <f>'Comparação Planners'!$H$77</f>
        <v>✓</v>
      </c>
      <c r="J144" s="60">
        <f>'Comparação Planners'!$I$77</f>
        <v>0</v>
      </c>
      <c r="M144" s="62">
        <f>'Métricas TARGET_POSE'!$H$79</f>
        <v>1.636</v>
      </c>
      <c r="N144" s="63">
        <f>'Métricas IR_POSE TCP_CORRIGIDO'!$Z$167</f>
        <v>1.5634</v>
      </c>
      <c r="O144" s="63">
        <f>'Métricas IR_POSE TCP_CORRIGIDO'!$AB$167</f>
        <v>11.0399</v>
      </c>
      <c r="P144" s="63">
        <f>'Métricas IR_POSE TCP_CORRIGIDO'!$AD$167</f>
        <v>12.6033</v>
      </c>
      <c r="Q144" s="62">
        <f>'Métricas IR_POSE TCP_CORRIGIDO'!$R$167</f>
        <v>0.830662386291723</v>
      </c>
    </row>
    <row r="145" spans="1:17" ht="18" customHeight="1">
      <c r="A145" s="54">
        <v>5</v>
      </c>
      <c r="B145" s="54">
        <f>'Comparação Planners'!$A$79</f>
        <v>4</v>
      </c>
      <c r="C145" s="54" t="str">
        <f>'Comparação Planners'!$B$80</f>
        <v>PRMstar</v>
      </c>
      <c r="D145" s="56">
        <f>'Comparação Planners'!$C$80</f>
        <v>3.846</v>
      </c>
      <c r="E145" s="56">
        <f>'Comparação Planners'!$D$80</f>
        <v>25.968</v>
      </c>
      <c r="F145" s="56">
        <f>'Comparação Planners'!$E$80</f>
        <v>29.814</v>
      </c>
      <c r="G145" s="56">
        <f>'Comparação Planners'!$F$80</f>
        <v>3.0619</v>
      </c>
      <c r="H145" s="58">
        <f>'Comparação Planners'!$G$80</f>
        <v>45</v>
      </c>
      <c r="I145" s="54" t="str">
        <f>'Comparação Planners'!$H$80</f>
        <v>✓</v>
      </c>
      <c r="J145" s="60">
        <f>'Comparação Planners'!$I$80</f>
        <v>0</v>
      </c>
      <c r="M145" s="62">
        <f>'Métricas TARGET_POSE'!$T$79</f>
        <v>2.3603</v>
      </c>
      <c r="N145" s="63">
        <f>'Métricas IR_POSE TCP_CORRIGIDO'!$Z$168</f>
        <v>1.5379</v>
      </c>
      <c r="O145" s="63">
        <f>'Métricas IR_POSE TCP_CORRIGIDO'!$AB$168</f>
        <v>8.9294</v>
      </c>
      <c r="P145" s="63">
        <f>'Métricas IR_POSE TCP_CORRIGIDO'!$AD$168</f>
        <v>10.4673</v>
      </c>
      <c r="Q145" s="62">
        <f>'Métricas IR_POSE TCP_CORRIGIDO'!$R$168</f>
        <v>1.18743420870378</v>
      </c>
    </row>
    <row r="146" spans="1:17" ht="18" customHeight="1">
      <c r="A146" s="54">
        <v>5</v>
      </c>
      <c r="B146" s="54">
        <f>'Comparação Planners'!$A$82</f>
        <v>5</v>
      </c>
      <c r="C146" s="54" t="str">
        <f>'Comparação Planners'!$B$83</f>
        <v>PRMstar</v>
      </c>
      <c r="D146" s="56">
        <f>'Comparação Planners'!$C$83</f>
        <v>3.98</v>
      </c>
      <c r="E146" s="56">
        <f>'Comparação Planners'!$D$83</f>
        <v>26.958</v>
      </c>
      <c r="F146" s="56">
        <f>'Comparação Planners'!$E$83</f>
        <v>30.938</v>
      </c>
      <c r="G146" s="56">
        <f>'Comparação Planners'!$F$83</f>
        <v>4.3942</v>
      </c>
      <c r="H146" s="58">
        <f>'Comparação Planners'!$G$83</f>
        <v>50</v>
      </c>
      <c r="I146" s="54" t="str">
        <f>'Comparação Planners'!$H$83</f>
        <v>✓</v>
      </c>
      <c r="J146" s="60" t="str">
        <f>'Comparação Planners'!$I$83</f>
        <v>Replaneou</v>
      </c>
      <c r="M146" s="62">
        <f>'Métricas TARGET_POSE'!$H$80</f>
        <v>1.44</v>
      </c>
      <c r="N146" s="63">
        <f>'Métricas IR_POSE TCP_CORRIGIDO'!$Z$169</f>
        <v>1.5766</v>
      </c>
      <c r="O146" s="63">
        <f>'Métricas IR_POSE TCP_CORRIGIDO'!$AB$169</f>
        <v>10.2723</v>
      </c>
      <c r="P146" s="63">
        <f>'Métricas IR_POSE TCP_CORRIGIDO'!$AD$169</f>
        <v>11.8489</v>
      </c>
      <c r="Q146" s="62">
        <f>'Métricas IR_POSE TCP_CORRIGIDO'!$R$169</f>
        <v>0.728010988928025</v>
      </c>
    </row>
    <row r="147" spans="1:17" ht="18" customHeight="1">
      <c r="A147" s="54">
        <v>5</v>
      </c>
      <c r="B147" s="54">
        <f>'Comparação Planners'!$A$85</f>
        <v>6</v>
      </c>
      <c r="C147" s="54" t="str">
        <f>'Comparação Planners'!$B$86</f>
        <v>PRMstar</v>
      </c>
      <c r="D147" s="56">
        <f>'Comparação Planners'!$C$86</f>
        <v>4.405</v>
      </c>
      <c r="E147" s="56">
        <f>'Comparação Planners'!$D$86</f>
        <v>27.07</v>
      </c>
      <c r="F147" s="56">
        <f>'Comparação Planners'!$E$86</f>
        <v>31.475</v>
      </c>
      <c r="G147" s="56">
        <f>'Comparação Planners'!$F$86</f>
        <v>6.0174</v>
      </c>
      <c r="H147" s="58">
        <f>'Comparação Planners'!$G$86</f>
        <v>42</v>
      </c>
      <c r="I147" s="54" t="str">
        <f>'Comparação Planners'!$H$86</f>
        <v>✓</v>
      </c>
      <c r="J147" s="60">
        <f>'Comparação Planners'!$I$86</f>
        <v>0</v>
      </c>
      <c r="M147" s="62">
        <f>'Métricas TARGET_POSE'!$T$80</f>
        <v>1.9825</v>
      </c>
      <c r="N147" s="63">
        <f>'Métricas IR_POSE TCP_CORRIGIDO'!$Z$170</f>
        <v>1.5482</v>
      </c>
      <c r="O147" s="63">
        <f>'Métricas IR_POSE TCP_CORRIGIDO'!$AB$170</f>
        <v>10.2323</v>
      </c>
      <c r="P147" s="63">
        <f>'Métricas IR_POSE TCP_CORRIGIDO'!$AD$170</f>
        <v>11.7805</v>
      </c>
      <c r="Q147" s="62">
        <f>'Métricas IR_POSE TCP_CORRIGIDO'!$R$170</f>
        <v>0.616441400296857</v>
      </c>
    </row>
    <row r="148" spans="1:17" ht="18" customHeight="1">
      <c r="A148" s="54">
        <v>5</v>
      </c>
      <c r="B148" s="54">
        <f>'Comparação Planners'!$A$88</f>
        <v>7</v>
      </c>
      <c r="C148" s="54" t="str">
        <f>'Comparação Planners'!$B$89</f>
        <v>PRMstar</v>
      </c>
      <c r="D148" s="56">
        <f>'Comparação Planners'!$C$89</f>
        <v>3.807</v>
      </c>
      <c r="E148" s="56">
        <f>'Comparação Planners'!$D$89</f>
        <v>27.052</v>
      </c>
      <c r="F148" s="56">
        <f>'Comparação Planners'!$E$89</f>
        <v>30.859</v>
      </c>
      <c r="G148" s="56">
        <f>'Comparação Planners'!$F$89</f>
        <v>3.7623</v>
      </c>
      <c r="H148" s="58">
        <f>'Comparação Planners'!$G$89</f>
        <v>48</v>
      </c>
      <c r="I148" s="54" t="str">
        <f>'Comparação Planners'!$H$89</f>
        <v>✓</v>
      </c>
      <c r="J148" s="60">
        <f>'Comparação Planners'!$I$89</f>
        <v>0</v>
      </c>
      <c r="M148" s="62">
        <f>'Métricas TARGET_POSE'!$H$81</f>
        <v>1.9779</v>
      </c>
      <c r="N148" s="63">
        <f>'Métricas IR_POSE TCP_CORRIGIDO'!$Z$171</f>
        <v>1.6693</v>
      </c>
      <c r="O148" s="63">
        <f>'Métricas IR_POSE TCP_CORRIGIDO'!$AB$171</f>
        <v>11.4976</v>
      </c>
      <c r="P148" s="63">
        <f>'Métricas IR_POSE TCP_CORRIGIDO'!$AD$171</f>
        <v>13.1669</v>
      </c>
      <c r="Q148" s="62">
        <f>'Métricas IR_POSE TCP_CORRIGIDO'!$R$171</f>
        <v>0.583095189484571</v>
      </c>
    </row>
    <row r="149" spans="1:17" ht="18" customHeight="1">
      <c r="A149" s="54">
        <v>5</v>
      </c>
      <c r="B149" s="54">
        <f>'Comparação Planners'!$A$91</f>
        <v>8</v>
      </c>
      <c r="C149" s="54" t="str">
        <f>'Comparação Planners'!$B$92</f>
        <v>PRMstar</v>
      </c>
      <c r="D149" s="56">
        <f>'Comparação Planners'!$C$92</f>
        <v>4.395</v>
      </c>
      <c r="E149" s="56">
        <f>'Comparação Planners'!$D$92</f>
        <v>29.754</v>
      </c>
      <c r="F149" s="56">
        <f>'Comparação Planners'!$E$92</f>
        <v>34.149</v>
      </c>
      <c r="G149" s="56">
        <f>'Comparação Planners'!$F$92</f>
        <v>4.0009</v>
      </c>
      <c r="H149" s="58">
        <f>'Comparação Planners'!$G$92</f>
        <v>43</v>
      </c>
      <c r="I149" s="54" t="str">
        <f>'Comparação Planners'!$H$92</f>
        <v>✓</v>
      </c>
      <c r="J149" s="60">
        <f>'Comparação Planners'!$I$92</f>
        <v>0</v>
      </c>
      <c r="M149" s="62">
        <f>'Métricas TARGET_POSE'!$T$81</f>
        <v>2.013</v>
      </c>
      <c r="N149" s="63">
        <f>'Métricas IR_POSE TCP_CORRIGIDO'!$Z$172</f>
        <v>1.6253</v>
      </c>
      <c r="O149" s="63">
        <f>'Métricas IR_POSE TCP_CORRIGIDO'!$AB$172</f>
        <v>11.5787</v>
      </c>
      <c r="P149" s="63">
        <f>'Métricas IR_POSE TCP_CORRIGIDO'!$AD$172</f>
        <v>13.204</v>
      </c>
      <c r="Q149" s="62">
        <f>'Métricas IR_POSE TCP_CORRIGIDO'!$R$172</f>
        <v>0.806225774829897</v>
      </c>
    </row>
    <row r="150" spans="1:17" ht="18" customHeight="1">
      <c r="A150" s="54">
        <v>5</v>
      </c>
      <c r="B150" s="54">
        <f>'Comparação Planners'!$A$94</f>
        <v>9</v>
      </c>
      <c r="C150" s="54" t="str">
        <f>'Comparação Planners'!$B$95</f>
        <v>PRMstar</v>
      </c>
      <c r="D150" s="56">
        <f>'Comparação Planners'!$C$95</f>
        <v>3.746</v>
      </c>
      <c r="E150" s="56">
        <f>'Comparação Planners'!$D$95</f>
        <v>28.143</v>
      </c>
      <c r="F150" s="56">
        <f>'Comparação Planners'!$E$95</f>
        <v>31.889</v>
      </c>
      <c r="G150" s="56">
        <f>'Comparação Planners'!$F$95</f>
        <v>4.7817</v>
      </c>
      <c r="H150" s="58">
        <f>'Comparação Planners'!$G$95</f>
        <v>53</v>
      </c>
      <c r="I150" s="54" t="str">
        <f>'Comparação Planners'!$H$95</f>
        <v>✓</v>
      </c>
      <c r="J150" s="60">
        <f>'Comparação Planners'!$I$95</f>
        <v>0</v>
      </c>
      <c r="M150" s="62">
        <f>'Métricas TARGET_POSE'!$H$82</f>
        <v>1.5776</v>
      </c>
      <c r="N150" s="63">
        <f>'Métricas IR_POSE TCP_CORRIGIDO'!$Z$173</f>
        <v>1.5589</v>
      </c>
      <c r="O150" s="63">
        <f>'Métricas IR_POSE TCP_CORRIGIDO'!$AB$173</f>
        <v>11.589</v>
      </c>
      <c r="P150" s="63">
        <f>'Métricas IR_POSE TCP_CORRIGIDO'!$AD$173</f>
        <v>13.1479</v>
      </c>
      <c r="Q150" s="62">
        <f>'Métricas IR_POSE TCP_CORRIGIDO'!$R$173</f>
        <v>0.787400787401221</v>
      </c>
    </row>
    <row r="151" spans="1:17" ht="18" customHeight="1">
      <c r="A151" s="54">
        <v>5</v>
      </c>
      <c r="B151" s="54">
        <f>'Comparação Planners'!$A$97</f>
        <v>10</v>
      </c>
      <c r="C151" s="54" t="str">
        <f>'Comparação Planners'!$B$98</f>
        <v>PRMstar</v>
      </c>
      <c r="D151" s="56">
        <f>'Comparação Planners'!$C$98</f>
        <v>3.736</v>
      </c>
      <c r="E151" s="56">
        <f>'Comparação Planners'!$D$98</f>
        <v>27.796</v>
      </c>
      <c r="F151" s="56">
        <f>'Comparação Planners'!$E$98</f>
        <v>31.532</v>
      </c>
      <c r="G151" s="56">
        <f>'Comparação Planners'!$F$98</f>
        <v>4.5</v>
      </c>
      <c r="H151" s="58">
        <f>'Comparação Planners'!$G$98</f>
        <v>42</v>
      </c>
      <c r="I151" s="54" t="str">
        <f>'Comparação Planners'!$H$98</f>
        <v>✓</v>
      </c>
      <c r="J151" s="60">
        <f>'Comparação Planners'!$I$98</f>
        <v>0</v>
      </c>
      <c r="M151" s="62">
        <f>'Métricas TARGET_POSE'!$T$82</f>
        <v>2.0709</v>
      </c>
      <c r="N151" s="63">
        <f>'Métricas IR_POSE TCP_CORRIGIDO'!$Z$174</f>
        <v>1.5956</v>
      </c>
      <c r="O151" s="63">
        <f>'Métricas IR_POSE TCP_CORRIGIDO'!$AB$174</f>
        <v>11.7378</v>
      </c>
      <c r="P151" s="63">
        <f>'Métricas IR_POSE TCP_CORRIGIDO'!$AD$174</f>
        <v>13.3334</v>
      </c>
      <c r="Q151" s="62">
        <f>'Métricas IR_POSE TCP_CORRIGIDO'!$R$174</f>
        <v>1.0677078252031</v>
      </c>
    </row>
    <row r="152" spans="1:17">
      <c r="M152" s="62">
        <f>'Métricas TARGET_POSE'!$H$83</f>
        <v>1.3441</v>
      </c>
      <c r="N152" s="63">
        <f>'Métricas IR_POSE TCP_CORRIGIDO'!$Z$175</f>
        <v>1.5591</v>
      </c>
      <c r="O152" s="63">
        <f>'Métricas IR_POSE TCP_CORRIGIDO'!$AB$175</f>
        <v>11.9437</v>
      </c>
      <c r="P152" s="63">
        <f>'Métricas IR_POSE TCP_CORRIGIDO'!$AD$175</f>
        <v>13.5028</v>
      </c>
      <c r="Q152" s="62">
        <f>'Métricas IR_POSE TCP_CORRIGIDO'!$R$175</f>
        <v>1.42828568570858</v>
      </c>
    </row>
    <row r="153" spans="1:17">
      <c r="M153" s="62">
        <f>'Métricas TARGET_POSE'!$T$83</f>
        <v>1.6689</v>
      </c>
      <c r="N153" s="63">
        <f>'Métricas IR_POSE TCP_CORRIGIDO'!$Z$176</f>
        <v>1.5877</v>
      </c>
      <c r="O153" s="63">
        <f>'Métricas IR_POSE TCP_CORRIGIDO'!$AB$176</f>
        <v>9.8836</v>
      </c>
      <c r="P153" s="63">
        <f>'Métricas IR_POSE TCP_CORRIGIDO'!$AD$176</f>
        <v>11.4713</v>
      </c>
      <c r="Q153" s="62">
        <f>'Métricas IR_POSE TCP_CORRIGIDO'!$R$176</f>
        <v>1.30766968306221</v>
      </c>
    </row>
    <row r="154" spans="1:17">
      <c r="M154" s="62">
        <f>'Métricas TARGET_POSE'!$H$84</f>
        <v>1.4472</v>
      </c>
      <c r="N154" s="63">
        <f>'Métricas IR_POSE TCP_CORRIGIDO'!$Z$177</f>
        <v>1.5795</v>
      </c>
      <c r="O154" s="63">
        <f>'Métricas IR_POSE TCP_CORRIGIDO'!$AB$177</f>
        <v>8.39</v>
      </c>
      <c r="P154" s="63">
        <f>'Métricas IR_POSE TCP_CORRIGIDO'!$AD$177</f>
        <v>9.9695</v>
      </c>
      <c r="Q154" s="62">
        <f>'Métricas IR_POSE TCP_CORRIGIDO'!$R$177</f>
        <v>1.39283882771849</v>
      </c>
    </row>
    <row r="155" spans="1:17">
      <c r="M155" s="62">
        <f>'Métricas TARGET_POSE'!$T$84</f>
        <v>2.0077</v>
      </c>
      <c r="N155" s="63">
        <f>'Métricas IR_POSE TCP_CORRIGIDO'!$Z$178</f>
        <v>1.5733</v>
      </c>
      <c r="O155" s="63">
        <f>'Métricas IR_POSE TCP_CORRIGIDO'!$AB$178</f>
        <v>9.0451</v>
      </c>
      <c r="P155" s="63">
        <f>'Métricas IR_POSE TCP_CORRIGIDO'!$AD$178</f>
        <v>10.6184</v>
      </c>
      <c r="Q155" s="62">
        <f>'Métricas IR_POSE TCP_CORRIGIDO'!$R$178</f>
        <v>1.13578166916009</v>
      </c>
    </row>
    <row r="156" spans="1:17">
      <c r="M156" s="62">
        <f>'Métricas TARGET_POSE'!$H$85</f>
        <v>1.5049</v>
      </c>
      <c r="N156" s="63">
        <f>'Métricas IR_POSE TCP_CORRIGIDO'!$Z$179</f>
        <v>1.5726</v>
      </c>
      <c r="O156" s="63">
        <f>'Métricas IR_POSE TCP_CORRIGIDO'!$AB$179</f>
        <v>10.0686</v>
      </c>
      <c r="P156" s="63">
        <f>'Métricas IR_POSE TCP_CORRIGIDO'!$AD$179</f>
        <v>11.6412</v>
      </c>
      <c r="Q156" s="62">
        <f>'Métricas IR_POSE TCP_CORRIGIDO'!$R$179</f>
        <v>0.734846922834963</v>
      </c>
    </row>
    <row r="157" spans="1:17">
      <c r="M157" s="62">
        <f>'Métricas TARGET_POSE'!$T$85</f>
        <v>2.2907</v>
      </c>
      <c r="N157" s="63">
        <f>'Métricas IR_POSE TCP_CORRIGIDO'!$Z$180</f>
        <v>1.5572</v>
      </c>
      <c r="O157" s="63">
        <f>'Métricas IR_POSE TCP_CORRIGIDO'!$AB$180</f>
        <v>11.5905</v>
      </c>
      <c r="P157" s="63">
        <f>'Métricas IR_POSE TCP_CORRIGIDO'!$AD$180</f>
        <v>13.1477</v>
      </c>
      <c r="Q157" s="62">
        <f>'Métricas IR_POSE TCP_CORRIGIDO'!$R$180</f>
        <v>0.509901951359277</v>
      </c>
    </row>
    <row r="158" spans="1:17">
      <c r="M158" s="62">
        <f>'Métricas TARGET_POSE'!$H$86</f>
        <v>1.7025</v>
      </c>
      <c r="N158" s="63">
        <f>'Métricas IR_POSE TCP_CORRIGIDO'!$Z$181</f>
        <v>1.5877</v>
      </c>
      <c r="O158" s="63">
        <f>'Métricas IR_POSE TCP_CORRIGIDO'!$AB$181</f>
        <v>7.473</v>
      </c>
      <c r="P158" s="63">
        <f>'Métricas IR_POSE TCP_CORRIGIDO'!$AD$181</f>
        <v>9.0607</v>
      </c>
      <c r="Q158" s="62">
        <f>'Métricas IR_POSE TCP_CORRIGIDO'!$R$181</f>
        <v>0.707106781186525</v>
      </c>
    </row>
    <row r="159" spans="1:17">
      <c r="M159" s="62">
        <f>'Métricas TARGET_POSE'!$T$86</f>
        <v>2.0986</v>
      </c>
      <c r="N159" s="63">
        <f>'Métricas IR_POSE TCP_CORRIGIDO'!$Z$182</f>
        <v>1.5565</v>
      </c>
      <c r="O159" s="63">
        <f>'Métricas IR_POSE TCP_CORRIGIDO'!$AB$182</f>
        <v>10.0902</v>
      </c>
      <c r="P159" s="63">
        <f>'Métricas IR_POSE TCP_CORRIGIDO'!$AD$182</f>
        <v>11.6467</v>
      </c>
      <c r="Q159" s="62">
        <f>'Métricas IR_POSE TCP_CORRIGIDO'!$R$182</f>
        <v>0.458257569495606</v>
      </c>
    </row>
    <row r="160" spans="1:17">
      <c r="M160" s="62">
        <f>'Métricas TARGET_POSE'!$H$87</f>
        <v>1.6167</v>
      </c>
      <c r="N160" s="63">
        <f>'Métricas IR_POSE TCP_CORRIGIDO'!$Z$183</f>
        <v>1.6076</v>
      </c>
      <c r="O160" s="63">
        <f>'Métricas IR_POSE TCP_CORRIGIDO'!$AB$183</f>
        <v>9.1109</v>
      </c>
      <c r="P160" s="63">
        <f>'Métricas IR_POSE TCP_CORRIGIDO'!$AD$183</f>
        <v>10.7185</v>
      </c>
      <c r="Q160" s="62">
        <f>'Métricas IR_POSE TCP_CORRIGIDO'!$R$183</f>
        <v>1.20415945787922</v>
      </c>
    </row>
    <row r="161" spans="13:17">
      <c r="M161" s="62">
        <f>'Métricas TARGET_POSE'!$T$87</f>
        <v>1.5535</v>
      </c>
      <c r="N161" s="63">
        <f>'Métricas IR_POSE TCP_CORRIGIDO'!$Z$184</f>
        <v>1.5488</v>
      </c>
      <c r="O161" s="63">
        <f>'Métricas IR_POSE TCP_CORRIGIDO'!$AB$184</f>
        <v>7.5684</v>
      </c>
      <c r="P161" s="63">
        <f>'Métricas IR_POSE TCP_CORRIGIDO'!$AD$184</f>
        <v>9.1172</v>
      </c>
      <c r="Q161" s="62">
        <f>'Métricas IR_POSE TCP_CORRIGIDO'!$R$184</f>
        <v>0.640312423743284</v>
      </c>
    </row>
    <row r="162" spans="13:17">
      <c r="M162" s="62">
        <f>'Métricas TARGET_POSE'!$H$90</f>
        <v>2.3789</v>
      </c>
      <c r="N162" s="63">
        <f>'Métricas IR_POSE TCP_CORRIGIDO'!$Z$188</f>
        <v>1.5511</v>
      </c>
      <c r="O162" s="63">
        <f>'Métricas IR_POSE TCP_CORRIGIDO'!$AB$188</f>
        <v>10.2807</v>
      </c>
      <c r="P162" s="63">
        <f>'Métricas IR_POSE TCP_CORRIGIDO'!$AD$188</f>
        <v>11.8318</v>
      </c>
      <c r="Q162" s="62">
        <f>'Métricas IR_POSE TCP_CORRIGIDO'!$R$188</f>
        <v>1.06770782520311</v>
      </c>
    </row>
    <row r="163" spans="13:17">
      <c r="M163" s="62">
        <f>'Métricas TARGET_POSE'!$T$90</f>
        <v>3.1376</v>
      </c>
      <c r="N163" s="63">
        <f>'Métricas IR_POSE TCP_CORRIGIDO'!$Z$189</f>
        <v>1.5702</v>
      </c>
      <c r="O163" s="63">
        <f>'Métricas IR_POSE TCP_CORRIGIDO'!$AB$189</f>
        <v>11.7612</v>
      </c>
      <c r="P163" s="63">
        <f>'Métricas IR_POSE TCP_CORRIGIDO'!$AD$189</f>
        <v>13.3314</v>
      </c>
      <c r="Q163" s="62">
        <f>'Métricas IR_POSE TCP_CORRIGIDO'!$R$189</f>
        <v>0.412310562561721</v>
      </c>
    </row>
    <row r="164" spans="13:17">
      <c r="M164" s="62">
        <f>'Métricas TARGET_POSE'!$H$91</f>
        <v>2.2445</v>
      </c>
      <c r="N164" s="63">
        <f>'Métricas IR_POSE TCP_CORRIGIDO'!$Z$190</f>
        <v>1.5562</v>
      </c>
      <c r="O164" s="63">
        <f>'Métricas IR_POSE TCP_CORRIGIDO'!$AB$190</f>
        <v>10.8583</v>
      </c>
      <c r="P164" s="63">
        <f>'Métricas IR_POSE TCP_CORRIGIDO'!$AD$190</f>
        <v>12.4145</v>
      </c>
      <c r="Q164" s="62">
        <f>'Métricas IR_POSE TCP_CORRIGIDO'!$R$190</f>
        <v>1.07238052947636</v>
      </c>
    </row>
    <row r="165" spans="13:17">
      <c r="M165" s="62">
        <f>'Métricas TARGET_POSE'!$T$91</f>
        <v>1.8649</v>
      </c>
      <c r="N165" s="63">
        <f>'Métricas IR_POSE TCP_CORRIGIDO'!$Z$191</f>
        <v>1.5478</v>
      </c>
      <c r="O165" s="63">
        <f>'Métricas IR_POSE TCP_CORRIGIDO'!$AB$191</f>
        <v>10.4737</v>
      </c>
      <c r="P165" s="63">
        <f>'Métricas IR_POSE TCP_CORRIGIDO'!$AD$191</f>
        <v>12.0215</v>
      </c>
      <c r="Q165" s="62">
        <f>'Métricas IR_POSE TCP_CORRIGIDO'!$R$191</f>
        <v>0.640312423743266</v>
      </c>
    </row>
    <row r="166" spans="13:17">
      <c r="M166" s="62">
        <f>'Métricas TARGET_POSE'!$H$92</f>
        <v>1.879</v>
      </c>
      <c r="N166" s="63">
        <f>'Métricas IR_POSE TCP_CORRIGIDO'!$Z$192</f>
        <v>1.5651</v>
      </c>
      <c r="O166" s="63">
        <f>'Métricas IR_POSE TCP_CORRIGIDO'!$AB$192</f>
        <v>9.5841</v>
      </c>
      <c r="P166" s="63">
        <f>'Métricas IR_POSE TCP_CORRIGIDO'!$AD$192</f>
        <v>11.1492</v>
      </c>
      <c r="Q166" s="62">
        <f>'Métricas IR_POSE TCP_CORRIGIDO'!$R$192</f>
        <v>0.781024967590658</v>
      </c>
    </row>
    <row r="167" spans="13:17">
      <c r="M167" s="62">
        <f>'Métricas TARGET_POSE'!$T$92</f>
        <v>2.0778</v>
      </c>
      <c r="N167" s="63">
        <f>'Métricas IR_POSE TCP_CORRIGIDO'!$Z$193</f>
        <v>1.5584</v>
      </c>
      <c r="O167" s="63">
        <f>'Métricas IR_POSE TCP_CORRIGIDO'!$AB$193</f>
        <v>11.4441</v>
      </c>
      <c r="P167" s="63">
        <f>'Métricas IR_POSE TCP_CORRIGIDO'!$AD$193</f>
        <v>13.0025</v>
      </c>
      <c r="Q167" s="62">
        <f>'Métricas IR_POSE TCP_CORRIGIDO'!$R$193</f>
        <v>0.648074069840757</v>
      </c>
    </row>
    <row r="168" spans="13:17">
      <c r="M168" s="62">
        <f>'Métricas TARGET_POSE'!$H$93</f>
        <v>1.9622</v>
      </c>
      <c r="N168" s="63">
        <f>'Métricas IR_POSE TCP_CORRIGIDO'!$Z$194</f>
        <v>1.5496</v>
      </c>
      <c r="O168" s="63">
        <f>'Métricas IR_POSE TCP_CORRIGIDO'!$AB$194</f>
        <v>11.1909</v>
      </c>
      <c r="P168" s="63">
        <f>'Métricas IR_POSE TCP_CORRIGIDO'!$AD$194</f>
        <v>12.7405</v>
      </c>
      <c r="Q168" s="62">
        <f>'Métricas IR_POSE TCP_CORRIGIDO'!$R$194</f>
        <v>0.141421356237294</v>
      </c>
    </row>
    <row r="169" spans="13:17">
      <c r="M169" s="62">
        <f>'Métricas TARGET_POSE'!$T$93</f>
        <v>1.8723</v>
      </c>
      <c r="N169" s="63">
        <f>'Métricas IR_POSE TCP_CORRIGIDO'!$Z$195</f>
        <v>1.474</v>
      </c>
      <c r="O169" s="63">
        <f>'Métricas IR_POSE TCP_CORRIGIDO'!$AB$195</f>
        <v>11.5958</v>
      </c>
      <c r="P169" s="63">
        <f>'Métricas IR_POSE TCP_CORRIGIDO'!$AD$195</f>
        <v>13.0698</v>
      </c>
      <c r="Q169" s="62">
        <f>'Métricas IR_POSE TCP_CORRIGIDO'!$R$195</f>
        <v>1.16619037896906</v>
      </c>
    </row>
    <row r="170" spans="13:17">
      <c r="M170" s="62">
        <f>'Métricas TARGET_POSE'!$H$94</f>
        <v>2.1794</v>
      </c>
      <c r="N170" s="63">
        <f>'Métricas IR_POSE TCP_CORRIGIDO'!$Z$196</f>
        <v>1.5763</v>
      </c>
      <c r="O170" s="63">
        <f>'Métricas IR_POSE TCP_CORRIGIDO'!$AB$196</f>
        <v>10.3182</v>
      </c>
      <c r="P170" s="63">
        <f>'Métricas IR_POSE TCP_CORRIGIDO'!$AD$196</f>
        <v>11.8945</v>
      </c>
      <c r="Q170" s="62">
        <f>'Métricas IR_POSE TCP_CORRIGIDO'!$R$196</f>
        <v>0.599999999999971</v>
      </c>
    </row>
    <row r="171" spans="13:17">
      <c r="M171" s="62">
        <f>'Métricas TARGET_POSE'!$T$94</f>
        <v>1.8654</v>
      </c>
      <c r="N171" s="63">
        <f>'Métricas IR_POSE TCP_CORRIGIDO'!$Z$197</f>
        <v>1.5644</v>
      </c>
      <c r="O171" s="63">
        <f>'Métricas IR_POSE TCP_CORRIGIDO'!$AB$197</f>
        <v>11.7806</v>
      </c>
      <c r="P171" s="63">
        <f>'Métricas IR_POSE TCP_CORRIGIDO'!$AD$197</f>
        <v>13.345</v>
      </c>
      <c r="Q171" s="62">
        <f>'Métricas IR_POSE TCP_CORRIGIDO'!$R$197</f>
        <v>1.10453610171872</v>
      </c>
    </row>
    <row r="172" spans="13:17">
      <c r="M172" s="62">
        <f>'Métricas TARGET_POSE'!$H$95</f>
        <v>1.574</v>
      </c>
      <c r="N172" s="63">
        <f>'Métricas IR_POSE TCP_CORRIGIDO'!$Z$198</f>
        <v>1.5195</v>
      </c>
      <c r="O172" s="63">
        <f>'Métricas IR_POSE TCP_CORRIGIDO'!$AB$198</f>
        <v>9.991</v>
      </c>
      <c r="P172" s="63">
        <f>'Métricas IR_POSE TCP_CORRIGIDO'!$AD$198</f>
        <v>11.5105</v>
      </c>
      <c r="Q172" s="62">
        <f>'Métricas IR_POSE TCP_CORRIGIDO'!$R$198</f>
        <v>0.812403840463602</v>
      </c>
    </row>
    <row r="173" spans="13:17">
      <c r="M173" s="62">
        <f>'Métricas TARGET_POSE'!$T$95</f>
        <v>2.9664</v>
      </c>
      <c r="N173" s="63">
        <f>'Métricas IR_POSE TCP_CORRIGIDO'!$Z$199</f>
        <v>1.5165</v>
      </c>
      <c r="O173" s="63">
        <f>'Métricas IR_POSE TCP_CORRIGIDO'!$AB$199</f>
        <v>8.1207</v>
      </c>
      <c r="P173" s="63">
        <f>'Métricas IR_POSE TCP_CORRIGIDO'!$AD$199</f>
        <v>9.6372</v>
      </c>
      <c r="Q173" s="62">
        <f>'Métricas IR_POSE TCP_CORRIGIDO'!$R$199</f>
        <v>0.583095189484513</v>
      </c>
    </row>
    <row r="174" spans="13:17">
      <c r="M174" s="62">
        <f>'Métricas TARGET_POSE'!$H$96</f>
        <v>1.7142</v>
      </c>
      <c r="N174" s="63">
        <f>'Métricas IR_POSE TCP_CORRIGIDO'!$Z$200</f>
        <v>1.5775</v>
      </c>
      <c r="O174" s="63">
        <f>'Métricas IR_POSE TCP_CORRIGIDO'!$AB$200</f>
        <v>10.9106</v>
      </c>
      <c r="P174" s="63">
        <f>'Métricas IR_POSE TCP_CORRIGIDO'!$AD$200</f>
        <v>12.4881</v>
      </c>
      <c r="Q174" s="62">
        <f>'Métricas IR_POSE TCP_CORRIGIDO'!$R$200</f>
        <v>1.42478068487748</v>
      </c>
    </row>
    <row r="175" spans="13:17">
      <c r="M175" s="62">
        <f>'Métricas TARGET_POSE'!$T$96</f>
        <v>2.0216</v>
      </c>
      <c r="N175" s="63">
        <f>'Métricas IR_POSE TCP_CORRIGIDO'!$Z$201</f>
        <v>1.5002</v>
      </c>
      <c r="O175" s="63">
        <f>'Métricas IR_POSE TCP_CORRIGIDO'!$AB$201</f>
        <v>11.3859</v>
      </c>
      <c r="P175" s="63">
        <f>'Métricas IR_POSE TCP_CORRIGIDO'!$AD$201</f>
        <v>12.8861</v>
      </c>
      <c r="Q175" s="62">
        <f>'Métricas IR_POSE TCP_CORRIGIDO'!$R$201</f>
        <v>1.04880884817013</v>
      </c>
    </row>
    <row r="176" spans="13:17">
      <c r="M176" s="62">
        <f>'Métricas TARGET_POSE'!$H$97</f>
        <v>2.1551</v>
      </c>
      <c r="N176" s="63">
        <f>'Métricas IR_POSE TCP_CORRIGIDO'!$Z$202</f>
        <v>1.5127</v>
      </c>
      <c r="O176" s="63">
        <f>'Métricas IR_POSE TCP_CORRIGIDO'!$AB$202</f>
        <v>9.2551</v>
      </c>
      <c r="P176" s="63">
        <f>'Métricas IR_POSE TCP_CORRIGIDO'!$AD$202</f>
        <v>10.7678</v>
      </c>
      <c r="Q176" s="62">
        <f>'Métricas IR_POSE TCP_CORRIGIDO'!$R$202</f>
        <v>0.574456264653778</v>
      </c>
    </row>
    <row r="177" spans="13:17">
      <c r="M177" s="62">
        <f>'Métricas TARGET_POSE'!$T$97</f>
        <v>2.2898</v>
      </c>
      <c r="N177" s="63">
        <f>'Métricas IR_POSE TCP_CORRIGIDO'!$Z$203</f>
        <v>1.5494</v>
      </c>
      <c r="O177" s="63">
        <f>'Métricas IR_POSE TCP_CORRIGIDO'!$AB$203</f>
        <v>7.298</v>
      </c>
      <c r="P177" s="63">
        <f>'Métricas IR_POSE TCP_CORRIGIDO'!$AD$203</f>
        <v>8.8474</v>
      </c>
      <c r="Q177" s="62">
        <f>'Métricas IR_POSE TCP_CORRIGIDO'!$R$203</f>
        <v>1.22474487139156</v>
      </c>
    </row>
    <row r="178" spans="13:17">
      <c r="M178" s="62">
        <f>'Métricas TARGET_POSE'!$H$98</f>
        <v>2.4319</v>
      </c>
      <c r="N178" s="63">
        <f>'Métricas IR_POSE TCP_CORRIGIDO'!$Z$204</f>
        <v>1.5506</v>
      </c>
      <c r="O178" s="63">
        <f>'Métricas IR_POSE TCP_CORRIGIDO'!$AB$204</f>
        <v>8.3352</v>
      </c>
      <c r="P178" s="63">
        <f>'Métricas IR_POSE TCP_CORRIGIDO'!$AD$204</f>
        <v>9.8858</v>
      </c>
      <c r="Q178" s="62">
        <f>'Métricas IR_POSE TCP_CORRIGIDO'!$R$204</f>
        <v>1.11803398874989</v>
      </c>
    </row>
    <row r="179" spans="13:17">
      <c r="M179" s="62">
        <f>'Métricas TARGET_POSE'!$T$98</f>
        <v>1.8857</v>
      </c>
      <c r="N179" s="63">
        <f>'Métricas IR_POSE TCP_CORRIGIDO'!$Z$205</f>
        <v>1.5532</v>
      </c>
      <c r="O179" s="63">
        <f>'Métricas IR_POSE TCP_CORRIGIDO'!$AB$205</f>
        <v>9.237</v>
      </c>
      <c r="P179" s="63">
        <f>'Métricas IR_POSE TCP_CORRIGIDO'!$AD$205</f>
        <v>10.7902</v>
      </c>
      <c r="Q179" s="62">
        <f>'Métricas IR_POSE TCP_CORRIGIDO'!$R$205</f>
        <v>1.17046999107199</v>
      </c>
    </row>
    <row r="180" spans="13:17">
      <c r="M180" s="62">
        <f>'Métricas TARGET_POSE'!$H$99</f>
        <v>1.9183</v>
      </c>
      <c r="N180" s="63">
        <f>'Métricas IR_POSE TCP_CORRIGIDO'!$Z$206</f>
        <v>1.548</v>
      </c>
      <c r="O180" s="63">
        <f>'Métricas IR_POSE TCP_CORRIGIDO'!$AB$206</f>
        <v>11.1468</v>
      </c>
      <c r="P180" s="63">
        <f>'Métricas IR_POSE TCP_CORRIGIDO'!$AD$206</f>
        <v>12.6948</v>
      </c>
      <c r="Q180" s="62">
        <f>'Métricas IR_POSE TCP_CORRIGIDO'!$R$206</f>
        <v>1.72336879396142</v>
      </c>
    </row>
    <row r="181" spans="13:17">
      <c r="M181" s="62">
        <f>'Métricas TARGET_POSE'!$T$99</f>
        <v>4.9717</v>
      </c>
      <c r="N181" s="63">
        <f>'Métricas IR_POSE TCP_CORRIGIDO'!$Z$207</f>
        <v>1.5503</v>
      </c>
      <c r="O181" s="63">
        <f>'Métricas IR_POSE TCP_CORRIGIDO'!$AB$207</f>
        <v>10.6619</v>
      </c>
      <c r="P181" s="63">
        <f>'Métricas IR_POSE TCP_CORRIGIDO'!$AD$207</f>
        <v>12.2122</v>
      </c>
      <c r="Q181" s="62">
        <f>'Métricas IR_POSE TCP_CORRIGIDO'!$R$207</f>
        <v>0.640312423743292</v>
      </c>
    </row>
    <row r="182" spans="13:17">
      <c r="M182" s="62">
        <f>'Métricas TARGET_POSE'!$H$100</f>
        <v>2.0492</v>
      </c>
      <c r="N182" s="63">
        <f>'Métricas IR_POSE TCP_CORRIGIDO'!$Z$211</f>
        <v>1.5509</v>
      </c>
      <c r="O182" s="63">
        <f>'Métricas IR_POSE TCP_CORRIGIDO'!$AB$211</f>
        <v>10.7311</v>
      </c>
      <c r="P182" s="63">
        <f>'Métricas IR_POSE TCP_CORRIGIDO'!$AD$211</f>
        <v>12.282</v>
      </c>
      <c r="Q182" s="62">
        <f>'Métricas IR_POSE TCP_CORRIGIDO'!$R$211</f>
        <v>0.509901951359222</v>
      </c>
    </row>
    <row r="183" spans="13:17">
      <c r="M183" s="62">
        <f>'Métricas TARGET_POSE'!$T$100</f>
        <v>7.6418</v>
      </c>
      <c r="N183" s="63">
        <f>'Métricas IR_POSE TCP_CORRIGIDO'!$Z$212</f>
        <v>1.5467</v>
      </c>
      <c r="O183" s="63">
        <f>'Métricas IR_POSE TCP_CORRIGIDO'!$AB$212</f>
        <v>10.2893</v>
      </c>
      <c r="P183" s="63">
        <f>'Métricas IR_POSE TCP_CORRIGIDO'!$AD$212</f>
        <v>11.836</v>
      </c>
      <c r="Q183" s="62">
        <f>'Métricas IR_POSE TCP_CORRIGIDO'!$R$212</f>
        <v>1.00498756211211</v>
      </c>
    </row>
    <row r="184" spans="13:17">
      <c r="M184" s="62">
        <f>'Métricas TARGET_POSE'!$H$101</f>
        <v>2.2047</v>
      </c>
      <c r="N184" s="63">
        <f>'Métricas IR_POSE TCP_CORRIGIDO'!$Z$213</f>
        <v>1.5509</v>
      </c>
      <c r="O184" s="63">
        <f>'Métricas IR_POSE TCP_CORRIGIDO'!$AB$213</f>
        <v>10.7311</v>
      </c>
      <c r="P184" s="63">
        <f>'Métricas IR_POSE TCP_CORRIGIDO'!$AD$213</f>
        <v>12.282</v>
      </c>
      <c r="Q184" s="62">
        <f>'Métricas IR_POSE TCP_CORRIGIDO'!$R$213</f>
        <v>0.509901951359222</v>
      </c>
    </row>
    <row r="185" spans="13:17">
      <c r="M185" s="62">
        <f>'Métricas TARGET_POSE'!$T$101</f>
        <v>1.7817</v>
      </c>
      <c r="N185" s="63">
        <f>'Métricas IR_POSE TCP_CORRIGIDO'!$Z$214</f>
        <v>1.5288</v>
      </c>
      <c r="O185" s="63">
        <f>'Métricas IR_POSE TCP_CORRIGIDO'!$AB$214</f>
        <v>8.9658</v>
      </c>
      <c r="P185" s="63">
        <f>'Métricas IR_POSE TCP_CORRIGIDO'!$AD$214</f>
        <v>10.4946</v>
      </c>
      <c r="Q185" s="62">
        <f>'Métricas IR_POSE TCP_CORRIGIDO'!$R$214</f>
        <v>0.943398113205668</v>
      </c>
    </row>
    <row r="186" spans="13:17">
      <c r="M186" s="62">
        <f>'Métricas TARGET_POSE'!$H$102</f>
        <v>2.2564</v>
      </c>
      <c r="N186" s="63">
        <f>'Métricas IR_POSE TCP_CORRIGIDO'!$Z$215</f>
        <v>1.5541</v>
      </c>
      <c r="O186" s="63">
        <f>'Métricas IR_POSE TCP_CORRIGIDO'!$AB$215</f>
        <v>10.2908</v>
      </c>
      <c r="P186" s="63">
        <f>'Métricas IR_POSE TCP_CORRIGIDO'!$AD$215</f>
        <v>11.8449</v>
      </c>
      <c r="Q186" s="62">
        <f>'Métricas IR_POSE TCP_CORRIGIDO'!$R$215</f>
        <v>1.10453610171872</v>
      </c>
    </row>
    <row r="187" spans="13:17">
      <c r="M187" s="62">
        <f>'Métricas TARGET_POSE'!$T$102</f>
        <v>1.8537</v>
      </c>
      <c r="N187" s="63">
        <f>'Métricas IR_POSE TCP_CORRIGIDO'!$Z$216</f>
        <v>1.5621</v>
      </c>
      <c r="O187" s="63">
        <f>'Métricas IR_POSE TCP_CORRIGIDO'!$AB$216</f>
        <v>11.9791</v>
      </c>
      <c r="P187" s="63">
        <f>'Métricas IR_POSE TCP_CORRIGIDO'!$AD$216</f>
        <v>13.5412</v>
      </c>
      <c r="Q187" s="62">
        <f>'Métricas IR_POSE TCP_CORRIGIDO'!$R$216</f>
        <v>0.721110255092795</v>
      </c>
    </row>
    <row r="188" spans="13:17">
      <c r="M188" s="62">
        <f>'Métricas TARGET_POSE'!$H$103</f>
        <v>2.3181</v>
      </c>
      <c r="N188" s="63">
        <f>'Métricas IR_POSE TCP_CORRIGIDO'!$Z$217</f>
        <v>1.5388</v>
      </c>
      <c r="O188" s="63">
        <f>'Métricas IR_POSE TCP_CORRIGIDO'!$AB$217</f>
        <v>10.7813</v>
      </c>
      <c r="P188" s="63">
        <f>'Métricas IR_POSE TCP_CORRIGIDO'!$AD$217</f>
        <v>12.3201</v>
      </c>
      <c r="Q188" s="62">
        <f>'Métricas IR_POSE TCP_CORRIGIDO'!$R$217</f>
        <v>0.678232998312575</v>
      </c>
    </row>
    <row r="189" spans="13:17">
      <c r="M189" s="62">
        <f>'Métricas TARGET_POSE'!$T$103</f>
        <v>2.4359</v>
      </c>
      <c r="N189" s="63">
        <f>'Métricas IR_POSE TCP_CORRIGIDO'!$Z$218</f>
        <v>1.5486</v>
      </c>
      <c r="O189" s="63">
        <f>'Métricas IR_POSE TCP_CORRIGIDO'!$AB$218</f>
        <v>10.2267</v>
      </c>
      <c r="P189" s="63">
        <f>'Métricas IR_POSE TCP_CORRIGIDO'!$AD$218</f>
        <v>11.7753</v>
      </c>
      <c r="Q189" s="62">
        <f>'Métricas IR_POSE TCP_CORRIGIDO'!$R$218</f>
        <v>1.18743420870379</v>
      </c>
    </row>
    <row r="190" spans="13:17">
      <c r="M190" s="62">
        <f>'Métricas TARGET_POSE'!$H$104</f>
        <v>2.4493</v>
      </c>
      <c r="N190" s="63">
        <f>'Métricas IR_POSE TCP_CORRIGIDO'!$Z$219</f>
        <v>1.5611</v>
      </c>
      <c r="O190" s="63">
        <f>'Métricas IR_POSE TCP_CORRIGIDO'!$AB$219</f>
        <v>10.7758</v>
      </c>
      <c r="P190" s="63">
        <f>'Métricas IR_POSE TCP_CORRIGIDO'!$AD$219</f>
        <v>12.3369</v>
      </c>
      <c r="Q190" s="62">
        <f>'Métricas IR_POSE TCP_CORRIGIDO'!$R$219</f>
        <v>1.30766968306221</v>
      </c>
    </row>
    <row r="191" spans="13:17">
      <c r="M191" s="62">
        <f>'Métricas TARGET_POSE'!$T$104</f>
        <v>2.2261</v>
      </c>
      <c r="N191" s="63">
        <f>'Métricas IR_POSE TCP_CORRIGIDO'!$Z$220</f>
        <v>1.5455</v>
      </c>
      <c r="O191" s="63">
        <f>'Métricas IR_POSE TCP_CORRIGIDO'!$AB$220</f>
        <v>9.0332</v>
      </c>
      <c r="P191" s="63">
        <f>'Métricas IR_POSE TCP_CORRIGIDO'!$AD$220</f>
        <v>10.5787</v>
      </c>
      <c r="Q191" s="62">
        <f>'Métricas IR_POSE TCP_CORRIGIDO'!$R$220</f>
        <v>1.10453610171872</v>
      </c>
    </row>
    <row r="192" spans="13:17">
      <c r="M192" s="62">
        <f>'Métricas TARGET_POSE'!$H$105</f>
        <v>2.2075</v>
      </c>
      <c r="N192" s="63">
        <f>'Métricas IR_POSE TCP_CORRIGIDO'!$Z$221</f>
        <v>1.492</v>
      </c>
      <c r="O192" s="63">
        <f>'Métricas IR_POSE TCP_CORRIGIDO'!$AB$221</f>
        <v>9.9717</v>
      </c>
      <c r="P192" s="63">
        <f>'Métricas IR_POSE TCP_CORRIGIDO'!$AD$221</f>
        <v>11.4637</v>
      </c>
      <c r="Q192" s="62">
        <f>'Métricas IR_POSE TCP_CORRIGIDO'!$R$221</f>
        <v>0.768114574786877</v>
      </c>
    </row>
    <row r="193" spans="13:17">
      <c r="M193" s="62">
        <f>'Métricas TARGET_POSE'!$T$105</f>
        <v>2.0072</v>
      </c>
      <c r="N193" s="63">
        <f>'Métricas IR_POSE TCP_CORRIGIDO'!$Z$222</f>
        <v>1.5526</v>
      </c>
      <c r="O193" s="63">
        <f>'Métricas IR_POSE TCP_CORRIGIDO'!$AB$222</f>
        <v>10.6454</v>
      </c>
      <c r="P193" s="63">
        <f>'Métricas IR_POSE TCP_CORRIGIDO'!$AD$222</f>
        <v>12.198</v>
      </c>
      <c r="Q193" s="62">
        <f>'Métricas IR_POSE TCP_CORRIGIDO'!$R$222</f>
        <v>0.648074069840749</v>
      </c>
    </row>
    <row r="194" spans="13:17">
      <c r="M194" s="62">
        <f>'Métricas TARGET_POSE'!$H$106</f>
        <v>2.0747</v>
      </c>
      <c r="N194" s="63">
        <f>'Métricas IR_POSE TCP_CORRIGIDO'!$Z$223</f>
        <v>1.5195</v>
      </c>
      <c r="O194" s="63">
        <f>'Métricas IR_POSE TCP_CORRIGIDO'!$AB$223</f>
        <v>8.6267</v>
      </c>
      <c r="P194" s="63">
        <f>'Métricas IR_POSE TCP_CORRIGIDO'!$AD$223</f>
        <v>10.1462</v>
      </c>
      <c r="Q194" s="62">
        <f>'Métricas IR_POSE TCP_CORRIGIDO'!$R$223</f>
        <v>0.700000000000034</v>
      </c>
    </row>
    <row r="195" spans="13:17">
      <c r="M195" s="62">
        <f>'Métricas TARGET_POSE'!$T$106</f>
        <v>1.8053</v>
      </c>
      <c r="N195" s="63">
        <f>'Métricas IR_POSE TCP_CORRIGIDO'!$Z$224</f>
        <v>1.5881</v>
      </c>
      <c r="O195" s="63">
        <f>'Métricas IR_POSE TCP_CORRIGIDO'!$AB$224</f>
        <v>8.0153</v>
      </c>
      <c r="P195" s="63">
        <f>'Métricas IR_POSE TCP_CORRIGIDO'!$AD$224</f>
        <v>9.6034</v>
      </c>
      <c r="Q195" s="62">
        <f>'Métricas IR_POSE TCP_CORRIGIDO'!$R$224</f>
        <v>0.547722557505157</v>
      </c>
    </row>
    <row r="196" spans="13:17">
      <c r="M196" s="62">
        <f>'Métricas TARGET_POSE'!$H$107</f>
        <v>2.059</v>
      </c>
      <c r="N196" s="63">
        <f>'Métricas IR_POSE TCP_CORRIGIDO'!$Z$225</f>
        <v>1.5558</v>
      </c>
      <c r="O196" s="63">
        <f>'Métricas IR_POSE TCP_CORRIGIDO'!$AB$225</f>
        <v>9.8161</v>
      </c>
      <c r="P196" s="63">
        <f>'Métricas IR_POSE TCP_CORRIGIDO'!$AD$225</f>
        <v>11.3719</v>
      </c>
      <c r="Q196" s="62">
        <f>'Métricas IR_POSE TCP_CORRIGIDO'!$R$225</f>
        <v>0.787400787401214</v>
      </c>
    </row>
    <row r="197" spans="13:17">
      <c r="M197" s="62">
        <f>'Métricas TARGET_POSE'!$T$107</f>
        <v>1.621</v>
      </c>
      <c r="N197" s="63">
        <f>'Métricas IR_POSE TCP_CORRIGIDO'!$Z$226</f>
        <v>1.5244</v>
      </c>
      <c r="O197" s="63">
        <f>'Métricas IR_POSE TCP_CORRIGIDO'!$AB$226</f>
        <v>9.3873</v>
      </c>
      <c r="P197" s="63">
        <f>'Métricas IR_POSE TCP_CORRIGIDO'!$AD$226</f>
        <v>10.9117</v>
      </c>
      <c r="Q197" s="62">
        <f>'Métricas IR_POSE TCP_CORRIGIDO'!$R$226</f>
        <v>1.84119526395218</v>
      </c>
    </row>
    <row r="198" spans="13:17">
      <c r="M198" s="62">
        <f>'Métricas TARGET_POSE'!$H$108</f>
        <v>1.7228</v>
      </c>
      <c r="N198" s="63">
        <f>'Métricas IR_POSE TCP_CORRIGIDO'!$Z$227</f>
        <v>1.5574</v>
      </c>
      <c r="O198" s="63">
        <f>'Métricas IR_POSE TCP_CORRIGIDO'!$AB$227</f>
        <v>8.1546</v>
      </c>
      <c r="P198" s="63">
        <f>'Métricas IR_POSE TCP_CORRIGIDO'!$AD$227</f>
        <v>9.712</v>
      </c>
      <c r="Q198" s="62">
        <f>'Métricas IR_POSE TCP_CORRIGIDO'!$R$227</f>
        <v>0.866025403784472</v>
      </c>
    </row>
    <row r="199" spans="13:17">
      <c r="M199" s="62">
        <f>'Métricas TARGET_POSE'!$T$108</f>
        <v>2.4521</v>
      </c>
      <c r="N199" s="63">
        <f>'Métricas IR_POSE TCP_CORRIGIDO'!$Z$228</f>
        <v>1.5517</v>
      </c>
      <c r="O199" s="63">
        <f>'Métricas IR_POSE TCP_CORRIGIDO'!$AB$228</f>
        <v>7.6618</v>
      </c>
      <c r="P199" s="63">
        <f>'Métricas IR_POSE TCP_CORRIGIDO'!$AD$228</f>
        <v>9.2135</v>
      </c>
      <c r="Q199" s="62">
        <f>'Métricas IR_POSE TCP_CORRIGIDO'!$R$228</f>
        <v>0.424264068711934</v>
      </c>
    </row>
    <row r="200" spans="13:17">
      <c r="M200" s="62">
        <f>'Métricas TARGET_POSE'!$H$109</f>
        <v>2.445</v>
      </c>
      <c r="N200" s="63">
        <f>'Métricas IR_POSE TCP_CORRIGIDO'!$Z$229</f>
        <v>1.5549</v>
      </c>
      <c r="O200" s="63">
        <f>'Métricas IR_POSE TCP_CORRIGIDO'!$AB$229</f>
        <v>10.4747</v>
      </c>
      <c r="P200" s="63">
        <f>'Métricas IR_POSE TCP_CORRIGIDO'!$AD$229</f>
        <v>12.0296</v>
      </c>
      <c r="Q200" s="62">
        <f>'Métricas IR_POSE TCP_CORRIGIDO'!$R$229</f>
        <v>1.19163752878133</v>
      </c>
    </row>
    <row r="201" spans="13:17">
      <c r="M201" s="62">
        <f>'Métricas TARGET_POSE'!$T$109</f>
        <v>2.1541</v>
      </c>
      <c r="N201" s="63">
        <f>'Métricas IR_POSE TCP_CORRIGIDO'!$Z$230</f>
        <v>1.5423</v>
      </c>
      <c r="O201" s="63">
        <f>'Métricas IR_POSE TCP_CORRIGIDO'!$AB$230</f>
        <v>11.1504</v>
      </c>
      <c r="P201" s="63">
        <f>'Métricas IR_POSE TCP_CORRIGIDO'!$AD$230</f>
        <v>12.6927</v>
      </c>
      <c r="Q201" s="62">
        <f>'Métricas IR_POSE TCP_CORRIGIDO'!$R$230</f>
        <v>1.04880884817014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6"/>
  <sheetViews>
    <sheetView showGridLines="0" topLeftCell="A2" workbookViewId="0">
      <selection activeCell="T19" sqref="T19"/>
    </sheetView>
  </sheetViews>
  <sheetFormatPr defaultRowHeight="13.8"/>
  <cols>
    <col min="1" max="1" width="38" customWidth="1"/>
    <col min="2" max="2" width="28" customWidth="1"/>
    <col min="3" max="8" width="14" customWidth="1"/>
    <col min="9" max="9" width="3" customWidth="1"/>
    <col min="10" max="17" width="11" customWidth="1"/>
    <col min="18" max="18" width="3" customWidth="1"/>
    <col min="19" max="22" width="15" customWidth="1"/>
  </cols>
  <sheetData>
    <row r="1" spans="1:20" ht="30" customHeight="1">
      <c r="A1" s="140" t="s">
        <v>569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</row>
    <row r="2" spans="1:20" ht="26.4" customHeight="1">
      <c r="S2" s="67" t="s">
        <v>209</v>
      </c>
      <c r="T2" s="67" t="s">
        <v>570</v>
      </c>
    </row>
    <row r="3" spans="1:20" ht="26.4" customHeight="1">
      <c r="A3" s="84" t="s">
        <v>209</v>
      </c>
      <c r="B3" s="84" t="s">
        <v>571</v>
      </c>
      <c r="C3" s="84" t="s">
        <v>4</v>
      </c>
      <c r="D3" s="84" t="s">
        <v>5</v>
      </c>
      <c r="E3" s="84" t="s">
        <v>6</v>
      </c>
      <c r="F3" s="84" t="s">
        <v>572</v>
      </c>
      <c r="S3" s="53" t="s">
        <v>217</v>
      </c>
      <c r="T3" s="68">
        <f>D13</f>
        <v>33.3229224489796</v>
      </c>
    </row>
    <row r="4" spans="1:20">
      <c r="A4" s="53" t="s">
        <v>217</v>
      </c>
      <c r="B4" s="57">
        <f>COUNTIF('Dados Análise'!$C$2:$C$151,A4)</f>
        <v>50</v>
      </c>
      <c r="C4" s="57">
        <f>COUNTIFS('Dados Análise'!$C$2:$C$151,A4,'Dados Análise'!$I$2:$I$151,"✓")</f>
        <v>49</v>
      </c>
      <c r="D4" s="57">
        <f>B4-C4</f>
        <v>1</v>
      </c>
      <c r="E4" s="64">
        <f>IF(B4=0,0,C4/B4)</f>
        <v>0.98</v>
      </c>
      <c r="F4" s="57">
        <f>COUNTA('Dados Análise'!$J$19,'Dados Análise'!$J$34,'Dados Análise'!$J$38,'Dados Análise'!$J$48)</f>
        <v>4</v>
      </c>
      <c r="S4" s="54" t="s">
        <v>222</v>
      </c>
      <c r="T4" s="66">
        <f>D18</f>
        <v>35.246474</v>
      </c>
    </row>
    <row r="5" spans="1:20">
      <c r="A5" s="54" t="s">
        <v>222</v>
      </c>
      <c r="B5" s="58">
        <f>COUNTIF('Dados Análise'!$C$2:$C$151,A5)</f>
        <v>50</v>
      </c>
      <c r="C5" s="58">
        <f>COUNTIFS('Dados Análise'!$C$2:$C$151,A5,'Dados Análise'!$I$2:$I$151,"✓")</f>
        <v>50</v>
      </c>
      <c r="D5" s="58">
        <f>B5-C5</f>
        <v>0</v>
      </c>
      <c r="E5" s="65">
        <f>IF(B5=0,0,C5/B5)</f>
        <v>1</v>
      </c>
      <c r="F5" s="58">
        <f>COUNTA('Dados Análise'!$J$62,'Dados Análise'!$J$78,'Dados Análise'!$J$82,'Dados Análise'!$J$88,'Dados Análise'!$J$98)</f>
        <v>5</v>
      </c>
      <c r="S5" s="54" t="s">
        <v>218</v>
      </c>
      <c r="T5" s="66">
        <f>D23</f>
        <v>34.5652</v>
      </c>
    </row>
    <row r="6" spans="1:20">
      <c r="A6" s="54" t="s">
        <v>218</v>
      </c>
      <c r="B6" s="58">
        <f>COUNTIF('Dados Análise'!$C$2:$C$151,A6)</f>
        <v>50</v>
      </c>
      <c r="C6" s="58">
        <f>COUNTIFS('Dados Análise'!$C$2:$C$151,A6,'Dados Análise'!$I$2:$I$151,"✓")</f>
        <v>50</v>
      </c>
      <c r="D6" s="58">
        <f>B6-C6</f>
        <v>0</v>
      </c>
      <c r="E6" s="65">
        <f>IF(B6=0,0,C6/B6)</f>
        <v>1</v>
      </c>
      <c r="F6" s="58">
        <f>COUNTA('Dados Análise'!$J$114,'Dados Análise'!$J$123,'Dados Análise'!$J$128,'Dados Análise'!$J$146)</f>
        <v>4</v>
      </c>
    </row>
    <row r="7" spans="1:20">
      <c r="A7" s="85" t="s">
        <v>543</v>
      </c>
      <c r="B7" s="86">
        <f>SUM(B4:B6)</f>
        <v>150</v>
      </c>
      <c r="C7" s="86">
        <f>SUM(C4:C6)</f>
        <v>149</v>
      </c>
      <c r="D7" s="86">
        <f>SUM(D4:D6)</f>
        <v>1</v>
      </c>
      <c r="E7" s="87">
        <f>IF(B7=0,0,C7/B7)</f>
        <v>0.993333333333333</v>
      </c>
      <c r="F7" s="86">
        <f>SUM(F4:F6)</f>
        <v>13</v>
      </c>
    </row>
    <row r="8" spans="1:20" ht="26.4" customHeight="1">
      <c r="S8" s="67" t="s">
        <v>209</v>
      </c>
      <c r="T8" s="67" t="s">
        <v>573</v>
      </c>
    </row>
    <row r="9" spans="1:20">
      <c r="S9" s="53" t="s">
        <v>217</v>
      </c>
      <c r="T9" s="55">
        <f>D11</f>
        <v>4.0238387755102</v>
      </c>
    </row>
    <row r="10" spans="1:20">
      <c r="A10" s="84" t="s">
        <v>209</v>
      </c>
      <c r="B10" s="84" t="s">
        <v>574</v>
      </c>
      <c r="C10" s="84" t="s">
        <v>575</v>
      </c>
      <c r="D10" s="84" t="s">
        <v>138</v>
      </c>
      <c r="E10" s="84" t="s">
        <v>576</v>
      </c>
      <c r="F10" s="84" t="s">
        <v>577</v>
      </c>
      <c r="G10" s="84" t="s">
        <v>578</v>
      </c>
      <c r="H10" s="84" t="s">
        <v>579</v>
      </c>
      <c r="S10" s="54" t="s">
        <v>222</v>
      </c>
      <c r="T10" s="56">
        <f>D16</f>
        <v>3.78006</v>
      </c>
    </row>
    <row r="11" spans="1:20">
      <c r="A11" s="160" t="s">
        <v>217</v>
      </c>
      <c r="B11" s="151" t="s">
        <v>580</v>
      </c>
      <c r="C11" s="153">
        <f>COUNT('Dados Análise'!$D$2:$D$51)</f>
        <v>49</v>
      </c>
      <c r="D11" s="154">
        <f>AVERAGE('Dados Análise'!$D$2:$D$51)</f>
        <v>4.0238387755102</v>
      </c>
      <c r="E11" s="154">
        <f>_xlfn.STDEV.S('Dados Análise'!$D$2:$D$51)</f>
        <v>0.577403948295128</v>
      </c>
      <c r="F11" s="154">
        <f>MIN('Dados Análise'!$D$2:$D$51)</f>
        <v>3.003</v>
      </c>
      <c r="G11" s="154">
        <f>MAX('Dados Análise'!$D$2:$D$51)</f>
        <v>6.274</v>
      </c>
      <c r="H11" s="151" t="s">
        <v>581</v>
      </c>
      <c r="S11" s="54" t="s">
        <v>218</v>
      </c>
      <c r="T11" s="56">
        <f>D21</f>
        <v>4.056446</v>
      </c>
    </row>
    <row r="12" spans="1:20">
      <c r="A12" s="161"/>
      <c r="B12" s="152" t="s">
        <v>582</v>
      </c>
      <c r="C12" s="155">
        <f>COUNT('Dados Análise'!$E$2:$E$51)</f>
        <v>49</v>
      </c>
      <c r="D12" s="156">
        <f>AVERAGE('Dados Análise'!$E$2:$E$51)</f>
        <v>29.2990836734694</v>
      </c>
      <c r="E12" s="154">
        <f>_xlfn.STDEV.S('Dados Análise'!$E$2:$E$51)</f>
        <v>4.51369984017855</v>
      </c>
      <c r="F12" s="156">
        <f>MIN('Dados Análise'!$E$2:$E$51)</f>
        <v>23.963</v>
      </c>
      <c r="G12" s="156">
        <f>MAX('Dados Análise'!$E$2:$E$51)</f>
        <v>43.475</v>
      </c>
      <c r="H12" s="152" t="s">
        <v>581</v>
      </c>
    </row>
    <row r="13" spans="1:20">
      <c r="A13" s="161"/>
      <c r="B13" s="152" t="s">
        <v>583</v>
      </c>
      <c r="C13" s="155">
        <f>COUNT('Dados Análise'!$F$2:$F$51)</f>
        <v>49</v>
      </c>
      <c r="D13" s="156">
        <f>AVERAGE('Dados Análise'!$F$2:$F$51)</f>
        <v>33.3229224489796</v>
      </c>
      <c r="E13" s="154">
        <f>_xlfn.STDEV.S('Dados Análise'!$F$2:$F$51)</f>
        <v>4.45338547279227</v>
      </c>
      <c r="F13" s="156">
        <f>MIN('Dados Análise'!$F$2:$F$51)</f>
        <v>27.9491</v>
      </c>
      <c r="G13" s="156">
        <f>MAX('Dados Análise'!$F$2:$F$51)</f>
        <v>46.782</v>
      </c>
      <c r="H13" s="152" t="s">
        <v>581</v>
      </c>
    </row>
    <row r="14" spans="1:20">
      <c r="A14" s="161"/>
      <c r="B14" s="152" t="s">
        <v>584</v>
      </c>
      <c r="C14" s="155">
        <f>COUNT('Dados Análise'!$G$2:$G$51)</f>
        <v>49</v>
      </c>
      <c r="D14" s="156">
        <f>AVERAGE('Dados Análise'!$G$2:$G$51)</f>
        <v>3.88442857142857</v>
      </c>
      <c r="E14" s="154">
        <f>_xlfn.STDEV.S('Dados Análise'!$G$2:$G$51)</f>
        <v>0.97922683871852</v>
      </c>
      <c r="F14" s="156">
        <f>MIN('Dados Análise'!$G$2:$G$51)</f>
        <v>2.1951</v>
      </c>
      <c r="G14" s="156">
        <f>MAX('Dados Análise'!$G$2:$G$51)</f>
        <v>6.9531</v>
      </c>
      <c r="H14" s="152" t="s">
        <v>585</v>
      </c>
    </row>
    <row r="15" spans="1:20">
      <c r="A15" s="159"/>
      <c r="B15" s="152" t="s">
        <v>586</v>
      </c>
      <c r="C15" s="155">
        <f>COUNT('Dados Análise'!$H$2:$H$51)</f>
        <v>49</v>
      </c>
      <c r="D15" s="157">
        <f>AVERAGE('Dados Análise'!$H$2:$H$51)</f>
        <v>45.3469387755102</v>
      </c>
      <c r="E15" s="154">
        <f>_xlfn.STDEV.S('Dados Análise'!$H$2:$H$51)</f>
        <v>4.87147744703871</v>
      </c>
      <c r="F15" s="157">
        <f>MIN('Dados Análise'!$H$2:$H$51)</f>
        <v>36</v>
      </c>
      <c r="G15" s="157">
        <f>MAX('Dados Análise'!$H$2:$H$51)</f>
        <v>58</v>
      </c>
      <c r="H15" s="152" t="s">
        <v>587</v>
      </c>
    </row>
    <row r="16" spans="1:20">
      <c r="A16" s="162" t="s">
        <v>222</v>
      </c>
      <c r="B16" s="152" t="s">
        <v>580</v>
      </c>
      <c r="C16" s="155">
        <f>COUNT('Dados Análise'!$D$52:$D$101)</f>
        <v>50</v>
      </c>
      <c r="D16" s="158">
        <f>AVERAGE('Dados Análise'!$D$52:$D$101)</f>
        <v>3.78006</v>
      </c>
      <c r="E16" s="154">
        <f>_xlfn.STDEV.S('Dados Análise'!$D$52:$D$101)</f>
        <v>0.366291163877446</v>
      </c>
      <c r="F16" s="158">
        <f>MIN('Dados Análise'!$D$52:$D$101)</f>
        <v>3.049</v>
      </c>
      <c r="G16" s="158">
        <f>MAX('Dados Análise'!$D$52:$D$101)</f>
        <v>4.481</v>
      </c>
      <c r="H16" s="152" t="s">
        <v>581</v>
      </c>
    </row>
    <row r="17" spans="1:8">
      <c r="A17" s="161"/>
      <c r="B17" s="152" t="s">
        <v>582</v>
      </c>
      <c r="C17" s="155">
        <f>COUNT('Dados Análise'!$E$52:$E$101)</f>
        <v>50</v>
      </c>
      <c r="D17" s="156">
        <f>AVERAGE('Dados Análise'!$E$52:$E$101)</f>
        <v>31.466414</v>
      </c>
      <c r="E17" s="154">
        <f>_xlfn.STDEV.S('Dados Análise'!$E$52:$E$101)</f>
        <v>4.09260986498137</v>
      </c>
      <c r="F17" s="156">
        <f>MIN('Dados Análise'!$E$52:$E$101)</f>
        <v>24.7654</v>
      </c>
      <c r="G17" s="156">
        <f>MAX('Dados Análise'!$E$52:$E$101)</f>
        <v>40.022</v>
      </c>
      <c r="H17" s="152" t="s">
        <v>581</v>
      </c>
    </row>
    <row r="18" spans="1:8">
      <c r="A18" s="161"/>
      <c r="B18" s="152" t="s">
        <v>583</v>
      </c>
      <c r="C18" s="155">
        <f>COUNT('Dados Análise'!$F$52:$F$101)</f>
        <v>50</v>
      </c>
      <c r="D18" s="156">
        <f>AVERAGE('Dados Análise'!$F$52:$F$101)</f>
        <v>35.246474</v>
      </c>
      <c r="E18" s="154">
        <f>_xlfn.STDEV.S('Dados Análise'!$F$52:$F$101)</f>
        <v>4.01713775638825</v>
      </c>
      <c r="F18" s="156">
        <f>MIN('Dados Análise'!$F$52:$F$101)</f>
        <v>28.3075</v>
      </c>
      <c r="G18" s="156">
        <f>MAX('Dados Análise'!$F$52:$F$101)</f>
        <v>43.239</v>
      </c>
      <c r="H18" s="152" t="s">
        <v>581</v>
      </c>
    </row>
    <row r="19" spans="1:8">
      <c r="A19" s="161"/>
      <c r="B19" s="152" t="s">
        <v>584</v>
      </c>
      <c r="C19" s="155">
        <f>COUNT('Dados Análise'!$G$52:$G$101)</f>
        <v>50</v>
      </c>
      <c r="D19" s="156">
        <f>AVERAGE('Dados Análise'!$G$52:$G$101)</f>
        <v>4.365572</v>
      </c>
      <c r="E19" s="154">
        <f>_xlfn.STDEV.S('Dados Análise'!$G$52:$G$101)</f>
        <v>1.30431108456627</v>
      </c>
      <c r="F19" s="156">
        <f>MIN('Dados Análise'!$G$52:$G$101)</f>
        <v>3.1452</v>
      </c>
      <c r="G19" s="156">
        <f>MAX('Dados Análise'!$G$52:$G$101)</f>
        <v>8.4626</v>
      </c>
      <c r="H19" s="152" t="s">
        <v>585</v>
      </c>
    </row>
    <row r="20" spans="1:8">
      <c r="A20" s="159"/>
      <c r="B20" s="152" t="s">
        <v>586</v>
      </c>
      <c r="C20" s="155">
        <f>COUNT('Dados Análise'!$H$52:$H$101)</f>
        <v>50</v>
      </c>
      <c r="D20" s="157">
        <f>AVERAGE('Dados Análise'!$H$52:$H$101)</f>
        <v>44.22</v>
      </c>
      <c r="E20" s="154">
        <f>_xlfn.STDEV.S('Dados Análise'!$H$52:$H$101)</f>
        <v>5.98736765436794</v>
      </c>
      <c r="F20" s="157">
        <f>MIN('Dados Análise'!$H$52:$H$101)</f>
        <v>37</v>
      </c>
      <c r="G20" s="157">
        <f>MAX('Dados Análise'!$H$52:$H$101)</f>
        <v>60</v>
      </c>
      <c r="H20" s="152" t="s">
        <v>587</v>
      </c>
    </row>
    <row r="21" spans="1:8">
      <c r="A21" s="162" t="s">
        <v>218</v>
      </c>
      <c r="B21" s="152" t="s">
        <v>580</v>
      </c>
      <c r="C21" s="155">
        <f>COUNT('Dados Análise'!$D$102:$D$151)</f>
        <v>50</v>
      </c>
      <c r="D21" s="158">
        <f>AVERAGE('Dados Análise'!$D$102:$D$151)</f>
        <v>4.056446</v>
      </c>
      <c r="E21" s="154">
        <f>_xlfn.STDEV.S('Dados Análise'!$D$102:$D$151)</f>
        <v>0.495985566449802</v>
      </c>
      <c r="F21" s="158">
        <f>MIN('Dados Análise'!$D$102:$D$151)</f>
        <v>3.268</v>
      </c>
      <c r="G21" s="158">
        <f>MAX('Dados Análise'!$D$102:$D$151)</f>
        <v>6.618</v>
      </c>
      <c r="H21" s="152" t="s">
        <v>581</v>
      </c>
    </row>
    <row r="22" spans="1:8">
      <c r="A22" s="161"/>
      <c r="B22" s="152" t="s">
        <v>582</v>
      </c>
      <c r="C22" s="155">
        <f>COUNT('Dados Análise'!$E$102:$E$151)</f>
        <v>50</v>
      </c>
      <c r="D22" s="156">
        <f>AVERAGE('Dados Análise'!$E$102:$E$151)</f>
        <v>30.508754</v>
      </c>
      <c r="E22" s="154">
        <f>_xlfn.STDEV.S('Dados Análise'!$E$102:$E$151)</f>
        <v>4.5292450131413</v>
      </c>
      <c r="F22" s="156">
        <f>MIN('Dados Análise'!$E$102:$E$151)</f>
        <v>24.402</v>
      </c>
      <c r="G22" s="156">
        <f>MAX('Dados Análise'!$E$102:$E$151)</f>
        <v>46.696</v>
      </c>
      <c r="H22" s="152" t="s">
        <v>581</v>
      </c>
    </row>
    <row r="23" spans="1:8">
      <c r="A23" s="161"/>
      <c r="B23" s="152" t="s">
        <v>583</v>
      </c>
      <c r="C23" s="155">
        <f>COUNT('Dados Análise'!$F$102:$F$151)</f>
        <v>50</v>
      </c>
      <c r="D23" s="156">
        <f>AVERAGE('Dados Análise'!$F$102:$F$151)</f>
        <v>34.5652</v>
      </c>
      <c r="E23" s="154">
        <f>_xlfn.STDEV.S('Dados Análise'!$F$102:$F$151)</f>
        <v>4.42622950579375</v>
      </c>
      <c r="F23" s="156">
        <f>MIN('Dados Análise'!$F$102:$F$151)</f>
        <v>28.13</v>
      </c>
      <c r="G23" s="156">
        <f>MAX('Dados Análise'!$F$102:$F$151)</f>
        <v>50.736</v>
      </c>
      <c r="H23" s="152" t="s">
        <v>581</v>
      </c>
    </row>
    <row r="24" spans="1:8">
      <c r="A24" s="161"/>
      <c r="B24" s="152" t="s">
        <v>584</v>
      </c>
      <c r="C24" s="155">
        <f>COUNT('Dados Análise'!$G$102:$G$151)</f>
        <v>50</v>
      </c>
      <c r="D24" s="156">
        <f>AVERAGE('Dados Análise'!$G$102:$G$151)</f>
        <v>4.6664068</v>
      </c>
      <c r="E24" s="154">
        <f>_xlfn.STDEV.S('Dados Análise'!$G$102:$G$151)</f>
        <v>1.2217024892295</v>
      </c>
      <c r="F24" s="156">
        <f>MIN('Dados Análise'!$G$102:$G$151)</f>
        <v>2.7396</v>
      </c>
      <c r="G24" s="156">
        <f>MAX('Dados Análise'!$G$102:$G$151)</f>
        <v>8.3405</v>
      </c>
      <c r="H24" s="152" t="s">
        <v>585</v>
      </c>
    </row>
    <row r="25" spans="1:8">
      <c r="A25" s="159"/>
      <c r="B25" s="152" t="s">
        <v>586</v>
      </c>
      <c r="C25" s="155">
        <f>COUNT('Dados Análise'!$H$102:$H$151)</f>
        <v>50</v>
      </c>
      <c r="D25" s="157">
        <f>AVERAGE('Dados Análise'!$H$102:$H$151)</f>
        <v>46.86</v>
      </c>
      <c r="E25" s="154">
        <f>_xlfn.STDEV.S('Dados Análise'!$H$102:$H$151)</f>
        <v>7.53227070947509</v>
      </c>
      <c r="F25" s="157">
        <f>MIN('Dados Análise'!$H$102:$H$151)</f>
        <v>38</v>
      </c>
      <c r="G25" s="157">
        <f>MAX('Dados Análise'!$H$102:$H$151)</f>
        <v>80</v>
      </c>
      <c r="H25" s="152" t="s">
        <v>587</v>
      </c>
    </row>
    <row r="29" spans="1:8" ht="23.1" customHeight="1">
      <c r="A29" s="150" t="s">
        <v>588</v>
      </c>
      <c r="B29" s="127"/>
      <c r="C29" s="127"/>
      <c r="D29" s="127"/>
      <c r="E29" s="127"/>
      <c r="F29" s="127"/>
      <c r="G29" s="127"/>
      <c r="H29" s="127"/>
    </row>
    <row r="30" spans="1:8">
      <c r="A30" s="61" t="s">
        <v>574</v>
      </c>
      <c r="B30" s="61" t="s">
        <v>575</v>
      </c>
      <c r="C30" s="61" t="s">
        <v>138</v>
      </c>
      <c r="D30" s="61" t="s">
        <v>576</v>
      </c>
      <c r="E30" s="61" t="s">
        <v>577</v>
      </c>
      <c r="F30" s="61" t="s">
        <v>578</v>
      </c>
      <c r="G30" s="61" t="s">
        <v>579</v>
      </c>
    </row>
    <row r="31" spans="1:8">
      <c r="A31" s="53" t="s">
        <v>560</v>
      </c>
      <c r="B31" s="57">
        <f>COUNT('Dados Análise'!$L$2:$L$101)</f>
        <v>100</v>
      </c>
      <c r="C31" s="68">
        <f>AVERAGE('Dados Análise'!$L$2:$L$101)</f>
        <v>152.391224</v>
      </c>
      <c r="D31" s="68">
        <f ca="1">_xlfn.STDEV.S('Dados Análise'!$L$2:$L$101)</f>
        <v>14.6259980411188</v>
      </c>
      <c r="E31" s="68">
        <f>MIN('Dados Análise'!$L$2:$L$101)</f>
        <v>54.7836</v>
      </c>
      <c r="F31" s="68">
        <f>MAX('Dados Análise'!$L$2:$L$101)</f>
        <v>252.5365</v>
      </c>
      <c r="G31" s="53" t="s">
        <v>589</v>
      </c>
    </row>
    <row r="32" spans="1:8">
      <c r="A32" s="54" t="s">
        <v>561</v>
      </c>
      <c r="B32" s="58">
        <f>COUNT('Dados Análise'!$M$2:$M$201)</f>
        <v>200</v>
      </c>
      <c r="C32" s="66">
        <f>AVERAGE('Dados Análise'!$M$2:$M$201)</f>
        <v>2.0251625</v>
      </c>
      <c r="D32" s="66">
        <f ca="1">_xlfn.STDEV.S('Dados Análise'!$M$2:$M$201)</f>
        <v>0.642914516652379</v>
      </c>
      <c r="E32" s="66">
        <f>MIN('Dados Análise'!$M$2:$M$201)</f>
        <v>1.1754</v>
      </c>
      <c r="F32" s="66">
        <f>MAX('Dados Análise'!$M$2:$M$201)</f>
        <v>7.6418</v>
      </c>
      <c r="G32" s="54" t="s">
        <v>589</v>
      </c>
    </row>
    <row r="33" spans="1:17">
      <c r="A33" s="54" t="s">
        <v>562</v>
      </c>
      <c r="B33" s="58">
        <f>COUNT('Dados Análise'!$N$2:$N$201)</f>
        <v>200</v>
      </c>
      <c r="C33" s="56">
        <f>AVERAGE('Dados Análise'!$N$2:$N$201)</f>
        <v>1.5358262</v>
      </c>
      <c r="D33" s="56">
        <f ca="1">_xlfn.STDEV.S('Dados Análise'!$N$2:$N$201)</f>
        <v>0.0758086439268646</v>
      </c>
      <c r="E33" s="56">
        <f>MIN('Dados Análise'!$N$2:$N$201)</f>
        <v>1.15714</v>
      </c>
      <c r="F33" s="56">
        <f>MAX('Dados Análise'!$N$2:$N$201)</f>
        <v>1.6693</v>
      </c>
      <c r="G33" s="54" t="s">
        <v>581</v>
      </c>
    </row>
    <row r="34" spans="1:17">
      <c r="A34" s="54" t="s">
        <v>563</v>
      </c>
      <c r="B34" s="58">
        <f>COUNT('Dados Análise'!$O$2:$O$201)</f>
        <v>200</v>
      </c>
      <c r="C34" s="56">
        <f>AVERAGE('Dados Análise'!$O$2:$O$201)</f>
        <v>10.3351095</v>
      </c>
      <c r="D34" s="56">
        <f ca="1">_xlfn.STDEV.S('Dados Análise'!$O$2:$O$201)</f>
        <v>1.33365120196484</v>
      </c>
      <c r="E34" s="56">
        <f>MIN('Dados Análise'!$O$2:$O$201)</f>
        <v>7.0781</v>
      </c>
      <c r="F34" s="56">
        <f>MAX('Dados Análise'!$O$2:$O$201)</f>
        <v>14.599</v>
      </c>
      <c r="G34" s="54" t="s">
        <v>581</v>
      </c>
    </row>
    <row r="35" spans="1:17">
      <c r="A35" s="54" t="s">
        <v>564</v>
      </c>
      <c r="B35" s="58">
        <f>COUNT('Dados Análise'!$P$2:$P$201)</f>
        <v>200</v>
      </c>
      <c r="C35" s="56">
        <f>AVERAGE('Dados Análise'!$P$2:$P$201)</f>
        <v>11.8709357</v>
      </c>
      <c r="D35" s="56">
        <f ca="1">_xlfn.STDEV.S('Dados Análise'!$P$2:$P$201)</f>
        <v>1.33468609874925</v>
      </c>
      <c r="E35" s="56">
        <f>MIN('Dados Análise'!$P$2:$P$201)</f>
        <v>8.6191</v>
      </c>
      <c r="F35" s="56">
        <f>MAX('Dados Análise'!$P$2:$P$201)</f>
        <v>16.1676</v>
      </c>
      <c r="G35" s="54" t="s">
        <v>581</v>
      </c>
    </row>
    <row r="36" spans="1:17">
      <c r="A36" s="54" t="s">
        <v>565</v>
      </c>
      <c r="B36" s="58">
        <f>COUNT('Dados Análise'!$Q$2:$Q$201)</f>
        <v>200</v>
      </c>
      <c r="C36" s="66">
        <f>AVERAGE('Dados Análise'!$Q$2:$Q$201)</f>
        <v>0.959984198486455</v>
      </c>
      <c r="D36" s="66">
        <f ca="1">_xlfn.STDEV.S('Dados Análise'!$Q$2:$Q$201)</f>
        <v>0.380798339720626</v>
      </c>
      <c r="E36" s="66">
        <f>MIN('Dados Análise'!$Q$2:$Q$201)</f>
        <v>0</v>
      </c>
      <c r="F36" s="66">
        <f>MAX('Dados Análise'!$Q$2:$Q$201)</f>
        <v>2.06881608655775</v>
      </c>
      <c r="G36" s="54" t="s">
        <v>590</v>
      </c>
    </row>
    <row r="37" spans="1:17">
      <c r="A37" s="54" t="s">
        <v>566</v>
      </c>
      <c r="B37" s="58">
        <f>COUNT('Dados Análise'!$R$2:$R$101)</f>
        <v>100</v>
      </c>
      <c r="C37" s="56">
        <f>AVERAGE('Dados Análise'!$R$2:$R$101)</f>
        <v>0.06726</v>
      </c>
      <c r="D37" s="56">
        <f ca="1">_xlfn.STDEV.S('Dados Análise'!$R$2:$R$101)</f>
        <v>0.146031744853818</v>
      </c>
      <c r="E37" s="56">
        <f>MIN('Dados Análise'!$R$2:$R$101)</f>
        <v>0.0088</v>
      </c>
      <c r="F37" s="56">
        <f>MAX('Dados Análise'!$R$2:$R$101)</f>
        <v>0.5584</v>
      </c>
      <c r="G37" s="54" t="s">
        <v>581</v>
      </c>
    </row>
    <row r="38" spans="1:17">
      <c r="A38" s="54" t="s">
        <v>567</v>
      </c>
      <c r="B38" s="58">
        <f>COUNT('Dados Análise'!$S$2:$S$101)</f>
        <v>100</v>
      </c>
      <c r="C38" s="56">
        <f>AVERAGE('Dados Análise'!$S$2:$S$101)</f>
        <v>7.821095</v>
      </c>
      <c r="D38" s="56">
        <f ca="1">_xlfn.STDEV.S('Dados Análise'!$S$2:$S$101)</f>
        <v>0.708716149726983</v>
      </c>
      <c r="E38" s="56">
        <f>MIN('Dados Análise'!$S$2:$S$101)</f>
        <v>6.7788</v>
      </c>
      <c r="F38" s="56">
        <f>MAX('Dados Análise'!$S$2:$S$101)</f>
        <v>10.2923</v>
      </c>
      <c r="G38" s="54" t="s">
        <v>581</v>
      </c>
    </row>
    <row r="39" spans="1:17">
      <c r="A39" s="54" t="s">
        <v>568</v>
      </c>
      <c r="B39" s="58">
        <f>COUNT('Dados Análise'!$T$2:$T$101)</f>
        <v>100</v>
      </c>
      <c r="C39" s="56">
        <f>AVERAGE('Dados Análise'!$T$2:$T$101)</f>
        <v>7.888355</v>
      </c>
      <c r="D39" s="56">
        <f ca="1">_xlfn.STDEV.S('Dados Análise'!$T$2:$T$101)</f>
        <v>0.677699611113981</v>
      </c>
      <c r="E39" s="56">
        <f>MIN('Dados Análise'!$T$2:$T$101)</f>
        <v>6.8697</v>
      </c>
      <c r="F39" s="56">
        <f>MAX('Dados Análise'!$T$2:$T$101)</f>
        <v>10.3132</v>
      </c>
      <c r="G39" s="54" t="s">
        <v>581</v>
      </c>
    </row>
    <row r="42" spans="1:17" ht="23.1" customHeight="1">
      <c r="A42" s="150" t="s">
        <v>591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</row>
    <row r="43" spans="1:17" ht="45" customHeight="1">
      <c r="A43" s="141" t="s">
        <v>592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3"/>
    </row>
    <row r="44" spans="1:17" ht="45" customHeight="1">
      <c r="A44" s="146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8"/>
    </row>
    <row r="45" spans="1:17" ht="42" customHeight="1">
      <c r="A45" s="141" t="s">
        <v>593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3"/>
    </row>
    <row r="46" spans="1:17" ht="42" customHeight="1">
      <c r="A46" s="146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8"/>
    </row>
    <row r="47" spans="1:17" ht="42" customHeight="1">
      <c r="A47" s="141" t="s">
        <v>594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3"/>
    </row>
    <row r="48" spans="1:17" ht="42" customHeight="1">
      <c r="A48" s="146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8"/>
    </row>
    <row r="49" spans="1:17" ht="51.9" customHeight="1">
      <c r="A49" s="141" t="s">
        <v>595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3"/>
    </row>
    <row r="50" spans="1:17" ht="51.9" customHeight="1">
      <c r="A50" s="144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45"/>
    </row>
    <row r="51" spans="1:17" ht="51.9" customHeight="1">
      <c r="A51" s="146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8"/>
    </row>
    <row r="53" spans="1:17" ht="23.1" customHeight="1">
      <c r="A53" s="150" t="s">
        <v>596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</row>
    <row r="54" spans="1:17" ht="39.9" customHeight="1">
      <c r="A54" s="141" t="s">
        <v>597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3"/>
    </row>
    <row r="55" spans="1:17" ht="39.9" customHeight="1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8"/>
    </row>
    <row r="56" spans="1:17" ht="27.9" customHeight="1">
      <c r="A56" s="149" t="s">
        <v>598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</sheetData>
  <mergeCells count="13">
    <mergeCell ref="A1:Q1"/>
    <mergeCell ref="A49:Q51"/>
    <mergeCell ref="A56:Q56"/>
    <mergeCell ref="A29:H29"/>
    <mergeCell ref="A43:Q44"/>
    <mergeCell ref="A53:Q53"/>
    <mergeCell ref="A47:Q48"/>
    <mergeCell ref="A45:Q46"/>
    <mergeCell ref="A54:Q55"/>
    <mergeCell ref="A42:Q42"/>
    <mergeCell ref="A11:A15"/>
    <mergeCell ref="A16:A20"/>
    <mergeCell ref="A21:A2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sheetData/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Repetibilidade</vt:lpstr>
      <vt:lpstr>Métricas PICK_POSE</vt:lpstr>
      <vt:lpstr>Métricas TARGET_POSE</vt:lpstr>
      <vt:lpstr>Métricas IR_POSE</vt:lpstr>
      <vt:lpstr>Métricas IR_POSE TCP_CORRIGIDO</vt:lpstr>
      <vt:lpstr>Métricas GRIPPER</vt:lpstr>
      <vt:lpstr>Métricas TERMINAR_TAREFA</vt:lpstr>
      <vt:lpstr>Comparação Planners</vt:lpstr>
      <vt:lpstr>Robustez</vt:lpstr>
      <vt:lpstr>Segurança</vt:lpstr>
      <vt:lpstr>Resumo</vt:lpstr>
      <vt:lpstr>Dados Análise</vt:lpstr>
      <vt:lpstr>Análise Estatística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Mateus</dc:creator>
  <cp:lastModifiedBy>Mariana Mateus</cp:lastModifiedBy>
  <dcterms:created xsi:type="dcterms:W3CDTF">2026-08-04T09:16:23Z</dcterms:created>
  <dcterms:modified xsi:type="dcterms:W3CDTF">2026-08-04T09:16:23Z</dcterms:modified>
</cp:coreProperties>
</file>