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OneDrive - Ensino Lusófona\Desktop\Projeto CVR - Grupo 2\"/>
    </mc:Choice>
  </mc:AlternateContent>
  <xr:revisionPtr revIDLastSave="0" documentId="13_ncr:1_{E5B9F461-85A2-4C02-9F6A-82938EA71636}" xr6:coauthVersionLast="47" xr6:coauthVersionMax="47" xr10:uidLastSave="{00000000-0000-0000-0000-000000000000}"/>
  <bookViews>
    <workbookView xWindow="14295" yWindow="0" windowWidth="14610" windowHeight="15585" activeTab="6" xr2:uid="{FD531EF4-139D-4CD2-9369-FB6F35C7F972}"/>
  </bookViews>
  <sheets>
    <sheet name="Dados" sheetId="1" r:id="rId1"/>
    <sheet name="percurso" sheetId="19" r:id="rId2"/>
    <sheet name="SESR" sheetId="2" r:id="rId3"/>
    <sheet name="BBER" sheetId="3" r:id="rId4"/>
    <sheet name="ESR" sheetId="5" r:id="rId5"/>
    <sheet name="Chuva" sheetId="9" r:id="rId6"/>
    <sheet name="CN_CIP" sheetId="12" r:id="rId7"/>
    <sheet name="DistanciaMaxima" sheetId="15" r:id="rId8"/>
    <sheet name="Eb_N0" sheetId="1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2" l="1"/>
  <c r="B24" i="12"/>
  <c r="C3" i="3"/>
  <c r="B2" i="2"/>
  <c r="B9" i="3" s="1"/>
  <c r="C3" i="9"/>
  <c r="C10" i="9"/>
  <c r="B10" i="9"/>
  <c r="C9" i="9"/>
  <c r="B9" i="9"/>
  <c r="B7" i="9"/>
  <c r="C6" i="9"/>
  <c r="B6" i="9"/>
  <c r="C5" i="9"/>
  <c r="C4" i="9"/>
  <c r="C2" i="9"/>
  <c r="B6" i="15"/>
  <c r="B2" i="15"/>
  <c r="B14" i="1"/>
  <c r="B3" i="3"/>
  <c r="C12" i="2"/>
  <c r="B12" i="2"/>
  <c r="D12" i="2"/>
  <c r="D14" i="2" s="1"/>
  <c r="D15" i="2" s="1"/>
  <c r="D16" i="2" s="1"/>
  <c r="B14" i="2"/>
  <c r="B15" i="2" s="1"/>
  <c r="E9" i="2"/>
  <c r="E10" i="2" s="1"/>
  <c r="E11" i="2" s="1"/>
  <c r="E12" i="2" s="1"/>
  <c r="E14" i="2" s="1"/>
  <c r="E15" i="2" s="1"/>
  <c r="E16" i="2" s="1"/>
  <c r="D11" i="2"/>
  <c r="D10" i="2"/>
  <c r="E8" i="2"/>
  <c r="D8" i="2"/>
  <c r="E7" i="2"/>
  <c r="D7" i="2"/>
  <c r="E9" i="5"/>
  <c r="E10" i="5" s="1"/>
  <c r="C9" i="5"/>
  <c r="C10" i="5" s="1"/>
  <c r="D9" i="5"/>
  <c r="D10" i="5" s="1"/>
  <c r="C3" i="5"/>
  <c r="C4" i="5" s="1"/>
  <c r="C5" i="5" s="1"/>
  <c r="D3" i="5"/>
  <c r="E4" i="5" s="1"/>
  <c r="E5" i="5" s="1"/>
  <c r="D16" i="5"/>
  <c r="E16" i="5"/>
  <c r="E9" i="3"/>
  <c r="E10" i="3" s="1"/>
  <c r="D9" i="3"/>
  <c r="D10" i="3" s="1"/>
  <c r="D3" i="3"/>
  <c r="D4" i="3" s="1"/>
  <c r="D5" i="3" s="1"/>
  <c r="E3" i="3"/>
  <c r="E4" i="3" s="1"/>
  <c r="E5" i="3" s="1"/>
  <c r="D9" i="2"/>
  <c r="C8" i="2"/>
  <c r="E6" i="2"/>
  <c r="D6" i="2"/>
  <c r="E3" i="2"/>
  <c r="D3" i="2"/>
  <c r="D2" i="2"/>
  <c r="E2" i="2"/>
  <c r="C9" i="3" l="1"/>
  <c r="C10" i="3" s="1"/>
  <c r="B16" i="2"/>
  <c r="C7" i="9"/>
  <c r="C11" i="9" s="1"/>
  <c r="D4" i="5"/>
  <c r="D5" i="5" s="1"/>
  <c r="D6" i="5" s="1"/>
  <c r="D7" i="5" s="1"/>
  <c r="D6" i="3"/>
  <c r="E6" i="3"/>
  <c r="E7" i="3" s="1"/>
  <c r="D11" i="3"/>
  <c r="D12" i="3" s="1"/>
  <c r="E6" i="5"/>
  <c r="E7" i="5" s="1"/>
  <c r="E11" i="3"/>
  <c r="D11" i="5"/>
  <c r="D12" i="5" s="1"/>
  <c r="E11" i="5"/>
  <c r="E12" i="5" s="1"/>
  <c r="E12" i="3" l="1"/>
  <c r="E14" i="3" s="1"/>
  <c r="E15" i="3" s="1"/>
  <c r="D7" i="3"/>
  <c r="D14" i="3" s="1"/>
  <c r="D15" i="3" s="1"/>
  <c r="D14" i="5"/>
  <c r="D15" i="5" s="1"/>
  <c r="E14" i="5"/>
  <c r="E15" i="5" s="1"/>
  <c r="B31" i="12"/>
  <c r="B28" i="12"/>
  <c r="B27" i="12"/>
  <c r="B23" i="12"/>
  <c r="B22" i="12"/>
  <c r="B20" i="12"/>
  <c r="B18" i="12"/>
  <c r="B13" i="12"/>
  <c r="B10" i="12"/>
  <c r="B25" i="12" s="1"/>
  <c r="B5" i="12"/>
  <c r="B4" i="12"/>
  <c r="B3" i="12"/>
  <c r="B2" i="12"/>
  <c r="B1" i="12"/>
  <c r="B4" i="9"/>
  <c r="B2" i="9"/>
  <c r="B3" i="9" s="1"/>
  <c r="B16" i="5"/>
  <c r="C16" i="5"/>
  <c r="E3" i="5"/>
  <c r="B3" i="5"/>
  <c r="B4" i="5" s="1"/>
  <c r="B5" i="5" s="1"/>
  <c r="B4" i="3"/>
  <c r="B5" i="3" s="1"/>
  <c r="C9" i="2"/>
  <c r="B9" i="2"/>
  <c r="C10" i="2" s="1"/>
  <c r="B8" i="2"/>
  <c r="C3" i="2"/>
  <c r="B3" i="2"/>
  <c r="C2" i="2"/>
  <c r="C6" i="2"/>
  <c r="B6" i="2"/>
  <c r="C7" i="2" s="1"/>
  <c r="B11" i="12"/>
  <c r="B19" i="12"/>
  <c r="B15" i="12"/>
  <c r="B16" i="12"/>
  <c r="F12" i="1"/>
  <c r="H12" i="1"/>
  <c r="G12" i="1"/>
  <c r="B7" i="1"/>
  <c r="B9" i="1"/>
  <c r="B6" i="1"/>
  <c r="C3" i="1"/>
  <c r="C2" i="18"/>
  <c r="B29" i="12" l="1"/>
  <c r="B30" i="12" s="1"/>
  <c r="G6" i="12" s="1"/>
  <c r="G7" i="12" s="1"/>
  <c r="H16" i="12"/>
  <c r="H17" i="12" s="1"/>
  <c r="H18" i="12" s="1"/>
  <c r="H11" i="12"/>
  <c r="H12" i="12" s="1"/>
  <c r="G11" i="12"/>
  <c r="G12" i="12" s="1"/>
  <c r="G16" i="12"/>
  <c r="G17" i="12" s="1"/>
  <c r="G18" i="12" s="1"/>
  <c r="C4" i="3"/>
  <c r="C5" i="3" s="1"/>
  <c r="B7" i="2"/>
  <c r="B10" i="3"/>
  <c r="B10" i="2"/>
  <c r="C11" i="2" s="1"/>
  <c r="B5" i="9"/>
  <c r="B9" i="5"/>
  <c r="E4" i="15"/>
  <c r="C5" i="18"/>
  <c r="B5" i="18" s="1"/>
  <c r="B2" i="18"/>
  <c r="H6" i="12" l="1"/>
  <c r="H7" i="12" s="1"/>
  <c r="B11" i="2"/>
  <c r="C6" i="3" s="1"/>
  <c r="C7" i="3" s="1"/>
  <c r="B10" i="5"/>
  <c r="C11" i="5" l="1"/>
  <c r="C12" i="5" s="1"/>
  <c r="C6" i="5"/>
  <c r="C7" i="5" s="1"/>
  <c r="C11" i="3"/>
  <c r="B5" i="15"/>
  <c r="B11" i="9" l="1"/>
  <c r="G8" i="12" l="1"/>
  <c r="G13" i="12"/>
  <c r="H13" i="12"/>
  <c r="B11" i="3"/>
  <c r="B12" i="3" s="1"/>
  <c r="B6" i="3"/>
  <c r="B7" i="3" s="1"/>
  <c r="B14" i="3" s="1"/>
  <c r="B6" i="5"/>
  <c r="B7" i="5" s="1"/>
  <c r="B11" i="5"/>
  <c r="B12" i="5" s="1"/>
  <c r="B14" i="5" l="1"/>
  <c r="B15" i="5" s="1"/>
  <c r="C14" i="2"/>
  <c r="C15" i="2" s="1"/>
  <c r="C16" i="2" s="1"/>
  <c r="H8" i="12" s="1"/>
  <c r="C12" i="3"/>
  <c r="B15" i="3"/>
  <c r="C14" i="3" l="1"/>
  <c r="C15" i="3" s="1"/>
  <c r="C14" i="5"/>
  <c r="C15" i="5" s="1"/>
</calcChain>
</file>

<file path=xl/sharedStrings.xml><?xml version="1.0" encoding="utf-8"?>
<sst xmlns="http://schemas.openxmlformats.org/spreadsheetml/2006/main" count="165" uniqueCount="128">
  <si>
    <t>Frequência [GHz]</t>
  </si>
  <si>
    <t>Distância [km]</t>
  </si>
  <si>
    <t>Modulação</t>
  </si>
  <si>
    <t>Kn</t>
  </si>
  <si>
    <t>Ritmo binário [Mbits/s]</t>
  </si>
  <si>
    <t>Psesr</t>
  </si>
  <si>
    <t>BERses</t>
  </si>
  <si>
    <t>Eb/N0 [dB] SESR/min (correr ber_ebn0.m)</t>
  </si>
  <si>
    <t>Pbber</t>
  </si>
  <si>
    <t>Kn 4-PSK</t>
  </si>
  <si>
    <t>Kn 8-PSK</t>
  </si>
  <si>
    <t>Kn 16-QAM</t>
  </si>
  <si>
    <t>Kn 64-QAM</t>
  </si>
  <si>
    <t>C/N_SESR_min = Eb/N0 - 10log10(BW/fb) [db]</t>
  </si>
  <si>
    <t>mr_sesr = 1,4e-8 * f [GHz] * d[km]^3,5 * 1/Psesr</t>
  </si>
  <si>
    <t>k = 1,4e-8 * f[Ghz] * d[km]^3,5</t>
  </si>
  <si>
    <t>tau_m = 0,7 * (d[km] / 50)^n [ns]</t>
  </si>
  <si>
    <t>Ps_mp = 2,16 * Kn * (2*tau_m^2/Ts^2)</t>
  </si>
  <si>
    <t>Ps = eta * Ps_mp</t>
  </si>
  <si>
    <t>ms</t>
  </si>
  <si>
    <t>m_u_SESR = (1/m_r_SESR-1/m_s)^-1</t>
  </si>
  <si>
    <t>Mu_SESR [dB]</t>
  </si>
  <si>
    <t>n</t>
  </si>
  <si>
    <t>Metodo B: ITU-r para calculo de ms</t>
  </si>
  <si>
    <t>Ts = log2(m) / (Rb[Mbits/s] * 1e-3) [ns]</t>
  </si>
  <si>
    <t>eta = 1 - exp(-0,2 * k ^(3/4))</t>
  </si>
  <si>
    <t>C/n_SESR_CIP = C/N_SESR_min + Mu_SESR [dB]</t>
  </si>
  <si>
    <t>Margem igualacao (ou 1 ou o valor)</t>
  </si>
  <si>
    <t>n (num. blocos)</t>
  </si>
  <si>
    <t>nb (num bits por bloco)</t>
  </si>
  <si>
    <t>rber</t>
  </si>
  <si>
    <t>Eb/N0 [dB] rber/min (correr ber_ebn0.m)</t>
  </si>
  <si>
    <t>Pesr</t>
  </si>
  <si>
    <t>Percentagem de indisponibilidade para 50km [%]</t>
  </si>
  <si>
    <t>Percentagem de indisponibilidade devido à chuva</t>
  </si>
  <si>
    <t>Ri001 [mm/h]</t>
  </si>
  <si>
    <t>k</t>
  </si>
  <si>
    <t>Probabilidade de erro = indisponivel</t>
  </si>
  <si>
    <t>Eb/N0 [dB] chuva minimo</t>
  </si>
  <si>
    <t>Raio máximo do 1º elipsoide de Fresnel [m]</t>
  </si>
  <si>
    <t>C/N_rber_CIP = C/N_sesr_CIP</t>
  </si>
  <si>
    <t>C/N_rber_min = Eb/N0_rber - 10log10(BW/fb) [dB]</t>
  </si>
  <si>
    <t>Mu_rber = C/N_rber_CIP - C/N_rber_min [dB]</t>
  </si>
  <si>
    <t>Prber = 1.4e-8 * f [GHz] * d[km]^3.5 * 1/mr_rber</t>
  </si>
  <si>
    <t>Mu_sesr = C/N_sesr_CIP - C/N_sesr_min [dB]</t>
  </si>
  <si>
    <t>Psesr = 1.4e-8 * f[GHz] * d[km]^3.5 * 1/mr_sesr</t>
  </si>
  <si>
    <t>m_iber = abs((log10(rber) - log10(berSES)) / (log10(Prber) - log10(Psesr)) )</t>
  </si>
  <si>
    <t>bber = sesr * (alpha1/(2.8*alpha2*(m_iber-1))) + nb*rber/alpha3</t>
  </si>
  <si>
    <t>BBER (da norma)</t>
  </si>
  <si>
    <t>Alpha 1</t>
  </si>
  <si>
    <t>Alpha 2</t>
  </si>
  <si>
    <t>Alpha 3</t>
  </si>
  <si>
    <t>mr_rber = (1/mu_rber + 1/ms)^-1</t>
  </si>
  <si>
    <t>mr_sesr = (1/mu_sesr + 1/ms)^-1</t>
  </si>
  <si>
    <t>esr = sesr * n ^(1/m_iber) + n * nb * rber / alpha3</t>
  </si>
  <si>
    <t>ESR (da norma)</t>
  </si>
  <si>
    <t>gamma_r = k * R_i0.01^alpha</t>
  </si>
  <si>
    <t>Ar(0.01) = gamma_r * def[km]</t>
  </si>
  <si>
    <t>p [%]</t>
  </si>
  <si>
    <t>d0 [km] = 35*exp(-0.015*R_i0.01) para R_i0.01 &lt;=100 ou 100 para R_i0.01 &gt; 100 [km]</t>
  </si>
  <si>
    <t>def [km] = d [km] / ( 1 + d[km] / d0[km] ) [km]</t>
  </si>
  <si>
    <t>Ar(p) = Ar(0.01) x 0.12 x p ^ (-0.546-0.043log10(p)) [dB]</t>
  </si>
  <si>
    <t>Eb_N0_min [dB]</t>
  </si>
  <si>
    <t>C/N_min_Chuva [dB] = Eb_N0_min [dB] - 10 * Log10( 1 / Log2(m)) [dB]</t>
  </si>
  <si>
    <t>C/N_CIP_Chuva [dB] = C/N_min_Chuva [dB] + Ar(p) [dB]</t>
  </si>
  <si>
    <t>Frequência [GHz]:</t>
  </si>
  <si>
    <t>Modulação:</t>
  </si>
  <si>
    <t>Ritmo binário [Mbits/s]:</t>
  </si>
  <si>
    <t>Comprimento de onda [m]:</t>
  </si>
  <si>
    <t>Distância [km]:</t>
  </si>
  <si>
    <t>Altura das antenas [m]:</t>
  </si>
  <si>
    <t>Diâmetro das antenas [m]:</t>
  </si>
  <si>
    <t>Rendimento das antenas :</t>
  </si>
  <si>
    <t>Posição do obstáculo principal em relação ao emissor [km]:</t>
  </si>
  <si>
    <t>Posição do obstáculo principal em relação ao receptor [km]:</t>
  </si>
  <si>
    <t>Altura do obstáculo principal [m]:</t>
  </si>
  <si>
    <t>Altura do feixe na posição do obstáculo principal [m]:</t>
  </si>
  <si>
    <t>Diferença entre a altura do obstáculo principal e do feixe [m]:</t>
  </si>
  <si>
    <t>Tipo de guia:</t>
  </si>
  <si>
    <t>Atenuação do guia [dB/m]:</t>
  </si>
  <si>
    <t>Atenuação dos gases da atmosfera [dB/m]:</t>
  </si>
  <si>
    <t>Folga dos guias [m]:</t>
  </si>
  <si>
    <t>Factor de ruído do receptor [dB]:</t>
  </si>
  <si>
    <t>Potência de emissão [dBw]:</t>
  </si>
  <si>
    <t>Ganho das antenas = 20*log10(pi*da*f/0.3)+10*log10(eta) [dB]:</t>
  </si>
  <si>
    <t>A0 = 92.4 + 20*log10(f) + 20*log10(d) [dB]:</t>
  </si>
  <si>
    <t>A1 = 92.4 + 20*log10(f) + 20*log10(d1) [dB]:</t>
  </si>
  <si>
    <t>A2 = 92.4 + 20*log10(f) + 20*log10(d2) [dB]:</t>
  </si>
  <si>
    <t>Atenuacao dos gases = Atenuação [dB/m] * d [km] [dB]:</t>
  </si>
  <si>
    <t>Atenuacao dos gases [pior troço] = Atenuação [dB/m] * d1 ou d2 [km] [dB]:</t>
  </si>
  <si>
    <t>Atenuacao do obstáculo principal [dB]:</t>
  </si>
  <si>
    <t>Ruído no receptor [dB]:</t>
  </si>
  <si>
    <t>Percurso directo</t>
  </si>
  <si>
    <t>Potencia Recebida = Pe + 2*Ge - 2* Aguia - Agases - A0 - Aobs [dB]:</t>
  </si>
  <si>
    <t>C/N_CIP no receptor = Potencia recebida - Ruído no receptor [dB]:</t>
  </si>
  <si>
    <t>Com Repetidor Passivo</t>
  </si>
  <si>
    <t>Potencia Recebida = Pe + 2*Ge - 2* Aguia - Agases - A1 - A2 + 2*GR [dB]:</t>
  </si>
  <si>
    <t>Com Repetidor Activo</t>
  </si>
  <si>
    <t>Potência recebida Pior Caso =Pe + 2*Ge - 2* Aguia - Agases - A1 ou A2 [dB]:</t>
  </si>
  <si>
    <t>Atenuacao guia = Atenuacao [dB/m] * h [dB]:</t>
  </si>
  <si>
    <t>Parâmetro v da atenuação do obstáculo principal:</t>
  </si>
  <si>
    <t>1ª Estimativa</t>
  </si>
  <si>
    <t>2ª Estimativa</t>
  </si>
  <si>
    <t>Modulação m-PSK:</t>
  </si>
  <si>
    <t>BER</t>
  </si>
  <si>
    <t>z</t>
  </si>
  <si>
    <t>Eb/N0 [dB]</t>
  </si>
  <si>
    <t>5.205 e 5.207</t>
  </si>
  <si>
    <t>Modulação m-QAM:</t>
  </si>
  <si>
    <t>5.210 e 5.215</t>
  </si>
  <si>
    <t>α</t>
  </si>
  <si>
    <t>Potencia do emissor [W]</t>
  </si>
  <si>
    <t>raio da terra [km]</t>
  </si>
  <si>
    <t>ke</t>
  </si>
  <si>
    <t>raio equivalente [km]</t>
  </si>
  <si>
    <t>raio máximo 1º elipsóide = sqrt (lambda * d /4) [m]</t>
  </si>
  <si>
    <t>dm = sqrt (2*req*he) + sqrt(2*req*hr) [km]</t>
  </si>
  <si>
    <t>WC-281</t>
  </si>
  <si>
    <t>Direto c/ igualação</t>
  </si>
  <si>
    <t>Direto s/ igualação</t>
  </si>
  <si>
    <t>s/ igualação</t>
  </si>
  <si>
    <t>c/ igualação</t>
  </si>
  <si>
    <t xml:space="preserve"> ativo s/igualação</t>
  </si>
  <si>
    <t>ativo c/igualação</t>
  </si>
  <si>
    <t>Distancia pior troço</t>
  </si>
  <si>
    <t>Mcritica[dB]:</t>
  </si>
  <si>
    <t>Ativo</t>
  </si>
  <si>
    <t xml:space="preserve">Direto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</si>
</sst>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2" fillId="0" borderId="0" xfId="0" applyFont="1"/>
    <xf numFmtId="2" fontId="0" fillId="0" borderId="0" xfId="0" applyNumberForma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4" xfId="0" applyNumberForma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left" vertical="center"/>
    </xf>
    <xf numFmtId="11" fontId="0" fillId="0" borderId="8" xfId="0" applyNumberFormat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0" xfId="0" applyBorder="1" applyAlignment="1">
      <alignment horizontal="right" vertical="center"/>
    </xf>
    <xf numFmtId="2" fontId="0" fillId="0" borderId="14" xfId="0" applyNumberForma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2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2" fontId="0" fillId="0" borderId="14" xfId="0" applyNumberFormat="1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2" fillId="0" borderId="8" xfId="0" applyFont="1" applyBorder="1"/>
    <xf numFmtId="0" fontId="0" fillId="0" borderId="1" xfId="0" applyBorder="1"/>
    <xf numFmtId="0" fontId="0" fillId="0" borderId="7" xfId="0" applyBorder="1"/>
    <xf numFmtId="0" fontId="3" fillId="0" borderId="14" xfId="0" applyFont="1" applyBorder="1"/>
    <xf numFmtId="2" fontId="0" fillId="0" borderId="14" xfId="0" applyNumberFormat="1" applyBorder="1"/>
    <xf numFmtId="2" fontId="0" fillId="0" borderId="7" xfId="0" applyNumberFormat="1" applyBorder="1" applyAlignment="1">
      <alignment horizontal="right" vertical="center"/>
    </xf>
    <xf numFmtId="0" fontId="0" fillId="0" borderId="10" xfId="0" applyBorder="1" applyAlignment="1">
      <alignment horizontal="right" vertical="center" wrapText="1"/>
    </xf>
    <xf numFmtId="0" fontId="0" fillId="0" borderId="2" xfId="0" applyBorder="1"/>
    <xf numFmtId="0" fontId="0" fillId="0" borderId="8" xfId="0" applyBorder="1"/>
    <xf numFmtId="0" fontId="0" fillId="0" borderId="4" xfId="0" applyBorder="1"/>
    <xf numFmtId="0" fontId="3" fillId="0" borderId="6" xfId="0" applyFont="1" applyBorder="1"/>
    <xf numFmtId="0" fontId="3" fillId="0" borderId="7" xfId="0" applyFont="1" applyBorder="1"/>
    <xf numFmtId="2" fontId="0" fillId="0" borderId="12" xfId="0" applyNumberFormat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2" borderId="14" xfId="0" applyFill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2" fontId="0" fillId="2" borderId="1" xfId="0" applyNumberFormat="1" applyFill="1" applyBorder="1" applyAlignment="1">
      <alignment horizontal="right" vertical="center"/>
    </xf>
    <xf numFmtId="2" fontId="0" fillId="0" borderId="6" xfId="0" applyNumberFormat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left" vertical="center"/>
    </xf>
    <xf numFmtId="11" fontId="0" fillId="0" borderId="10" xfId="0" applyNumberFormat="1" applyBorder="1" applyAlignment="1">
      <alignment horizontal="right" vertical="center"/>
    </xf>
    <xf numFmtId="11" fontId="0" fillId="0" borderId="1" xfId="0" applyNumberFormat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0" fontId="1" fillId="3" borderId="10" xfId="0" applyFont="1" applyFill="1" applyBorder="1" applyAlignment="1">
      <alignment horizontal="right" vertical="center"/>
    </xf>
    <xf numFmtId="0" fontId="0" fillId="0" borderId="15" xfId="0" applyBorder="1"/>
    <xf numFmtId="0" fontId="1" fillId="3" borderId="1" xfId="0" applyFont="1" applyFill="1" applyBorder="1" applyAlignment="1">
      <alignment horizontal="right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percurso!$A:$A</c:f>
              <c:numCache>
                <c:formatCode>General</c:formatCode>
                <c:ptCount val="1048576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2.6</c:v>
                </c:pt>
                <c:pt idx="21">
                  <c:v>2.7</c:v>
                </c:pt>
                <c:pt idx="22">
                  <c:v>2.8</c:v>
                </c:pt>
                <c:pt idx="23">
                  <c:v>2.9</c:v>
                </c:pt>
                <c:pt idx="24">
                  <c:v>3.1</c:v>
                </c:pt>
                <c:pt idx="25">
                  <c:v>3.2</c:v>
                </c:pt>
                <c:pt idx="26">
                  <c:v>3.3</c:v>
                </c:pt>
                <c:pt idx="27">
                  <c:v>3.5</c:v>
                </c:pt>
                <c:pt idx="28">
                  <c:v>3.6</c:v>
                </c:pt>
                <c:pt idx="29">
                  <c:v>3.7</c:v>
                </c:pt>
                <c:pt idx="30">
                  <c:v>3.8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5.3</c:v>
                </c:pt>
                <c:pt idx="42">
                  <c:v>5.4</c:v>
                </c:pt>
                <c:pt idx="43">
                  <c:v>5.5</c:v>
                </c:pt>
                <c:pt idx="44">
                  <c:v>5.6</c:v>
                </c:pt>
                <c:pt idx="45">
                  <c:v>5.8</c:v>
                </c:pt>
                <c:pt idx="46">
                  <c:v>5.9</c:v>
                </c:pt>
                <c:pt idx="47">
                  <c:v>6</c:v>
                </c:pt>
                <c:pt idx="48">
                  <c:v>6.2</c:v>
                </c:pt>
                <c:pt idx="49">
                  <c:v>6.3</c:v>
                </c:pt>
                <c:pt idx="50">
                  <c:v>6.4</c:v>
                </c:pt>
                <c:pt idx="51">
                  <c:v>6.5</c:v>
                </c:pt>
                <c:pt idx="52">
                  <c:v>6.7</c:v>
                </c:pt>
                <c:pt idx="53">
                  <c:v>6.8</c:v>
                </c:pt>
                <c:pt idx="54">
                  <c:v>6.9</c:v>
                </c:pt>
                <c:pt idx="55">
                  <c:v>7.1</c:v>
                </c:pt>
                <c:pt idx="56">
                  <c:v>7.2</c:v>
                </c:pt>
                <c:pt idx="57">
                  <c:v>7.3</c:v>
                </c:pt>
                <c:pt idx="58">
                  <c:v>7.4</c:v>
                </c:pt>
                <c:pt idx="59">
                  <c:v>7.6</c:v>
                </c:pt>
                <c:pt idx="60">
                  <c:v>7.7</c:v>
                </c:pt>
                <c:pt idx="61">
                  <c:v>7.8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8.5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8.8000000000000007</c:v>
                </c:pt>
                <c:pt idx="70">
                  <c:v>9</c:v>
                </c:pt>
                <c:pt idx="71">
                  <c:v>9.1</c:v>
                </c:pt>
                <c:pt idx="72">
                  <c:v>9.1999999999999993</c:v>
                </c:pt>
                <c:pt idx="73">
                  <c:v>9.4</c:v>
                </c:pt>
                <c:pt idx="74">
                  <c:v>9.5</c:v>
                </c:pt>
                <c:pt idx="75">
                  <c:v>9.6</c:v>
                </c:pt>
                <c:pt idx="76">
                  <c:v>9.6999999999999993</c:v>
                </c:pt>
                <c:pt idx="77">
                  <c:v>9.9</c:v>
                </c:pt>
                <c:pt idx="78">
                  <c:v>10</c:v>
                </c:pt>
                <c:pt idx="79">
                  <c:v>10.1</c:v>
                </c:pt>
                <c:pt idx="80">
                  <c:v>10.3</c:v>
                </c:pt>
                <c:pt idx="81">
                  <c:v>10.4</c:v>
                </c:pt>
                <c:pt idx="82">
                  <c:v>10.5</c:v>
                </c:pt>
                <c:pt idx="83">
                  <c:v>10.6</c:v>
                </c:pt>
                <c:pt idx="84">
                  <c:v>10.8</c:v>
                </c:pt>
                <c:pt idx="85">
                  <c:v>10.9</c:v>
                </c:pt>
                <c:pt idx="86">
                  <c:v>11</c:v>
                </c:pt>
                <c:pt idx="87">
                  <c:v>11.2</c:v>
                </c:pt>
                <c:pt idx="88">
                  <c:v>11.3</c:v>
                </c:pt>
                <c:pt idx="89">
                  <c:v>11.4</c:v>
                </c:pt>
                <c:pt idx="90">
                  <c:v>11.5</c:v>
                </c:pt>
                <c:pt idx="91">
                  <c:v>11.7</c:v>
                </c:pt>
                <c:pt idx="92">
                  <c:v>11.8</c:v>
                </c:pt>
                <c:pt idx="93">
                  <c:v>11.9</c:v>
                </c:pt>
                <c:pt idx="94">
                  <c:v>12.1</c:v>
                </c:pt>
                <c:pt idx="95">
                  <c:v>12.2</c:v>
                </c:pt>
                <c:pt idx="96">
                  <c:v>12.3</c:v>
                </c:pt>
                <c:pt idx="97">
                  <c:v>12.4</c:v>
                </c:pt>
                <c:pt idx="98">
                  <c:v>12.6</c:v>
                </c:pt>
                <c:pt idx="99">
                  <c:v>12.7</c:v>
                </c:pt>
                <c:pt idx="100">
                  <c:v>12.8</c:v>
                </c:pt>
                <c:pt idx="101">
                  <c:v>13</c:v>
                </c:pt>
                <c:pt idx="102">
                  <c:v>13.1</c:v>
                </c:pt>
                <c:pt idx="103">
                  <c:v>13.2</c:v>
                </c:pt>
                <c:pt idx="104">
                  <c:v>13.3</c:v>
                </c:pt>
                <c:pt idx="105">
                  <c:v>13.5</c:v>
                </c:pt>
                <c:pt idx="106">
                  <c:v>13.6</c:v>
                </c:pt>
                <c:pt idx="107">
                  <c:v>13.7</c:v>
                </c:pt>
                <c:pt idx="108">
                  <c:v>13.8</c:v>
                </c:pt>
                <c:pt idx="109">
                  <c:v>14</c:v>
                </c:pt>
                <c:pt idx="110">
                  <c:v>14.1</c:v>
                </c:pt>
                <c:pt idx="111">
                  <c:v>14.2</c:v>
                </c:pt>
                <c:pt idx="112">
                  <c:v>14.4</c:v>
                </c:pt>
                <c:pt idx="113">
                  <c:v>14.5</c:v>
                </c:pt>
                <c:pt idx="114">
                  <c:v>14.6</c:v>
                </c:pt>
                <c:pt idx="115">
                  <c:v>14.7</c:v>
                </c:pt>
                <c:pt idx="116">
                  <c:v>14.9</c:v>
                </c:pt>
                <c:pt idx="117">
                  <c:v>15</c:v>
                </c:pt>
                <c:pt idx="118">
                  <c:v>15.1</c:v>
                </c:pt>
                <c:pt idx="119">
                  <c:v>15.3</c:v>
                </c:pt>
                <c:pt idx="120">
                  <c:v>15.4</c:v>
                </c:pt>
                <c:pt idx="121">
                  <c:v>15.5</c:v>
                </c:pt>
                <c:pt idx="122">
                  <c:v>15.6</c:v>
                </c:pt>
                <c:pt idx="123">
                  <c:v>15.8</c:v>
                </c:pt>
                <c:pt idx="124">
                  <c:v>15.9</c:v>
                </c:pt>
                <c:pt idx="125">
                  <c:v>16</c:v>
                </c:pt>
                <c:pt idx="126">
                  <c:v>16.2</c:v>
                </c:pt>
                <c:pt idx="127">
                  <c:v>16.3</c:v>
                </c:pt>
                <c:pt idx="128">
                  <c:v>16.399999999999999</c:v>
                </c:pt>
                <c:pt idx="129">
                  <c:v>16.5</c:v>
                </c:pt>
                <c:pt idx="130">
                  <c:v>16.7</c:v>
                </c:pt>
                <c:pt idx="131">
                  <c:v>16.8</c:v>
                </c:pt>
                <c:pt idx="132">
                  <c:v>16.899999999999999</c:v>
                </c:pt>
                <c:pt idx="133">
                  <c:v>17.100000000000001</c:v>
                </c:pt>
                <c:pt idx="134">
                  <c:v>17.2</c:v>
                </c:pt>
                <c:pt idx="135">
                  <c:v>17.3</c:v>
                </c:pt>
                <c:pt idx="136">
                  <c:v>17.399999999999999</c:v>
                </c:pt>
                <c:pt idx="137">
                  <c:v>17.600000000000001</c:v>
                </c:pt>
                <c:pt idx="138">
                  <c:v>17.7</c:v>
                </c:pt>
                <c:pt idx="139">
                  <c:v>17.8</c:v>
                </c:pt>
                <c:pt idx="140">
                  <c:v>18</c:v>
                </c:pt>
                <c:pt idx="141">
                  <c:v>18.100000000000001</c:v>
                </c:pt>
                <c:pt idx="142">
                  <c:v>18.2</c:v>
                </c:pt>
                <c:pt idx="143">
                  <c:v>18.3</c:v>
                </c:pt>
                <c:pt idx="144">
                  <c:v>18.5</c:v>
                </c:pt>
                <c:pt idx="145">
                  <c:v>18.600000000000001</c:v>
                </c:pt>
                <c:pt idx="146">
                  <c:v>18.7</c:v>
                </c:pt>
                <c:pt idx="147">
                  <c:v>18.899999999999999</c:v>
                </c:pt>
                <c:pt idx="148">
                  <c:v>19</c:v>
                </c:pt>
                <c:pt idx="149">
                  <c:v>19.100000000000001</c:v>
                </c:pt>
                <c:pt idx="150">
                  <c:v>19.2</c:v>
                </c:pt>
                <c:pt idx="151">
                  <c:v>19.399999999999999</c:v>
                </c:pt>
                <c:pt idx="152">
                  <c:v>19.5</c:v>
                </c:pt>
                <c:pt idx="153">
                  <c:v>19.600000000000001</c:v>
                </c:pt>
                <c:pt idx="154">
                  <c:v>19.7</c:v>
                </c:pt>
                <c:pt idx="155">
                  <c:v>19.899999999999999</c:v>
                </c:pt>
                <c:pt idx="156">
                  <c:v>20</c:v>
                </c:pt>
                <c:pt idx="157">
                  <c:v>20.100000000000001</c:v>
                </c:pt>
                <c:pt idx="158">
                  <c:v>20.3</c:v>
                </c:pt>
                <c:pt idx="159">
                  <c:v>20.399999999999999</c:v>
                </c:pt>
                <c:pt idx="160">
                  <c:v>20.5</c:v>
                </c:pt>
                <c:pt idx="161">
                  <c:v>20.6</c:v>
                </c:pt>
                <c:pt idx="162">
                  <c:v>20.8</c:v>
                </c:pt>
                <c:pt idx="163">
                  <c:v>20.9</c:v>
                </c:pt>
                <c:pt idx="164">
                  <c:v>21</c:v>
                </c:pt>
                <c:pt idx="165">
                  <c:v>21.2</c:v>
                </c:pt>
                <c:pt idx="166">
                  <c:v>21.3</c:v>
                </c:pt>
                <c:pt idx="167">
                  <c:v>21.4</c:v>
                </c:pt>
                <c:pt idx="168">
                  <c:v>21.5</c:v>
                </c:pt>
                <c:pt idx="169">
                  <c:v>21.7</c:v>
                </c:pt>
                <c:pt idx="170">
                  <c:v>21.8</c:v>
                </c:pt>
                <c:pt idx="171">
                  <c:v>21.9</c:v>
                </c:pt>
                <c:pt idx="172">
                  <c:v>22.1</c:v>
                </c:pt>
                <c:pt idx="173">
                  <c:v>22.2</c:v>
                </c:pt>
                <c:pt idx="174">
                  <c:v>22.3</c:v>
                </c:pt>
                <c:pt idx="175">
                  <c:v>22.4</c:v>
                </c:pt>
                <c:pt idx="176">
                  <c:v>22.6</c:v>
                </c:pt>
                <c:pt idx="177">
                  <c:v>22.7</c:v>
                </c:pt>
                <c:pt idx="178">
                  <c:v>22.8</c:v>
                </c:pt>
                <c:pt idx="179">
                  <c:v>23</c:v>
                </c:pt>
                <c:pt idx="180">
                  <c:v>23.1</c:v>
                </c:pt>
                <c:pt idx="181">
                  <c:v>23.2</c:v>
                </c:pt>
                <c:pt idx="182">
                  <c:v>23.3</c:v>
                </c:pt>
                <c:pt idx="183">
                  <c:v>23.5</c:v>
                </c:pt>
                <c:pt idx="184">
                  <c:v>23.6</c:v>
                </c:pt>
                <c:pt idx="185">
                  <c:v>23.7</c:v>
                </c:pt>
                <c:pt idx="186">
                  <c:v>23.9</c:v>
                </c:pt>
                <c:pt idx="187">
                  <c:v>24</c:v>
                </c:pt>
                <c:pt idx="188">
                  <c:v>24.1</c:v>
                </c:pt>
                <c:pt idx="189">
                  <c:v>24.2</c:v>
                </c:pt>
                <c:pt idx="190">
                  <c:v>24.4</c:v>
                </c:pt>
                <c:pt idx="191">
                  <c:v>24.5</c:v>
                </c:pt>
                <c:pt idx="192">
                  <c:v>24.6</c:v>
                </c:pt>
                <c:pt idx="193">
                  <c:v>24.7</c:v>
                </c:pt>
                <c:pt idx="194">
                  <c:v>24.9</c:v>
                </c:pt>
                <c:pt idx="195">
                  <c:v>25</c:v>
                </c:pt>
                <c:pt idx="196">
                  <c:v>25.1</c:v>
                </c:pt>
                <c:pt idx="197">
                  <c:v>25.3</c:v>
                </c:pt>
                <c:pt idx="198">
                  <c:v>25.4</c:v>
                </c:pt>
                <c:pt idx="199">
                  <c:v>25.5</c:v>
                </c:pt>
                <c:pt idx="200">
                  <c:v>25.6</c:v>
                </c:pt>
                <c:pt idx="201">
                  <c:v>25.8</c:v>
                </c:pt>
                <c:pt idx="202">
                  <c:v>25.9</c:v>
                </c:pt>
                <c:pt idx="203">
                  <c:v>26</c:v>
                </c:pt>
                <c:pt idx="204">
                  <c:v>26.2</c:v>
                </c:pt>
                <c:pt idx="205">
                  <c:v>26.3</c:v>
                </c:pt>
                <c:pt idx="206">
                  <c:v>26.4</c:v>
                </c:pt>
                <c:pt idx="207">
                  <c:v>26.5</c:v>
                </c:pt>
                <c:pt idx="208">
                  <c:v>26.7</c:v>
                </c:pt>
                <c:pt idx="209">
                  <c:v>26.8</c:v>
                </c:pt>
                <c:pt idx="210">
                  <c:v>26.9</c:v>
                </c:pt>
                <c:pt idx="211">
                  <c:v>27.1</c:v>
                </c:pt>
                <c:pt idx="212">
                  <c:v>27.2</c:v>
                </c:pt>
                <c:pt idx="213">
                  <c:v>27.3</c:v>
                </c:pt>
                <c:pt idx="214">
                  <c:v>27.4</c:v>
                </c:pt>
                <c:pt idx="215">
                  <c:v>27.6</c:v>
                </c:pt>
                <c:pt idx="216">
                  <c:v>27.7</c:v>
                </c:pt>
                <c:pt idx="217">
                  <c:v>27.8</c:v>
                </c:pt>
                <c:pt idx="218">
                  <c:v>28</c:v>
                </c:pt>
                <c:pt idx="219">
                  <c:v>28.1</c:v>
                </c:pt>
                <c:pt idx="220">
                  <c:v>28.2</c:v>
                </c:pt>
                <c:pt idx="221">
                  <c:v>28.3</c:v>
                </c:pt>
                <c:pt idx="222">
                  <c:v>28.5</c:v>
                </c:pt>
                <c:pt idx="223">
                  <c:v>28.6</c:v>
                </c:pt>
                <c:pt idx="224">
                  <c:v>28.7</c:v>
                </c:pt>
                <c:pt idx="225">
                  <c:v>28.9</c:v>
                </c:pt>
                <c:pt idx="226">
                  <c:v>29</c:v>
                </c:pt>
                <c:pt idx="227">
                  <c:v>29.1</c:v>
                </c:pt>
                <c:pt idx="228">
                  <c:v>29.2</c:v>
                </c:pt>
                <c:pt idx="229">
                  <c:v>29.4</c:v>
                </c:pt>
                <c:pt idx="230">
                  <c:v>29.5</c:v>
                </c:pt>
                <c:pt idx="231">
                  <c:v>29.6</c:v>
                </c:pt>
                <c:pt idx="232">
                  <c:v>29.8</c:v>
                </c:pt>
                <c:pt idx="233">
                  <c:v>29.9</c:v>
                </c:pt>
                <c:pt idx="234">
                  <c:v>30</c:v>
                </c:pt>
                <c:pt idx="235">
                  <c:v>30.1</c:v>
                </c:pt>
                <c:pt idx="236">
                  <c:v>30.3</c:v>
                </c:pt>
                <c:pt idx="237">
                  <c:v>30.4</c:v>
                </c:pt>
                <c:pt idx="238">
                  <c:v>30.5</c:v>
                </c:pt>
                <c:pt idx="239">
                  <c:v>30.6</c:v>
                </c:pt>
                <c:pt idx="240">
                  <c:v>30.8</c:v>
                </c:pt>
                <c:pt idx="241">
                  <c:v>30.9</c:v>
                </c:pt>
                <c:pt idx="242">
                  <c:v>31</c:v>
                </c:pt>
                <c:pt idx="243">
                  <c:v>31.2</c:v>
                </c:pt>
                <c:pt idx="244">
                  <c:v>31.3</c:v>
                </c:pt>
                <c:pt idx="245">
                  <c:v>31.4</c:v>
                </c:pt>
                <c:pt idx="246">
                  <c:v>31.5</c:v>
                </c:pt>
                <c:pt idx="247">
                  <c:v>31.7</c:v>
                </c:pt>
                <c:pt idx="248">
                  <c:v>31.8</c:v>
                </c:pt>
                <c:pt idx="249">
                  <c:v>31.9</c:v>
                </c:pt>
                <c:pt idx="250">
                  <c:v>32.1</c:v>
                </c:pt>
                <c:pt idx="251">
                  <c:v>32.200000000000003</c:v>
                </c:pt>
                <c:pt idx="252">
                  <c:v>32.299999999999997</c:v>
                </c:pt>
                <c:pt idx="253">
                  <c:v>32.4</c:v>
                </c:pt>
                <c:pt idx="254">
                  <c:v>32.6</c:v>
                </c:pt>
                <c:pt idx="255">
                  <c:v>32.700000000000003</c:v>
                </c:pt>
              </c:numCache>
            </c:numRef>
          </c:xVal>
          <c:yVal>
            <c:numRef>
              <c:f>percurso!$B:$B</c:f>
              <c:numCache>
                <c:formatCode>General</c:formatCode>
                <c:ptCount val="1048576"/>
                <c:pt idx="0">
                  <c:v>618.9</c:v>
                </c:pt>
                <c:pt idx="1">
                  <c:v>615.29999999999995</c:v>
                </c:pt>
                <c:pt idx="2">
                  <c:v>619.5</c:v>
                </c:pt>
                <c:pt idx="3">
                  <c:v>603.29999999999995</c:v>
                </c:pt>
                <c:pt idx="4">
                  <c:v>587.70000000000005</c:v>
                </c:pt>
                <c:pt idx="5">
                  <c:v>592.29999999999995</c:v>
                </c:pt>
                <c:pt idx="6">
                  <c:v>606.20000000000005</c:v>
                </c:pt>
                <c:pt idx="7">
                  <c:v>596.20000000000005</c:v>
                </c:pt>
                <c:pt idx="8">
                  <c:v>582</c:v>
                </c:pt>
                <c:pt idx="9">
                  <c:v>584.20000000000005</c:v>
                </c:pt>
                <c:pt idx="10">
                  <c:v>556.4</c:v>
                </c:pt>
                <c:pt idx="11">
                  <c:v>526.79999999999995</c:v>
                </c:pt>
                <c:pt idx="12">
                  <c:v>501.5</c:v>
                </c:pt>
                <c:pt idx="13">
                  <c:v>530.4</c:v>
                </c:pt>
                <c:pt idx="14">
                  <c:v>563.1</c:v>
                </c:pt>
                <c:pt idx="15">
                  <c:v>593.29999999999995</c:v>
                </c:pt>
                <c:pt idx="16">
                  <c:v>595.9</c:v>
                </c:pt>
                <c:pt idx="17">
                  <c:v>523.20000000000005</c:v>
                </c:pt>
                <c:pt idx="18">
                  <c:v>510.3</c:v>
                </c:pt>
                <c:pt idx="19">
                  <c:v>481.6</c:v>
                </c:pt>
                <c:pt idx="20">
                  <c:v>503.2</c:v>
                </c:pt>
                <c:pt idx="21">
                  <c:v>443.5</c:v>
                </c:pt>
                <c:pt idx="22">
                  <c:v>441</c:v>
                </c:pt>
                <c:pt idx="23">
                  <c:v>457</c:v>
                </c:pt>
                <c:pt idx="24">
                  <c:v>468.4</c:v>
                </c:pt>
                <c:pt idx="25">
                  <c:v>550.6</c:v>
                </c:pt>
                <c:pt idx="26">
                  <c:v>585.4</c:v>
                </c:pt>
                <c:pt idx="27">
                  <c:v>554.70000000000005</c:v>
                </c:pt>
                <c:pt idx="28">
                  <c:v>503.3</c:v>
                </c:pt>
                <c:pt idx="29">
                  <c:v>450.6</c:v>
                </c:pt>
                <c:pt idx="30">
                  <c:v>408.2</c:v>
                </c:pt>
                <c:pt idx="31">
                  <c:v>340.1</c:v>
                </c:pt>
                <c:pt idx="32">
                  <c:v>334.6</c:v>
                </c:pt>
                <c:pt idx="33">
                  <c:v>364.9</c:v>
                </c:pt>
                <c:pt idx="34">
                  <c:v>241.2</c:v>
                </c:pt>
                <c:pt idx="35">
                  <c:v>242.7</c:v>
                </c:pt>
                <c:pt idx="36">
                  <c:v>209.2</c:v>
                </c:pt>
                <c:pt idx="37">
                  <c:v>96.1</c:v>
                </c:pt>
                <c:pt idx="38">
                  <c:v>40.9</c:v>
                </c:pt>
                <c:pt idx="39">
                  <c:v>69.3</c:v>
                </c:pt>
                <c:pt idx="40">
                  <c:v>133.6</c:v>
                </c:pt>
                <c:pt idx="41">
                  <c:v>195</c:v>
                </c:pt>
                <c:pt idx="42">
                  <c:v>155.4</c:v>
                </c:pt>
                <c:pt idx="43">
                  <c:v>107.7</c:v>
                </c:pt>
                <c:pt idx="44">
                  <c:v>37.6</c:v>
                </c:pt>
                <c:pt idx="45">
                  <c:v>19.7</c:v>
                </c:pt>
                <c:pt idx="46">
                  <c:v>10.9</c:v>
                </c:pt>
                <c:pt idx="47">
                  <c:v>14.6</c:v>
                </c:pt>
                <c:pt idx="48">
                  <c:v>47.8</c:v>
                </c:pt>
                <c:pt idx="49">
                  <c:v>70.599999999999994</c:v>
                </c:pt>
                <c:pt idx="50">
                  <c:v>78.2</c:v>
                </c:pt>
                <c:pt idx="51">
                  <c:v>79.400000000000006</c:v>
                </c:pt>
                <c:pt idx="52">
                  <c:v>60</c:v>
                </c:pt>
                <c:pt idx="53">
                  <c:v>85.5</c:v>
                </c:pt>
                <c:pt idx="54">
                  <c:v>49.5</c:v>
                </c:pt>
                <c:pt idx="55">
                  <c:v>37.200000000000003</c:v>
                </c:pt>
                <c:pt idx="56">
                  <c:v>30.9</c:v>
                </c:pt>
                <c:pt idx="57">
                  <c:v>23.5</c:v>
                </c:pt>
                <c:pt idx="58">
                  <c:v>40.799999999999997</c:v>
                </c:pt>
                <c:pt idx="59">
                  <c:v>7.8</c:v>
                </c:pt>
                <c:pt idx="60">
                  <c:v>71.400000000000006</c:v>
                </c:pt>
                <c:pt idx="61">
                  <c:v>7.5</c:v>
                </c:pt>
                <c:pt idx="62">
                  <c:v>52.4</c:v>
                </c:pt>
                <c:pt idx="63">
                  <c:v>67.900000000000006</c:v>
                </c:pt>
                <c:pt idx="64">
                  <c:v>70.599999999999994</c:v>
                </c:pt>
                <c:pt idx="65">
                  <c:v>16.2</c:v>
                </c:pt>
                <c:pt idx="66">
                  <c:v>12.6</c:v>
                </c:pt>
                <c:pt idx="67">
                  <c:v>24.1</c:v>
                </c:pt>
                <c:pt idx="68">
                  <c:v>14.7</c:v>
                </c:pt>
                <c:pt idx="69">
                  <c:v>18.5</c:v>
                </c:pt>
                <c:pt idx="70">
                  <c:v>56.7</c:v>
                </c:pt>
                <c:pt idx="71">
                  <c:v>81.900000000000006</c:v>
                </c:pt>
                <c:pt idx="72">
                  <c:v>91.3</c:v>
                </c:pt>
                <c:pt idx="73">
                  <c:v>83.7</c:v>
                </c:pt>
                <c:pt idx="74">
                  <c:v>70.2</c:v>
                </c:pt>
                <c:pt idx="75">
                  <c:v>76.5</c:v>
                </c:pt>
                <c:pt idx="76">
                  <c:v>39.5</c:v>
                </c:pt>
                <c:pt idx="77">
                  <c:v>11</c:v>
                </c:pt>
                <c:pt idx="78">
                  <c:v>45.4</c:v>
                </c:pt>
                <c:pt idx="79">
                  <c:v>44.1</c:v>
                </c:pt>
                <c:pt idx="80">
                  <c:v>48.4</c:v>
                </c:pt>
                <c:pt idx="81">
                  <c:v>41.1</c:v>
                </c:pt>
                <c:pt idx="82">
                  <c:v>12.9</c:v>
                </c:pt>
                <c:pt idx="83">
                  <c:v>7.3</c:v>
                </c:pt>
                <c:pt idx="84">
                  <c:v>3.5</c:v>
                </c:pt>
                <c:pt idx="85">
                  <c:v>22.1</c:v>
                </c:pt>
                <c:pt idx="86">
                  <c:v>58.3</c:v>
                </c:pt>
                <c:pt idx="87">
                  <c:v>84.9</c:v>
                </c:pt>
                <c:pt idx="88">
                  <c:v>121.2</c:v>
                </c:pt>
                <c:pt idx="89">
                  <c:v>118.6</c:v>
                </c:pt>
                <c:pt idx="90">
                  <c:v>148.19999999999999</c:v>
                </c:pt>
                <c:pt idx="91">
                  <c:v>157.80000000000001</c:v>
                </c:pt>
                <c:pt idx="92">
                  <c:v>161.6</c:v>
                </c:pt>
                <c:pt idx="93">
                  <c:v>172.1</c:v>
                </c:pt>
                <c:pt idx="94">
                  <c:v>170.1</c:v>
                </c:pt>
                <c:pt idx="95">
                  <c:v>157.69999999999999</c:v>
                </c:pt>
                <c:pt idx="96">
                  <c:v>149.30000000000001</c:v>
                </c:pt>
                <c:pt idx="97">
                  <c:v>146.9</c:v>
                </c:pt>
                <c:pt idx="98">
                  <c:v>184.6</c:v>
                </c:pt>
                <c:pt idx="99">
                  <c:v>220.2</c:v>
                </c:pt>
                <c:pt idx="100">
                  <c:v>214.5</c:v>
                </c:pt>
                <c:pt idx="101">
                  <c:v>212.2</c:v>
                </c:pt>
                <c:pt idx="102">
                  <c:v>193.5</c:v>
                </c:pt>
                <c:pt idx="103">
                  <c:v>224.2</c:v>
                </c:pt>
                <c:pt idx="104">
                  <c:v>226.2</c:v>
                </c:pt>
                <c:pt idx="105">
                  <c:v>248.3</c:v>
                </c:pt>
                <c:pt idx="106">
                  <c:v>274.5</c:v>
                </c:pt>
                <c:pt idx="107">
                  <c:v>252.4</c:v>
                </c:pt>
                <c:pt idx="108">
                  <c:v>242.6</c:v>
                </c:pt>
                <c:pt idx="109">
                  <c:v>215.5</c:v>
                </c:pt>
                <c:pt idx="110">
                  <c:v>146.30000000000001</c:v>
                </c:pt>
                <c:pt idx="111">
                  <c:v>106.9</c:v>
                </c:pt>
                <c:pt idx="112">
                  <c:v>64.599999999999994</c:v>
                </c:pt>
                <c:pt idx="113">
                  <c:v>4.5999999999999996</c:v>
                </c:pt>
                <c:pt idx="114">
                  <c:v>33.200000000000003</c:v>
                </c:pt>
                <c:pt idx="115">
                  <c:v>108</c:v>
                </c:pt>
                <c:pt idx="116">
                  <c:v>185.6</c:v>
                </c:pt>
                <c:pt idx="117">
                  <c:v>263.89999999999998</c:v>
                </c:pt>
                <c:pt idx="118">
                  <c:v>320.5</c:v>
                </c:pt>
                <c:pt idx="119">
                  <c:v>319.89999999999998</c:v>
                </c:pt>
                <c:pt idx="120">
                  <c:v>324.60000000000002</c:v>
                </c:pt>
                <c:pt idx="121">
                  <c:v>332.8</c:v>
                </c:pt>
                <c:pt idx="122">
                  <c:v>330.5</c:v>
                </c:pt>
                <c:pt idx="123">
                  <c:v>304.10000000000002</c:v>
                </c:pt>
                <c:pt idx="124">
                  <c:v>300.10000000000002</c:v>
                </c:pt>
                <c:pt idx="125">
                  <c:v>348.3</c:v>
                </c:pt>
                <c:pt idx="126">
                  <c:v>431.8</c:v>
                </c:pt>
                <c:pt idx="127">
                  <c:v>472.9</c:v>
                </c:pt>
                <c:pt idx="128">
                  <c:v>438</c:v>
                </c:pt>
                <c:pt idx="129">
                  <c:v>434.2</c:v>
                </c:pt>
                <c:pt idx="130">
                  <c:v>453.1</c:v>
                </c:pt>
                <c:pt idx="131">
                  <c:v>514.70000000000005</c:v>
                </c:pt>
                <c:pt idx="132">
                  <c:v>537.79999999999995</c:v>
                </c:pt>
                <c:pt idx="133">
                  <c:v>561.29999999999995</c:v>
                </c:pt>
                <c:pt idx="134">
                  <c:v>578.1</c:v>
                </c:pt>
                <c:pt idx="135">
                  <c:v>578</c:v>
                </c:pt>
                <c:pt idx="136">
                  <c:v>562.9</c:v>
                </c:pt>
                <c:pt idx="137">
                  <c:v>517.20000000000005</c:v>
                </c:pt>
                <c:pt idx="138">
                  <c:v>492.6</c:v>
                </c:pt>
                <c:pt idx="139">
                  <c:v>498.4</c:v>
                </c:pt>
                <c:pt idx="140">
                  <c:v>462.3</c:v>
                </c:pt>
                <c:pt idx="141">
                  <c:v>446.4</c:v>
                </c:pt>
                <c:pt idx="142">
                  <c:v>428.8</c:v>
                </c:pt>
                <c:pt idx="143">
                  <c:v>389.4</c:v>
                </c:pt>
                <c:pt idx="144">
                  <c:v>294.60000000000002</c:v>
                </c:pt>
                <c:pt idx="145">
                  <c:v>272.10000000000002</c:v>
                </c:pt>
                <c:pt idx="146">
                  <c:v>256.39999999999998</c:v>
                </c:pt>
                <c:pt idx="147">
                  <c:v>214.3</c:v>
                </c:pt>
                <c:pt idx="148">
                  <c:v>145.4</c:v>
                </c:pt>
                <c:pt idx="149">
                  <c:v>43.5</c:v>
                </c:pt>
                <c:pt idx="150">
                  <c:v>28.7</c:v>
                </c:pt>
                <c:pt idx="151">
                  <c:v>69.7</c:v>
                </c:pt>
                <c:pt idx="152">
                  <c:v>47</c:v>
                </c:pt>
                <c:pt idx="153">
                  <c:v>6.7</c:v>
                </c:pt>
                <c:pt idx="154">
                  <c:v>22.6</c:v>
                </c:pt>
                <c:pt idx="155">
                  <c:v>4.2</c:v>
                </c:pt>
                <c:pt idx="156">
                  <c:v>5.3</c:v>
                </c:pt>
                <c:pt idx="157">
                  <c:v>123.7</c:v>
                </c:pt>
                <c:pt idx="158">
                  <c:v>79.099999999999994</c:v>
                </c:pt>
                <c:pt idx="159">
                  <c:v>20.6</c:v>
                </c:pt>
                <c:pt idx="160">
                  <c:v>7.3</c:v>
                </c:pt>
                <c:pt idx="161">
                  <c:v>2.2000000000000002</c:v>
                </c:pt>
                <c:pt idx="162">
                  <c:v>25.6</c:v>
                </c:pt>
                <c:pt idx="163">
                  <c:v>36.4</c:v>
                </c:pt>
                <c:pt idx="164">
                  <c:v>1.6</c:v>
                </c:pt>
                <c:pt idx="165">
                  <c:v>115.3</c:v>
                </c:pt>
                <c:pt idx="166">
                  <c:v>142.80000000000001</c:v>
                </c:pt>
                <c:pt idx="167">
                  <c:v>187.5</c:v>
                </c:pt>
                <c:pt idx="168">
                  <c:v>226.2</c:v>
                </c:pt>
                <c:pt idx="169">
                  <c:v>232.8</c:v>
                </c:pt>
                <c:pt idx="170">
                  <c:v>206.1</c:v>
                </c:pt>
                <c:pt idx="171">
                  <c:v>239.4</c:v>
                </c:pt>
                <c:pt idx="172">
                  <c:v>384.6</c:v>
                </c:pt>
                <c:pt idx="173">
                  <c:v>476.1</c:v>
                </c:pt>
                <c:pt idx="174">
                  <c:v>508.1</c:v>
                </c:pt>
                <c:pt idx="175">
                  <c:v>545.20000000000005</c:v>
                </c:pt>
                <c:pt idx="176">
                  <c:v>550.29999999999995</c:v>
                </c:pt>
                <c:pt idx="177">
                  <c:v>591.70000000000005</c:v>
                </c:pt>
                <c:pt idx="178">
                  <c:v>672.9</c:v>
                </c:pt>
                <c:pt idx="179">
                  <c:v>760.4</c:v>
                </c:pt>
                <c:pt idx="180">
                  <c:v>799.5</c:v>
                </c:pt>
                <c:pt idx="181">
                  <c:v>793</c:v>
                </c:pt>
                <c:pt idx="182">
                  <c:v>785.9</c:v>
                </c:pt>
                <c:pt idx="183">
                  <c:v>794.2</c:v>
                </c:pt>
                <c:pt idx="184">
                  <c:v>755.4</c:v>
                </c:pt>
                <c:pt idx="185">
                  <c:v>730.8</c:v>
                </c:pt>
                <c:pt idx="186">
                  <c:v>785.9</c:v>
                </c:pt>
                <c:pt idx="187">
                  <c:v>834.7</c:v>
                </c:pt>
                <c:pt idx="188">
                  <c:v>829.2</c:v>
                </c:pt>
                <c:pt idx="189">
                  <c:v>816</c:v>
                </c:pt>
                <c:pt idx="190">
                  <c:v>820.7</c:v>
                </c:pt>
                <c:pt idx="191">
                  <c:v>849.5</c:v>
                </c:pt>
                <c:pt idx="192">
                  <c:v>904.1</c:v>
                </c:pt>
                <c:pt idx="193">
                  <c:v>925.1</c:v>
                </c:pt>
                <c:pt idx="194">
                  <c:v>927.8</c:v>
                </c:pt>
                <c:pt idx="195">
                  <c:v>985</c:v>
                </c:pt>
                <c:pt idx="196">
                  <c:v>1044.9000000000001</c:v>
                </c:pt>
                <c:pt idx="197">
                  <c:v>1067.0999999999999</c:v>
                </c:pt>
                <c:pt idx="198">
                  <c:v>1120.2</c:v>
                </c:pt>
                <c:pt idx="199">
                  <c:v>1086.7</c:v>
                </c:pt>
                <c:pt idx="200">
                  <c:v>1123.2</c:v>
                </c:pt>
                <c:pt idx="201">
                  <c:v>1134</c:v>
                </c:pt>
                <c:pt idx="202">
                  <c:v>1242.2</c:v>
                </c:pt>
                <c:pt idx="203">
                  <c:v>1320.7</c:v>
                </c:pt>
                <c:pt idx="204">
                  <c:v>1252.8</c:v>
                </c:pt>
                <c:pt idx="205">
                  <c:v>1191.5</c:v>
                </c:pt>
                <c:pt idx="206">
                  <c:v>1124.9000000000001</c:v>
                </c:pt>
                <c:pt idx="207">
                  <c:v>1141.3</c:v>
                </c:pt>
                <c:pt idx="208">
                  <c:v>1111.0999999999999</c:v>
                </c:pt>
                <c:pt idx="209">
                  <c:v>1014.7</c:v>
                </c:pt>
                <c:pt idx="210">
                  <c:v>1051.8</c:v>
                </c:pt>
                <c:pt idx="211">
                  <c:v>1041.3</c:v>
                </c:pt>
                <c:pt idx="212">
                  <c:v>1052.0999999999999</c:v>
                </c:pt>
                <c:pt idx="213">
                  <c:v>1046.9000000000001</c:v>
                </c:pt>
                <c:pt idx="214">
                  <c:v>1082</c:v>
                </c:pt>
                <c:pt idx="215">
                  <c:v>1033.2</c:v>
                </c:pt>
                <c:pt idx="216">
                  <c:v>1041.4000000000001</c:v>
                </c:pt>
                <c:pt idx="217">
                  <c:v>1037.5999999999999</c:v>
                </c:pt>
                <c:pt idx="218">
                  <c:v>979.3</c:v>
                </c:pt>
                <c:pt idx="219">
                  <c:v>940.3</c:v>
                </c:pt>
                <c:pt idx="220">
                  <c:v>938.1</c:v>
                </c:pt>
                <c:pt idx="221">
                  <c:v>936.2</c:v>
                </c:pt>
                <c:pt idx="222">
                  <c:v>932.1</c:v>
                </c:pt>
                <c:pt idx="223">
                  <c:v>864.8</c:v>
                </c:pt>
                <c:pt idx="224">
                  <c:v>883.1</c:v>
                </c:pt>
                <c:pt idx="225">
                  <c:v>861.4</c:v>
                </c:pt>
                <c:pt idx="226">
                  <c:v>787.5</c:v>
                </c:pt>
                <c:pt idx="227">
                  <c:v>735.4</c:v>
                </c:pt>
                <c:pt idx="228">
                  <c:v>705.8</c:v>
                </c:pt>
                <c:pt idx="229">
                  <c:v>659.9</c:v>
                </c:pt>
                <c:pt idx="230">
                  <c:v>602.79999999999995</c:v>
                </c:pt>
                <c:pt idx="231">
                  <c:v>607.70000000000005</c:v>
                </c:pt>
                <c:pt idx="232">
                  <c:v>648.70000000000005</c:v>
                </c:pt>
                <c:pt idx="233">
                  <c:v>717.3</c:v>
                </c:pt>
                <c:pt idx="234">
                  <c:v>722.3</c:v>
                </c:pt>
                <c:pt idx="235">
                  <c:v>689.1</c:v>
                </c:pt>
                <c:pt idx="236">
                  <c:v>698.8</c:v>
                </c:pt>
                <c:pt idx="237">
                  <c:v>683.3</c:v>
                </c:pt>
                <c:pt idx="238">
                  <c:v>691.6</c:v>
                </c:pt>
                <c:pt idx="239">
                  <c:v>702.4</c:v>
                </c:pt>
                <c:pt idx="240">
                  <c:v>695.6</c:v>
                </c:pt>
                <c:pt idx="241">
                  <c:v>723.6</c:v>
                </c:pt>
                <c:pt idx="242">
                  <c:v>763.9</c:v>
                </c:pt>
                <c:pt idx="243">
                  <c:v>818.9</c:v>
                </c:pt>
                <c:pt idx="244">
                  <c:v>827.5</c:v>
                </c:pt>
                <c:pt idx="245">
                  <c:v>811.9</c:v>
                </c:pt>
                <c:pt idx="246">
                  <c:v>763.2</c:v>
                </c:pt>
                <c:pt idx="247">
                  <c:v>774.3</c:v>
                </c:pt>
                <c:pt idx="248">
                  <c:v>753.1</c:v>
                </c:pt>
                <c:pt idx="249">
                  <c:v>714.1</c:v>
                </c:pt>
                <c:pt idx="250">
                  <c:v>723</c:v>
                </c:pt>
                <c:pt idx="251">
                  <c:v>744.8</c:v>
                </c:pt>
                <c:pt idx="252">
                  <c:v>758.5</c:v>
                </c:pt>
                <c:pt idx="253">
                  <c:v>752.3</c:v>
                </c:pt>
                <c:pt idx="254">
                  <c:v>752.3</c:v>
                </c:pt>
                <c:pt idx="255">
                  <c:v>755.8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82-49BF-9E06-BD71E131E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598351"/>
        <c:axId val="2044598831"/>
      </c:scatterChart>
      <c:valAx>
        <c:axId val="204459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4598831"/>
        <c:crosses val="autoZero"/>
        <c:crossBetween val="midCat"/>
      </c:valAx>
      <c:valAx>
        <c:axId val="204459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459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605118</xdr:colOff>
      <xdr:row>6</xdr:row>
      <xdr:rowOff>6051</xdr:rowOff>
    </xdr:from>
    <xdr:to>
      <xdr:col>15</xdr:col>
      <xdr:colOff>300318</xdr:colOff>
      <xdr:row>21</xdr:row>
      <xdr:rowOff>6051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1ADB0B-EC07-E69A-BDC1-D7A35A24D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44823</xdr:colOff>
      <xdr:row>20</xdr:row>
      <xdr:rowOff>44824</xdr:rowOff>
    </xdr:from>
    <xdr:to>
      <xdr:col>6</xdr:col>
      <xdr:colOff>561080</xdr:colOff>
      <xdr:row>27</xdr:row>
      <xdr:rowOff>178379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DBF66-3AC7-F051-34CB-5BA1D265E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3977" y="3757132"/>
          <a:ext cx="5225026" cy="143286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32114</xdr:colOff>
      <xdr:row>1</xdr:row>
      <xdr:rowOff>49258</xdr:rowOff>
    </xdr:from>
    <xdr:to>
      <xdr:col>8</xdr:col>
      <xdr:colOff>564435</xdr:colOff>
      <xdr:row>5</xdr:row>
      <xdr:rowOff>175870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063E88-0AA8-3061-0C2D-36E277111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6894" y="232138"/>
          <a:ext cx="2361121" cy="85813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933BA-CD50-4C71-9B70-101B998AEEAE}">
  <dimension ref="A1:M23"/>
  <sheetViews>
    <sheetView workbookViewId="0">
      <selection activeCell="I17" sqref="I17"/>
    </sheetView>
  </sheetViews>
  <sheetFormatPr defaultColWidth="8.85546875" defaultRowHeight="15" x14ac:dyDescent="0.25"/>
  <cols>
    <col min="1" max="1" width="45" style="3" bestFit="1" customWidth="1"/>
    <col min="2" max="2" width="8.42578125" style="2" bestFit="1" customWidth="1"/>
    <col min="3" max="3" width="5.5703125" style="1" customWidth="1"/>
    <col min="4" max="4" width="8.42578125" style="1" bestFit="1" customWidth="1"/>
    <col min="5" max="5" width="19" style="1" customWidth="1"/>
    <col min="6" max="6" width="8.42578125" style="1" bestFit="1" customWidth="1"/>
    <col min="7" max="7" width="9.7109375" style="1" customWidth="1"/>
    <col min="8" max="8" width="10.85546875" style="1" customWidth="1"/>
    <col min="9" max="9" width="10.28515625" style="1" customWidth="1"/>
    <col min="10" max="10" width="7.28515625" style="1" customWidth="1"/>
    <col min="11" max="11" width="11.85546875" style="1" customWidth="1"/>
    <col min="12" max="12" width="11.7109375" style="1" customWidth="1"/>
    <col min="13" max="13" width="12" style="1" bestFit="1" customWidth="1"/>
    <col min="14" max="14" width="8.85546875" style="1"/>
    <col min="15" max="15" width="10.5703125" style="1" customWidth="1"/>
    <col min="16" max="16384" width="8.85546875" style="1"/>
  </cols>
  <sheetData>
    <row r="1" spans="1:13" x14ac:dyDescent="0.25">
      <c r="A1" s="23" t="s">
        <v>0</v>
      </c>
      <c r="B1" s="23">
        <v>6</v>
      </c>
      <c r="C1" s="64"/>
    </row>
    <row r="2" spans="1:13" x14ac:dyDescent="0.25">
      <c r="A2" s="12" t="s">
        <v>1</v>
      </c>
      <c r="B2" s="12">
        <v>32.700000000000003</v>
      </c>
      <c r="C2" s="13"/>
    </row>
    <row r="3" spans="1:13" x14ac:dyDescent="0.25">
      <c r="A3" s="23" t="s">
        <v>2</v>
      </c>
      <c r="B3" s="23">
        <v>16</v>
      </c>
      <c r="C3" s="64" t="str">
        <f>TEXT("-QAM",)</f>
        <v>-QAM</v>
      </c>
    </row>
    <row r="4" spans="1:13" x14ac:dyDescent="0.25">
      <c r="A4" s="12" t="s">
        <v>3</v>
      </c>
      <c r="B4" s="12">
        <v>5.5</v>
      </c>
      <c r="C4" s="13"/>
    </row>
    <row r="5" spans="1:13" x14ac:dyDescent="0.25">
      <c r="A5" s="23" t="s">
        <v>4</v>
      </c>
      <c r="B5" s="23">
        <v>155</v>
      </c>
      <c r="C5" s="64"/>
    </row>
    <row r="6" spans="1:13" x14ac:dyDescent="0.25">
      <c r="A6" s="12" t="s">
        <v>5</v>
      </c>
      <c r="B6" s="16">
        <f>0.002*0.08</f>
        <v>1.6000000000000001E-4</v>
      </c>
      <c r="C6" s="13"/>
    </row>
    <row r="7" spans="1:13" x14ac:dyDescent="0.25">
      <c r="A7" s="23" t="s">
        <v>6</v>
      </c>
      <c r="B7" s="65">
        <f>2.3*10^-5</f>
        <v>2.3E-5</v>
      </c>
      <c r="C7" s="64"/>
      <c r="E7" s="17" t="s">
        <v>9</v>
      </c>
      <c r="F7" s="19">
        <v>1</v>
      </c>
      <c r="G7" s="18" t="s">
        <v>10</v>
      </c>
      <c r="H7" s="19">
        <v>7</v>
      </c>
      <c r="I7" s="18" t="s">
        <v>11</v>
      </c>
      <c r="J7" s="19">
        <v>5.5</v>
      </c>
      <c r="K7" s="18" t="s">
        <v>12</v>
      </c>
      <c r="L7" s="19">
        <v>15</v>
      </c>
    </row>
    <row r="8" spans="1:13" x14ac:dyDescent="0.25">
      <c r="A8" s="12" t="s">
        <v>7</v>
      </c>
      <c r="B8" s="12">
        <v>13</v>
      </c>
      <c r="C8" s="13"/>
    </row>
    <row r="9" spans="1:13" x14ac:dyDescent="0.25">
      <c r="A9" s="23" t="s">
        <v>8</v>
      </c>
      <c r="B9" s="65">
        <f>(2*10^-4)*0.08</f>
        <v>1.6000000000000003E-5</v>
      </c>
      <c r="C9" s="64"/>
    </row>
    <row r="10" spans="1:13" x14ac:dyDescent="0.25">
      <c r="A10" s="12" t="s">
        <v>28</v>
      </c>
      <c r="B10" s="12">
        <v>8000</v>
      </c>
      <c r="C10" s="13"/>
    </row>
    <row r="11" spans="1:13" x14ac:dyDescent="0.25">
      <c r="A11" s="23" t="s">
        <v>29</v>
      </c>
      <c r="B11" s="23">
        <v>19440</v>
      </c>
      <c r="C11" s="64"/>
      <c r="E11" s="80" t="s">
        <v>108</v>
      </c>
      <c r="F11" s="80" t="s">
        <v>104</v>
      </c>
      <c r="G11" s="74" t="s">
        <v>105</v>
      </c>
      <c r="H11" s="81" t="s">
        <v>106</v>
      </c>
      <c r="M11" s="20"/>
    </row>
    <row r="12" spans="1:13" x14ac:dyDescent="0.25">
      <c r="A12" s="12" t="s">
        <v>30</v>
      </c>
      <c r="B12" s="16">
        <v>1E-13</v>
      </c>
      <c r="C12" s="13"/>
      <c r="E12" s="7" t="s">
        <v>109</v>
      </c>
      <c r="F12" s="9">
        <f>(2/IMLOG2(B3))*((SQRT(B3)-1)/SQRT(B3))*ERFC(G12)</f>
        <v>2.4233785466315806E-5</v>
      </c>
      <c r="G12" s="10">
        <f>SQRT((3/2)*((IMLOG2(B3))/(B3-1))*(10^(B8/10)))</f>
        <v>2.8250750892455092</v>
      </c>
      <c r="H12" s="8">
        <f>B8</f>
        <v>13</v>
      </c>
    </row>
    <row r="13" spans="1:13" x14ac:dyDescent="0.25">
      <c r="A13" s="23" t="s">
        <v>31</v>
      </c>
      <c r="B13" s="23">
        <v>18.25</v>
      </c>
      <c r="C13" s="64"/>
    </row>
    <row r="14" spans="1:13" x14ac:dyDescent="0.25">
      <c r="A14" s="12" t="s">
        <v>32</v>
      </c>
      <c r="B14" s="16">
        <f>0.16*0.08</f>
        <v>1.2800000000000001E-2</v>
      </c>
      <c r="C14" s="13"/>
    </row>
    <row r="15" spans="1:13" x14ac:dyDescent="0.25">
      <c r="A15" s="23" t="s">
        <v>33</v>
      </c>
      <c r="B15" s="23">
        <v>3.3599999999999998E-2</v>
      </c>
      <c r="C15" s="64"/>
    </row>
    <row r="16" spans="1:13" x14ac:dyDescent="0.25">
      <c r="A16" s="12" t="s">
        <v>34</v>
      </c>
      <c r="B16" s="12">
        <v>0.1</v>
      </c>
      <c r="C16" s="13"/>
    </row>
    <row r="17" spans="1:3" x14ac:dyDescent="0.25">
      <c r="A17" s="23" t="s">
        <v>35</v>
      </c>
      <c r="B17" s="23">
        <v>42</v>
      </c>
      <c r="C17" s="64"/>
    </row>
    <row r="18" spans="1:3" x14ac:dyDescent="0.25">
      <c r="A18" s="12" t="s">
        <v>36</v>
      </c>
      <c r="B18" s="12">
        <v>1.75E-3</v>
      </c>
      <c r="C18" s="13"/>
    </row>
    <row r="19" spans="1:3" x14ac:dyDescent="0.25">
      <c r="A19" s="23" t="s">
        <v>110</v>
      </c>
      <c r="B19" s="23">
        <v>1.3080000000000001</v>
      </c>
      <c r="C19" s="64"/>
    </row>
    <row r="20" spans="1:3" x14ac:dyDescent="0.25">
      <c r="A20" s="12" t="s">
        <v>37</v>
      </c>
      <c r="B20" s="16">
        <v>1E-3</v>
      </c>
      <c r="C20" s="13"/>
    </row>
    <row r="21" spans="1:3" x14ac:dyDescent="0.25">
      <c r="A21" s="23" t="s">
        <v>38</v>
      </c>
      <c r="B21" s="23">
        <v>10.6</v>
      </c>
      <c r="C21" s="64"/>
    </row>
    <row r="22" spans="1:3" x14ac:dyDescent="0.25">
      <c r="A22" s="23" t="s">
        <v>39</v>
      </c>
      <c r="B22" s="23">
        <v>13.16</v>
      </c>
      <c r="C22" s="64"/>
    </row>
    <row r="23" spans="1:3" x14ac:dyDescent="0.25">
      <c r="A23" s="14" t="s">
        <v>27</v>
      </c>
      <c r="B23" s="14">
        <v>10</v>
      </c>
      <c r="C23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4FAD-DE88-4E6E-A3F4-5E48F37779CA}">
  <dimension ref="A1:B256"/>
  <sheetViews>
    <sheetView topLeftCell="E1" zoomScale="115" zoomScaleNormal="115" workbookViewId="0">
      <selection activeCell="B256" sqref="B256"/>
    </sheetView>
  </sheetViews>
  <sheetFormatPr defaultRowHeight="15" x14ac:dyDescent="0.25"/>
  <sheetData>
    <row r="1" spans="1:2" x14ac:dyDescent="0.25">
      <c r="A1">
        <v>0</v>
      </c>
      <c r="B1">
        <v>618.9</v>
      </c>
    </row>
    <row r="2" spans="1:2" x14ac:dyDescent="0.25">
      <c r="A2">
        <v>0.1</v>
      </c>
      <c r="B2">
        <v>615.29999999999995</v>
      </c>
    </row>
    <row r="3" spans="1:2" x14ac:dyDescent="0.25">
      <c r="A3">
        <v>0.3</v>
      </c>
      <c r="B3">
        <v>619.5</v>
      </c>
    </row>
    <row r="4" spans="1:2" x14ac:dyDescent="0.25">
      <c r="A4">
        <v>0.4</v>
      </c>
      <c r="B4">
        <v>603.29999999999995</v>
      </c>
    </row>
    <row r="5" spans="1:2" x14ac:dyDescent="0.25">
      <c r="A5">
        <v>0.5</v>
      </c>
      <c r="B5">
        <v>587.70000000000005</v>
      </c>
    </row>
    <row r="6" spans="1:2" x14ac:dyDescent="0.25">
      <c r="A6">
        <v>0.6</v>
      </c>
      <c r="B6">
        <v>592.29999999999995</v>
      </c>
    </row>
    <row r="7" spans="1:2" x14ac:dyDescent="0.25">
      <c r="A7">
        <v>0.8</v>
      </c>
      <c r="B7">
        <v>606.20000000000005</v>
      </c>
    </row>
    <row r="8" spans="1:2" x14ac:dyDescent="0.25">
      <c r="A8">
        <v>0.9</v>
      </c>
      <c r="B8">
        <v>596.20000000000005</v>
      </c>
    </row>
    <row r="9" spans="1:2" x14ac:dyDescent="0.25">
      <c r="A9">
        <v>1</v>
      </c>
      <c r="B9">
        <v>582</v>
      </c>
    </row>
    <row r="10" spans="1:2" x14ac:dyDescent="0.25">
      <c r="A10">
        <v>1.2</v>
      </c>
      <c r="B10">
        <v>584.20000000000005</v>
      </c>
    </row>
    <row r="11" spans="1:2" x14ac:dyDescent="0.25">
      <c r="A11">
        <v>1.3</v>
      </c>
      <c r="B11">
        <v>556.4</v>
      </c>
    </row>
    <row r="12" spans="1:2" x14ac:dyDescent="0.25">
      <c r="A12">
        <v>1.4</v>
      </c>
      <c r="B12">
        <v>526.79999999999995</v>
      </c>
    </row>
    <row r="13" spans="1:2" x14ac:dyDescent="0.25">
      <c r="A13">
        <v>1.5</v>
      </c>
      <c r="B13">
        <v>501.5</v>
      </c>
    </row>
    <row r="14" spans="1:2" x14ac:dyDescent="0.25">
      <c r="A14">
        <v>1.7</v>
      </c>
      <c r="B14">
        <v>530.4</v>
      </c>
    </row>
    <row r="15" spans="1:2" x14ac:dyDescent="0.25">
      <c r="A15">
        <v>1.8</v>
      </c>
      <c r="B15">
        <v>563.1</v>
      </c>
    </row>
    <row r="16" spans="1:2" x14ac:dyDescent="0.25">
      <c r="A16">
        <v>1.9</v>
      </c>
      <c r="B16">
        <v>593.29999999999995</v>
      </c>
    </row>
    <row r="17" spans="1:2" x14ac:dyDescent="0.25">
      <c r="A17">
        <v>2.1</v>
      </c>
      <c r="B17">
        <v>595.9</v>
      </c>
    </row>
    <row r="18" spans="1:2" x14ac:dyDescent="0.25">
      <c r="A18">
        <v>2.2000000000000002</v>
      </c>
      <c r="B18">
        <v>523.20000000000005</v>
      </c>
    </row>
    <row r="19" spans="1:2" x14ac:dyDescent="0.25">
      <c r="A19">
        <v>2.2999999999999998</v>
      </c>
      <c r="B19">
        <v>510.3</v>
      </c>
    </row>
    <row r="20" spans="1:2" x14ac:dyDescent="0.25">
      <c r="A20">
        <v>2.4</v>
      </c>
      <c r="B20">
        <v>481.6</v>
      </c>
    </row>
    <row r="21" spans="1:2" x14ac:dyDescent="0.25">
      <c r="A21">
        <v>2.6</v>
      </c>
      <c r="B21">
        <v>503.2</v>
      </c>
    </row>
    <row r="22" spans="1:2" x14ac:dyDescent="0.25">
      <c r="A22">
        <v>2.7</v>
      </c>
      <c r="B22">
        <v>443.5</v>
      </c>
    </row>
    <row r="23" spans="1:2" x14ac:dyDescent="0.25">
      <c r="A23">
        <v>2.8</v>
      </c>
      <c r="B23">
        <v>441</v>
      </c>
    </row>
    <row r="24" spans="1:2" x14ac:dyDescent="0.25">
      <c r="A24">
        <v>2.9</v>
      </c>
      <c r="B24">
        <v>457</v>
      </c>
    </row>
    <row r="25" spans="1:2" x14ac:dyDescent="0.25">
      <c r="A25">
        <v>3.1</v>
      </c>
      <c r="B25">
        <v>468.4</v>
      </c>
    </row>
    <row r="26" spans="1:2" x14ac:dyDescent="0.25">
      <c r="A26">
        <v>3.2</v>
      </c>
      <c r="B26">
        <v>550.6</v>
      </c>
    </row>
    <row r="27" spans="1:2" x14ac:dyDescent="0.25">
      <c r="A27">
        <v>3.3</v>
      </c>
      <c r="B27">
        <v>585.4</v>
      </c>
    </row>
    <row r="28" spans="1:2" x14ac:dyDescent="0.25">
      <c r="A28">
        <v>3.5</v>
      </c>
      <c r="B28">
        <v>554.70000000000005</v>
      </c>
    </row>
    <row r="29" spans="1:2" x14ac:dyDescent="0.25">
      <c r="A29">
        <v>3.6</v>
      </c>
      <c r="B29">
        <v>503.3</v>
      </c>
    </row>
    <row r="30" spans="1:2" x14ac:dyDescent="0.25">
      <c r="A30">
        <v>3.7</v>
      </c>
      <c r="B30">
        <v>450.6</v>
      </c>
    </row>
    <row r="31" spans="1:2" x14ac:dyDescent="0.25">
      <c r="A31">
        <v>3.8</v>
      </c>
      <c r="B31">
        <v>408.2</v>
      </c>
    </row>
    <row r="32" spans="1:2" x14ac:dyDescent="0.25">
      <c r="A32">
        <v>4</v>
      </c>
      <c r="B32">
        <v>340.1</v>
      </c>
    </row>
    <row r="33" spans="1:2" x14ac:dyDescent="0.25">
      <c r="A33">
        <v>4.0999999999999996</v>
      </c>
      <c r="B33">
        <v>334.6</v>
      </c>
    </row>
    <row r="34" spans="1:2" x14ac:dyDescent="0.25">
      <c r="A34">
        <v>4.2</v>
      </c>
      <c r="B34">
        <v>364.9</v>
      </c>
    </row>
    <row r="35" spans="1:2" x14ac:dyDescent="0.25">
      <c r="A35">
        <v>4.4000000000000004</v>
      </c>
      <c r="B35">
        <v>241.2</v>
      </c>
    </row>
    <row r="36" spans="1:2" x14ac:dyDescent="0.25">
      <c r="A36">
        <v>4.5</v>
      </c>
      <c r="B36">
        <v>242.7</v>
      </c>
    </row>
    <row r="37" spans="1:2" x14ac:dyDescent="0.25">
      <c r="A37">
        <v>4.5999999999999996</v>
      </c>
      <c r="B37">
        <v>209.2</v>
      </c>
    </row>
    <row r="38" spans="1:2" x14ac:dyDescent="0.25">
      <c r="A38">
        <v>4.7</v>
      </c>
      <c r="B38">
        <v>96.1</v>
      </c>
    </row>
    <row r="39" spans="1:2" x14ac:dyDescent="0.25">
      <c r="A39">
        <v>4.9000000000000004</v>
      </c>
      <c r="B39">
        <v>40.9</v>
      </c>
    </row>
    <row r="40" spans="1:2" x14ac:dyDescent="0.25">
      <c r="A40">
        <v>5</v>
      </c>
      <c r="B40">
        <v>69.3</v>
      </c>
    </row>
    <row r="41" spans="1:2" x14ac:dyDescent="0.25">
      <c r="A41">
        <v>5.0999999999999996</v>
      </c>
      <c r="B41">
        <v>133.6</v>
      </c>
    </row>
    <row r="42" spans="1:2" x14ac:dyDescent="0.25">
      <c r="A42">
        <v>5.3</v>
      </c>
      <c r="B42">
        <v>195</v>
      </c>
    </row>
    <row r="43" spans="1:2" x14ac:dyDescent="0.25">
      <c r="A43">
        <v>5.4</v>
      </c>
      <c r="B43">
        <v>155.4</v>
      </c>
    </row>
    <row r="44" spans="1:2" x14ac:dyDescent="0.25">
      <c r="A44">
        <v>5.5</v>
      </c>
      <c r="B44">
        <v>107.7</v>
      </c>
    </row>
    <row r="45" spans="1:2" x14ac:dyDescent="0.25">
      <c r="A45">
        <v>5.6</v>
      </c>
      <c r="B45">
        <v>37.6</v>
      </c>
    </row>
    <row r="46" spans="1:2" x14ac:dyDescent="0.25">
      <c r="A46">
        <v>5.8</v>
      </c>
      <c r="B46">
        <v>19.7</v>
      </c>
    </row>
    <row r="47" spans="1:2" x14ac:dyDescent="0.25">
      <c r="A47">
        <v>5.9</v>
      </c>
      <c r="B47">
        <v>10.9</v>
      </c>
    </row>
    <row r="48" spans="1:2" x14ac:dyDescent="0.25">
      <c r="A48">
        <v>6</v>
      </c>
      <c r="B48">
        <v>14.6</v>
      </c>
    </row>
    <row r="49" spans="1:2" x14ac:dyDescent="0.25">
      <c r="A49">
        <v>6.2</v>
      </c>
      <c r="B49">
        <v>47.8</v>
      </c>
    </row>
    <row r="50" spans="1:2" x14ac:dyDescent="0.25">
      <c r="A50">
        <v>6.3</v>
      </c>
      <c r="B50">
        <v>70.599999999999994</v>
      </c>
    </row>
    <row r="51" spans="1:2" x14ac:dyDescent="0.25">
      <c r="A51">
        <v>6.4</v>
      </c>
      <c r="B51">
        <v>78.2</v>
      </c>
    </row>
    <row r="52" spans="1:2" x14ac:dyDescent="0.25">
      <c r="A52">
        <v>6.5</v>
      </c>
      <c r="B52">
        <v>79.400000000000006</v>
      </c>
    </row>
    <row r="53" spans="1:2" x14ac:dyDescent="0.25">
      <c r="A53">
        <v>6.7</v>
      </c>
      <c r="B53">
        <v>60</v>
      </c>
    </row>
    <row r="54" spans="1:2" x14ac:dyDescent="0.25">
      <c r="A54">
        <v>6.8</v>
      </c>
      <c r="B54">
        <v>85.5</v>
      </c>
    </row>
    <row r="55" spans="1:2" x14ac:dyDescent="0.25">
      <c r="A55">
        <v>6.9</v>
      </c>
      <c r="B55">
        <v>49.5</v>
      </c>
    </row>
    <row r="56" spans="1:2" x14ac:dyDescent="0.25">
      <c r="A56">
        <v>7.1</v>
      </c>
      <c r="B56">
        <v>37.200000000000003</v>
      </c>
    </row>
    <row r="57" spans="1:2" x14ac:dyDescent="0.25">
      <c r="A57">
        <v>7.2</v>
      </c>
      <c r="B57">
        <v>30.9</v>
      </c>
    </row>
    <row r="58" spans="1:2" x14ac:dyDescent="0.25">
      <c r="A58">
        <v>7.3</v>
      </c>
      <c r="B58">
        <v>23.5</v>
      </c>
    </row>
    <row r="59" spans="1:2" x14ac:dyDescent="0.25">
      <c r="A59">
        <v>7.4</v>
      </c>
      <c r="B59">
        <v>40.799999999999997</v>
      </c>
    </row>
    <row r="60" spans="1:2" x14ac:dyDescent="0.25">
      <c r="A60">
        <v>7.6</v>
      </c>
      <c r="B60">
        <v>7.8</v>
      </c>
    </row>
    <row r="61" spans="1:2" x14ac:dyDescent="0.25">
      <c r="A61">
        <v>7.7</v>
      </c>
      <c r="B61">
        <v>71.400000000000006</v>
      </c>
    </row>
    <row r="62" spans="1:2" x14ac:dyDescent="0.25">
      <c r="A62">
        <v>7.8</v>
      </c>
      <c r="B62">
        <v>7.5</v>
      </c>
    </row>
    <row r="63" spans="1:2" x14ac:dyDescent="0.25">
      <c r="A63">
        <v>8</v>
      </c>
      <c r="B63">
        <v>52.4</v>
      </c>
    </row>
    <row r="64" spans="1:2" x14ac:dyDescent="0.25">
      <c r="A64">
        <v>8.1</v>
      </c>
      <c r="B64">
        <v>67.900000000000006</v>
      </c>
    </row>
    <row r="65" spans="1:2" x14ac:dyDescent="0.25">
      <c r="A65">
        <v>8.1999999999999993</v>
      </c>
      <c r="B65">
        <v>70.599999999999994</v>
      </c>
    </row>
    <row r="66" spans="1:2" x14ac:dyDescent="0.25">
      <c r="A66">
        <v>8.3000000000000007</v>
      </c>
      <c r="B66">
        <v>16.2</v>
      </c>
    </row>
    <row r="67" spans="1:2" x14ac:dyDescent="0.25">
      <c r="A67">
        <v>8.5</v>
      </c>
      <c r="B67">
        <v>12.6</v>
      </c>
    </row>
    <row r="68" spans="1:2" x14ac:dyDescent="0.25">
      <c r="A68">
        <v>8.6</v>
      </c>
      <c r="B68">
        <v>24.1</v>
      </c>
    </row>
    <row r="69" spans="1:2" x14ac:dyDescent="0.25">
      <c r="A69">
        <v>8.6999999999999993</v>
      </c>
      <c r="B69">
        <v>14.7</v>
      </c>
    </row>
    <row r="70" spans="1:2" x14ac:dyDescent="0.25">
      <c r="A70">
        <v>8.8000000000000007</v>
      </c>
      <c r="B70">
        <v>18.5</v>
      </c>
    </row>
    <row r="71" spans="1:2" x14ac:dyDescent="0.25">
      <c r="A71">
        <v>9</v>
      </c>
      <c r="B71">
        <v>56.7</v>
      </c>
    </row>
    <row r="72" spans="1:2" x14ac:dyDescent="0.25">
      <c r="A72">
        <v>9.1</v>
      </c>
      <c r="B72">
        <v>81.900000000000006</v>
      </c>
    </row>
    <row r="73" spans="1:2" x14ac:dyDescent="0.25">
      <c r="A73">
        <v>9.1999999999999993</v>
      </c>
      <c r="B73">
        <v>91.3</v>
      </c>
    </row>
    <row r="74" spans="1:2" x14ac:dyDescent="0.25">
      <c r="A74">
        <v>9.4</v>
      </c>
      <c r="B74">
        <v>83.7</v>
      </c>
    </row>
    <row r="75" spans="1:2" x14ac:dyDescent="0.25">
      <c r="A75">
        <v>9.5</v>
      </c>
      <c r="B75">
        <v>70.2</v>
      </c>
    </row>
    <row r="76" spans="1:2" x14ac:dyDescent="0.25">
      <c r="A76">
        <v>9.6</v>
      </c>
      <c r="B76">
        <v>76.5</v>
      </c>
    </row>
    <row r="77" spans="1:2" x14ac:dyDescent="0.25">
      <c r="A77">
        <v>9.6999999999999993</v>
      </c>
      <c r="B77">
        <v>39.5</v>
      </c>
    </row>
    <row r="78" spans="1:2" x14ac:dyDescent="0.25">
      <c r="A78">
        <v>9.9</v>
      </c>
      <c r="B78">
        <v>11</v>
      </c>
    </row>
    <row r="79" spans="1:2" x14ac:dyDescent="0.25">
      <c r="A79">
        <v>10</v>
      </c>
      <c r="B79">
        <v>45.4</v>
      </c>
    </row>
    <row r="80" spans="1:2" x14ac:dyDescent="0.25">
      <c r="A80">
        <v>10.1</v>
      </c>
      <c r="B80">
        <v>44.1</v>
      </c>
    </row>
    <row r="81" spans="1:2" x14ac:dyDescent="0.25">
      <c r="A81">
        <v>10.3</v>
      </c>
      <c r="B81">
        <v>48.4</v>
      </c>
    </row>
    <row r="82" spans="1:2" x14ac:dyDescent="0.25">
      <c r="A82">
        <v>10.4</v>
      </c>
      <c r="B82">
        <v>41.1</v>
      </c>
    </row>
    <row r="83" spans="1:2" x14ac:dyDescent="0.25">
      <c r="A83">
        <v>10.5</v>
      </c>
      <c r="B83">
        <v>12.9</v>
      </c>
    </row>
    <row r="84" spans="1:2" x14ac:dyDescent="0.25">
      <c r="A84">
        <v>10.6</v>
      </c>
      <c r="B84">
        <v>7.3</v>
      </c>
    </row>
    <row r="85" spans="1:2" x14ac:dyDescent="0.25">
      <c r="A85">
        <v>10.8</v>
      </c>
      <c r="B85">
        <v>3.5</v>
      </c>
    </row>
    <row r="86" spans="1:2" x14ac:dyDescent="0.25">
      <c r="A86">
        <v>10.9</v>
      </c>
      <c r="B86">
        <v>22.1</v>
      </c>
    </row>
    <row r="87" spans="1:2" x14ac:dyDescent="0.25">
      <c r="A87">
        <v>11</v>
      </c>
      <c r="B87">
        <v>58.3</v>
      </c>
    </row>
    <row r="88" spans="1:2" x14ac:dyDescent="0.25">
      <c r="A88">
        <v>11.2</v>
      </c>
      <c r="B88">
        <v>84.9</v>
      </c>
    </row>
    <row r="89" spans="1:2" x14ac:dyDescent="0.25">
      <c r="A89">
        <v>11.3</v>
      </c>
      <c r="B89">
        <v>121.2</v>
      </c>
    </row>
    <row r="90" spans="1:2" x14ac:dyDescent="0.25">
      <c r="A90">
        <v>11.4</v>
      </c>
      <c r="B90">
        <v>118.6</v>
      </c>
    </row>
    <row r="91" spans="1:2" x14ac:dyDescent="0.25">
      <c r="A91">
        <v>11.5</v>
      </c>
      <c r="B91">
        <v>148.19999999999999</v>
      </c>
    </row>
    <row r="92" spans="1:2" x14ac:dyDescent="0.25">
      <c r="A92">
        <v>11.7</v>
      </c>
      <c r="B92">
        <v>157.80000000000001</v>
      </c>
    </row>
    <row r="93" spans="1:2" x14ac:dyDescent="0.25">
      <c r="A93">
        <v>11.8</v>
      </c>
      <c r="B93">
        <v>161.6</v>
      </c>
    </row>
    <row r="94" spans="1:2" x14ac:dyDescent="0.25">
      <c r="A94">
        <v>11.9</v>
      </c>
      <c r="B94">
        <v>172.1</v>
      </c>
    </row>
    <row r="95" spans="1:2" x14ac:dyDescent="0.25">
      <c r="A95">
        <v>12.1</v>
      </c>
      <c r="B95">
        <v>170.1</v>
      </c>
    </row>
    <row r="96" spans="1:2" x14ac:dyDescent="0.25">
      <c r="A96">
        <v>12.2</v>
      </c>
      <c r="B96">
        <v>157.69999999999999</v>
      </c>
    </row>
    <row r="97" spans="1:2" x14ac:dyDescent="0.25">
      <c r="A97">
        <v>12.3</v>
      </c>
      <c r="B97">
        <v>149.30000000000001</v>
      </c>
    </row>
    <row r="98" spans="1:2" x14ac:dyDescent="0.25">
      <c r="A98">
        <v>12.4</v>
      </c>
      <c r="B98">
        <v>146.9</v>
      </c>
    </row>
    <row r="99" spans="1:2" x14ac:dyDescent="0.25">
      <c r="A99">
        <v>12.6</v>
      </c>
      <c r="B99">
        <v>184.6</v>
      </c>
    </row>
    <row r="100" spans="1:2" x14ac:dyDescent="0.25">
      <c r="A100">
        <v>12.7</v>
      </c>
      <c r="B100">
        <v>220.2</v>
      </c>
    </row>
    <row r="101" spans="1:2" x14ac:dyDescent="0.25">
      <c r="A101">
        <v>12.8</v>
      </c>
      <c r="B101">
        <v>214.5</v>
      </c>
    </row>
    <row r="102" spans="1:2" x14ac:dyDescent="0.25">
      <c r="A102">
        <v>13</v>
      </c>
      <c r="B102">
        <v>212.2</v>
      </c>
    </row>
    <row r="103" spans="1:2" x14ac:dyDescent="0.25">
      <c r="A103">
        <v>13.1</v>
      </c>
      <c r="B103">
        <v>193.5</v>
      </c>
    </row>
    <row r="104" spans="1:2" x14ac:dyDescent="0.25">
      <c r="A104">
        <v>13.2</v>
      </c>
      <c r="B104">
        <v>224.2</v>
      </c>
    </row>
    <row r="105" spans="1:2" x14ac:dyDescent="0.25">
      <c r="A105">
        <v>13.3</v>
      </c>
      <c r="B105">
        <v>226.2</v>
      </c>
    </row>
    <row r="106" spans="1:2" x14ac:dyDescent="0.25">
      <c r="A106">
        <v>13.5</v>
      </c>
      <c r="B106">
        <v>248.3</v>
      </c>
    </row>
    <row r="107" spans="1:2" x14ac:dyDescent="0.25">
      <c r="A107">
        <v>13.6</v>
      </c>
      <c r="B107">
        <v>274.5</v>
      </c>
    </row>
    <row r="108" spans="1:2" x14ac:dyDescent="0.25">
      <c r="A108">
        <v>13.7</v>
      </c>
      <c r="B108">
        <v>252.4</v>
      </c>
    </row>
    <row r="109" spans="1:2" x14ac:dyDescent="0.25">
      <c r="A109">
        <v>13.8</v>
      </c>
      <c r="B109">
        <v>242.6</v>
      </c>
    </row>
    <row r="110" spans="1:2" x14ac:dyDescent="0.25">
      <c r="A110">
        <v>14</v>
      </c>
      <c r="B110">
        <v>215.5</v>
      </c>
    </row>
    <row r="111" spans="1:2" x14ac:dyDescent="0.25">
      <c r="A111">
        <v>14.1</v>
      </c>
      <c r="B111">
        <v>146.30000000000001</v>
      </c>
    </row>
    <row r="112" spans="1:2" x14ac:dyDescent="0.25">
      <c r="A112">
        <v>14.2</v>
      </c>
      <c r="B112">
        <v>106.9</v>
      </c>
    </row>
    <row r="113" spans="1:2" x14ac:dyDescent="0.25">
      <c r="A113">
        <v>14.4</v>
      </c>
      <c r="B113">
        <v>64.599999999999994</v>
      </c>
    </row>
    <row r="114" spans="1:2" x14ac:dyDescent="0.25">
      <c r="A114">
        <v>14.5</v>
      </c>
      <c r="B114">
        <v>4.5999999999999996</v>
      </c>
    </row>
    <row r="115" spans="1:2" x14ac:dyDescent="0.25">
      <c r="A115">
        <v>14.6</v>
      </c>
      <c r="B115">
        <v>33.200000000000003</v>
      </c>
    </row>
    <row r="116" spans="1:2" x14ac:dyDescent="0.25">
      <c r="A116">
        <v>14.7</v>
      </c>
      <c r="B116">
        <v>108</v>
      </c>
    </row>
    <row r="117" spans="1:2" x14ac:dyDescent="0.25">
      <c r="A117">
        <v>14.9</v>
      </c>
      <c r="B117">
        <v>185.6</v>
      </c>
    </row>
    <row r="118" spans="1:2" x14ac:dyDescent="0.25">
      <c r="A118">
        <v>15</v>
      </c>
      <c r="B118">
        <v>263.89999999999998</v>
      </c>
    </row>
    <row r="119" spans="1:2" x14ac:dyDescent="0.25">
      <c r="A119">
        <v>15.1</v>
      </c>
      <c r="B119">
        <v>320.5</v>
      </c>
    </row>
    <row r="120" spans="1:2" x14ac:dyDescent="0.25">
      <c r="A120">
        <v>15.3</v>
      </c>
      <c r="B120">
        <v>319.89999999999998</v>
      </c>
    </row>
    <row r="121" spans="1:2" x14ac:dyDescent="0.25">
      <c r="A121">
        <v>15.4</v>
      </c>
      <c r="B121">
        <v>324.60000000000002</v>
      </c>
    </row>
    <row r="122" spans="1:2" x14ac:dyDescent="0.25">
      <c r="A122">
        <v>15.5</v>
      </c>
      <c r="B122">
        <v>332.8</v>
      </c>
    </row>
    <row r="123" spans="1:2" x14ac:dyDescent="0.25">
      <c r="A123">
        <v>15.6</v>
      </c>
      <c r="B123">
        <v>330.5</v>
      </c>
    </row>
    <row r="124" spans="1:2" x14ac:dyDescent="0.25">
      <c r="A124">
        <v>15.8</v>
      </c>
      <c r="B124">
        <v>304.10000000000002</v>
      </c>
    </row>
    <row r="125" spans="1:2" x14ac:dyDescent="0.25">
      <c r="A125">
        <v>15.9</v>
      </c>
      <c r="B125">
        <v>300.10000000000002</v>
      </c>
    </row>
    <row r="126" spans="1:2" x14ac:dyDescent="0.25">
      <c r="A126">
        <v>16</v>
      </c>
      <c r="B126">
        <v>348.3</v>
      </c>
    </row>
    <row r="127" spans="1:2" x14ac:dyDescent="0.25">
      <c r="A127">
        <v>16.2</v>
      </c>
      <c r="B127">
        <v>431.8</v>
      </c>
    </row>
    <row r="128" spans="1:2" x14ac:dyDescent="0.25">
      <c r="A128">
        <v>16.3</v>
      </c>
      <c r="B128">
        <v>472.9</v>
      </c>
    </row>
    <row r="129" spans="1:2" x14ac:dyDescent="0.25">
      <c r="A129">
        <v>16.399999999999999</v>
      </c>
      <c r="B129">
        <v>438</v>
      </c>
    </row>
    <row r="130" spans="1:2" x14ac:dyDescent="0.25">
      <c r="A130">
        <v>16.5</v>
      </c>
      <c r="B130">
        <v>434.2</v>
      </c>
    </row>
    <row r="131" spans="1:2" x14ac:dyDescent="0.25">
      <c r="A131">
        <v>16.7</v>
      </c>
      <c r="B131">
        <v>453.1</v>
      </c>
    </row>
    <row r="132" spans="1:2" x14ac:dyDescent="0.25">
      <c r="A132">
        <v>16.8</v>
      </c>
      <c r="B132">
        <v>514.70000000000005</v>
      </c>
    </row>
    <row r="133" spans="1:2" x14ac:dyDescent="0.25">
      <c r="A133">
        <v>16.899999999999999</v>
      </c>
      <c r="B133">
        <v>537.79999999999995</v>
      </c>
    </row>
    <row r="134" spans="1:2" x14ac:dyDescent="0.25">
      <c r="A134">
        <v>17.100000000000001</v>
      </c>
      <c r="B134">
        <v>561.29999999999995</v>
      </c>
    </row>
    <row r="135" spans="1:2" x14ac:dyDescent="0.25">
      <c r="A135">
        <v>17.2</v>
      </c>
      <c r="B135">
        <v>578.1</v>
      </c>
    </row>
    <row r="136" spans="1:2" x14ac:dyDescent="0.25">
      <c r="A136">
        <v>17.3</v>
      </c>
      <c r="B136">
        <v>578</v>
      </c>
    </row>
    <row r="137" spans="1:2" x14ac:dyDescent="0.25">
      <c r="A137">
        <v>17.399999999999999</v>
      </c>
      <c r="B137">
        <v>562.9</v>
      </c>
    </row>
    <row r="138" spans="1:2" x14ac:dyDescent="0.25">
      <c r="A138">
        <v>17.600000000000001</v>
      </c>
      <c r="B138">
        <v>517.20000000000005</v>
      </c>
    </row>
    <row r="139" spans="1:2" x14ac:dyDescent="0.25">
      <c r="A139">
        <v>17.7</v>
      </c>
      <c r="B139">
        <v>492.6</v>
      </c>
    </row>
    <row r="140" spans="1:2" x14ac:dyDescent="0.25">
      <c r="A140">
        <v>17.8</v>
      </c>
      <c r="B140">
        <v>498.4</v>
      </c>
    </row>
    <row r="141" spans="1:2" x14ac:dyDescent="0.25">
      <c r="A141">
        <v>18</v>
      </c>
      <c r="B141">
        <v>462.3</v>
      </c>
    </row>
    <row r="142" spans="1:2" x14ac:dyDescent="0.25">
      <c r="A142">
        <v>18.100000000000001</v>
      </c>
      <c r="B142">
        <v>446.4</v>
      </c>
    </row>
    <row r="143" spans="1:2" x14ac:dyDescent="0.25">
      <c r="A143">
        <v>18.2</v>
      </c>
      <c r="B143">
        <v>428.8</v>
      </c>
    </row>
    <row r="144" spans="1:2" x14ac:dyDescent="0.25">
      <c r="A144">
        <v>18.3</v>
      </c>
      <c r="B144">
        <v>389.4</v>
      </c>
    </row>
    <row r="145" spans="1:2" x14ac:dyDescent="0.25">
      <c r="A145">
        <v>18.5</v>
      </c>
      <c r="B145">
        <v>294.60000000000002</v>
      </c>
    </row>
    <row r="146" spans="1:2" x14ac:dyDescent="0.25">
      <c r="A146">
        <v>18.600000000000001</v>
      </c>
      <c r="B146">
        <v>272.10000000000002</v>
      </c>
    </row>
    <row r="147" spans="1:2" x14ac:dyDescent="0.25">
      <c r="A147">
        <v>18.7</v>
      </c>
      <c r="B147">
        <v>256.39999999999998</v>
      </c>
    </row>
    <row r="148" spans="1:2" x14ac:dyDescent="0.25">
      <c r="A148">
        <v>18.899999999999999</v>
      </c>
      <c r="B148">
        <v>214.3</v>
      </c>
    </row>
    <row r="149" spans="1:2" x14ac:dyDescent="0.25">
      <c r="A149">
        <v>19</v>
      </c>
      <c r="B149">
        <v>145.4</v>
      </c>
    </row>
    <row r="150" spans="1:2" x14ac:dyDescent="0.25">
      <c r="A150">
        <v>19.100000000000001</v>
      </c>
      <c r="B150">
        <v>43.5</v>
      </c>
    </row>
    <row r="151" spans="1:2" x14ac:dyDescent="0.25">
      <c r="A151">
        <v>19.2</v>
      </c>
      <c r="B151">
        <v>28.7</v>
      </c>
    </row>
    <row r="152" spans="1:2" x14ac:dyDescent="0.25">
      <c r="A152">
        <v>19.399999999999999</v>
      </c>
      <c r="B152">
        <v>69.7</v>
      </c>
    </row>
    <row r="153" spans="1:2" x14ac:dyDescent="0.25">
      <c r="A153">
        <v>19.5</v>
      </c>
      <c r="B153">
        <v>47</v>
      </c>
    </row>
    <row r="154" spans="1:2" x14ac:dyDescent="0.25">
      <c r="A154">
        <v>19.600000000000001</v>
      </c>
      <c r="B154">
        <v>6.7</v>
      </c>
    </row>
    <row r="155" spans="1:2" x14ac:dyDescent="0.25">
      <c r="A155">
        <v>19.7</v>
      </c>
      <c r="B155">
        <v>22.6</v>
      </c>
    </row>
    <row r="156" spans="1:2" x14ac:dyDescent="0.25">
      <c r="A156">
        <v>19.899999999999999</v>
      </c>
      <c r="B156">
        <v>4.2</v>
      </c>
    </row>
    <row r="157" spans="1:2" x14ac:dyDescent="0.25">
      <c r="A157">
        <v>20</v>
      </c>
      <c r="B157">
        <v>5.3</v>
      </c>
    </row>
    <row r="158" spans="1:2" x14ac:dyDescent="0.25">
      <c r="A158">
        <v>20.100000000000001</v>
      </c>
      <c r="B158">
        <v>123.7</v>
      </c>
    </row>
    <row r="159" spans="1:2" x14ac:dyDescent="0.25">
      <c r="A159">
        <v>20.3</v>
      </c>
      <c r="B159">
        <v>79.099999999999994</v>
      </c>
    </row>
    <row r="160" spans="1:2" x14ac:dyDescent="0.25">
      <c r="A160">
        <v>20.399999999999999</v>
      </c>
      <c r="B160">
        <v>20.6</v>
      </c>
    </row>
    <row r="161" spans="1:2" x14ac:dyDescent="0.25">
      <c r="A161">
        <v>20.5</v>
      </c>
      <c r="B161">
        <v>7.3</v>
      </c>
    </row>
    <row r="162" spans="1:2" x14ac:dyDescent="0.25">
      <c r="A162">
        <v>20.6</v>
      </c>
      <c r="B162">
        <v>2.2000000000000002</v>
      </c>
    </row>
    <row r="163" spans="1:2" x14ac:dyDescent="0.25">
      <c r="A163">
        <v>20.8</v>
      </c>
      <c r="B163">
        <v>25.6</v>
      </c>
    </row>
    <row r="164" spans="1:2" x14ac:dyDescent="0.25">
      <c r="A164">
        <v>20.9</v>
      </c>
      <c r="B164">
        <v>36.4</v>
      </c>
    </row>
    <row r="165" spans="1:2" x14ac:dyDescent="0.25">
      <c r="A165">
        <v>21</v>
      </c>
      <c r="B165">
        <v>1.6</v>
      </c>
    </row>
    <row r="166" spans="1:2" x14ac:dyDescent="0.25">
      <c r="A166">
        <v>21.2</v>
      </c>
      <c r="B166">
        <v>115.3</v>
      </c>
    </row>
    <row r="167" spans="1:2" x14ac:dyDescent="0.25">
      <c r="A167">
        <v>21.3</v>
      </c>
      <c r="B167">
        <v>142.80000000000001</v>
      </c>
    </row>
    <row r="168" spans="1:2" x14ac:dyDescent="0.25">
      <c r="A168">
        <v>21.4</v>
      </c>
      <c r="B168">
        <v>187.5</v>
      </c>
    </row>
    <row r="169" spans="1:2" x14ac:dyDescent="0.25">
      <c r="A169">
        <v>21.5</v>
      </c>
      <c r="B169">
        <v>226.2</v>
      </c>
    </row>
    <row r="170" spans="1:2" x14ac:dyDescent="0.25">
      <c r="A170">
        <v>21.7</v>
      </c>
      <c r="B170">
        <v>232.8</v>
      </c>
    </row>
    <row r="171" spans="1:2" x14ac:dyDescent="0.25">
      <c r="A171">
        <v>21.8</v>
      </c>
      <c r="B171">
        <v>206.1</v>
      </c>
    </row>
    <row r="172" spans="1:2" x14ac:dyDescent="0.25">
      <c r="A172">
        <v>21.9</v>
      </c>
      <c r="B172">
        <v>239.4</v>
      </c>
    </row>
    <row r="173" spans="1:2" x14ac:dyDescent="0.25">
      <c r="A173">
        <v>22.1</v>
      </c>
      <c r="B173">
        <v>384.6</v>
      </c>
    </row>
    <row r="174" spans="1:2" x14ac:dyDescent="0.25">
      <c r="A174">
        <v>22.2</v>
      </c>
      <c r="B174">
        <v>476.1</v>
      </c>
    </row>
    <row r="175" spans="1:2" x14ac:dyDescent="0.25">
      <c r="A175">
        <v>22.3</v>
      </c>
      <c r="B175">
        <v>508.1</v>
      </c>
    </row>
    <row r="176" spans="1:2" x14ac:dyDescent="0.25">
      <c r="A176">
        <v>22.4</v>
      </c>
      <c r="B176">
        <v>545.20000000000005</v>
      </c>
    </row>
    <row r="177" spans="1:2" x14ac:dyDescent="0.25">
      <c r="A177">
        <v>22.6</v>
      </c>
      <c r="B177">
        <v>550.29999999999995</v>
      </c>
    </row>
    <row r="178" spans="1:2" x14ac:dyDescent="0.25">
      <c r="A178">
        <v>22.7</v>
      </c>
      <c r="B178">
        <v>591.70000000000005</v>
      </c>
    </row>
    <row r="179" spans="1:2" x14ac:dyDescent="0.25">
      <c r="A179">
        <v>22.8</v>
      </c>
      <c r="B179">
        <v>672.9</v>
      </c>
    </row>
    <row r="180" spans="1:2" x14ac:dyDescent="0.25">
      <c r="A180">
        <v>23</v>
      </c>
      <c r="B180">
        <v>760.4</v>
      </c>
    </row>
    <row r="181" spans="1:2" x14ac:dyDescent="0.25">
      <c r="A181">
        <v>23.1</v>
      </c>
      <c r="B181">
        <v>799.5</v>
      </c>
    </row>
    <row r="182" spans="1:2" x14ac:dyDescent="0.25">
      <c r="A182">
        <v>23.2</v>
      </c>
      <c r="B182">
        <v>793</v>
      </c>
    </row>
    <row r="183" spans="1:2" x14ac:dyDescent="0.25">
      <c r="A183">
        <v>23.3</v>
      </c>
      <c r="B183">
        <v>785.9</v>
      </c>
    </row>
    <row r="184" spans="1:2" x14ac:dyDescent="0.25">
      <c r="A184">
        <v>23.5</v>
      </c>
      <c r="B184">
        <v>794.2</v>
      </c>
    </row>
    <row r="185" spans="1:2" x14ac:dyDescent="0.25">
      <c r="A185">
        <v>23.6</v>
      </c>
      <c r="B185">
        <v>755.4</v>
      </c>
    </row>
    <row r="186" spans="1:2" x14ac:dyDescent="0.25">
      <c r="A186">
        <v>23.7</v>
      </c>
      <c r="B186">
        <v>730.8</v>
      </c>
    </row>
    <row r="187" spans="1:2" x14ac:dyDescent="0.25">
      <c r="A187">
        <v>23.9</v>
      </c>
      <c r="B187">
        <v>785.9</v>
      </c>
    </row>
    <row r="188" spans="1:2" x14ac:dyDescent="0.25">
      <c r="A188">
        <v>24</v>
      </c>
      <c r="B188">
        <v>834.7</v>
      </c>
    </row>
    <row r="189" spans="1:2" x14ac:dyDescent="0.25">
      <c r="A189">
        <v>24.1</v>
      </c>
      <c r="B189">
        <v>829.2</v>
      </c>
    </row>
    <row r="190" spans="1:2" x14ac:dyDescent="0.25">
      <c r="A190">
        <v>24.2</v>
      </c>
      <c r="B190">
        <v>816</v>
      </c>
    </row>
    <row r="191" spans="1:2" x14ac:dyDescent="0.25">
      <c r="A191">
        <v>24.4</v>
      </c>
      <c r="B191">
        <v>820.7</v>
      </c>
    </row>
    <row r="192" spans="1:2" x14ac:dyDescent="0.25">
      <c r="A192">
        <v>24.5</v>
      </c>
      <c r="B192">
        <v>849.5</v>
      </c>
    </row>
    <row r="193" spans="1:2" x14ac:dyDescent="0.25">
      <c r="A193">
        <v>24.6</v>
      </c>
      <c r="B193">
        <v>904.1</v>
      </c>
    </row>
    <row r="194" spans="1:2" x14ac:dyDescent="0.25">
      <c r="A194">
        <v>24.7</v>
      </c>
      <c r="B194">
        <v>925.1</v>
      </c>
    </row>
    <row r="195" spans="1:2" x14ac:dyDescent="0.25">
      <c r="A195">
        <v>24.9</v>
      </c>
      <c r="B195">
        <v>927.8</v>
      </c>
    </row>
    <row r="196" spans="1:2" x14ac:dyDescent="0.25">
      <c r="A196">
        <v>25</v>
      </c>
      <c r="B196">
        <v>985</v>
      </c>
    </row>
    <row r="197" spans="1:2" x14ac:dyDescent="0.25">
      <c r="A197">
        <v>25.1</v>
      </c>
      <c r="B197">
        <v>1044.9000000000001</v>
      </c>
    </row>
    <row r="198" spans="1:2" x14ac:dyDescent="0.25">
      <c r="A198">
        <v>25.3</v>
      </c>
      <c r="B198">
        <v>1067.0999999999999</v>
      </c>
    </row>
    <row r="199" spans="1:2" x14ac:dyDescent="0.25">
      <c r="A199">
        <v>25.4</v>
      </c>
      <c r="B199">
        <v>1120.2</v>
      </c>
    </row>
    <row r="200" spans="1:2" x14ac:dyDescent="0.25">
      <c r="A200">
        <v>25.5</v>
      </c>
      <c r="B200">
        <v>1086.7</v>
      </c>
    </row>
    <row r="201" spans="1:2" x14ac:dyDescent="0.25">
      <c r="A201">
        <v>25.6</v>
      </c>
      <c r="B201">
        <v>1123.2</v>
      </c>
    </row>
    <row r="202" spans="1:2" x14ac:dyDescent="0.25">
      <c r="A202">
        <v>25.8</v>
      </c>
      <c r="B202">
        <v>1134</v>
      </c>
    </row>
    <row r="203" spans="1:2" x14ac:dyDescent="0.25">
      <c r="A203">
        <v>25.9</v>
      </c>
      <c r="B203">
        <v>1242.2</v>
      </c>
    </row>
    <row r="204" spans="1:2" x14ac:dyDescent="0.25">
      <c r="A204">
        <v>26</v>
      </c>
      <c r="B204">
        <v>1320.7</v>
      </c>
    </row>
    <row r="205" spans="1:2" x14ac:dyDescent="0.25">
      <c r="A205">
        <v>26.2</v>
      </c>
      <c r="B205">
        <v>1252.8</v>
      </c>
    </row>
    <row r="206" spans="1:2" x14ac:dyDescent="0.25">
      <c r="A206">
        <v>26.3</v>
      </c>
      <c r="B206">
        <v>1191.5</v>
      </c>
    </row>
    <row r="207" spans="1:2" x14ac:dyDescent="0.25">
      <c r="A207">
        <v>26.4</v>
      </c>
      <c r="B207">
        <v>1124.9000000000001</v>
      </c>
    </row>
    <row r="208" spans="1:2" x14ac:dyDescent="0.25">
      <c r="A208">
        <v>26.5</v>
      </c>
      <c r="B208">
        <v>1141.3</v>
      </c>
    </row>
    <row r="209" spans="1:2" x14ac:dyDescent="0.25">
      <c r="A209">
        <v>26.7</v>
      </c>
      <c r="B209">
        <v>1111.0999999999999</v>
      </c>
    </row>
    <row r="210" spans="1:2" x14ac:dyDescent="0.25">
      <c r="A210">
        <v>26.8</v>
      </c>
      <c r="B210">
        <v>1014.7</v>
      </c>
    </row>
    <row r="211" spans="1:2" x14ac:dyDescent="0.25">
      <c r="A211">
        <v>26.9</v>
      </c>
      <c r="B211">
        <v>1051.8</v>
      </c>
    </row>
    <row r="212" spans="1:2" x14ac:dyDescent="0.25">
      <c r="A212">
        <v>27.1</v>
      </c>
      <c r="B212">
        <v>1041.3</v>
      </c>
    </row>
    <row r="213" spans="1:2" x14ac:dyDescent="0.25">
      <c r="A213">
        <v>27.2</v>
      </c>
      <c r="B213">
        <v>1052.0999999999999</v>
      </c>
    </row>
    <row r="214" spans="1:2" x14ac:dyDescent="0.25">
      <c r="A214">
        <v>27.3</v>
      </c>
      <c r="B214">
        <v>1046.9000000000001</v>
      </c>
    </row>
    <row r="215" spans="1:2" x14ac:dyDescent="0.25">
      <c r="A215">
        <v>27.4</v>
      </c>
      <c r="B215">
        <v>1082</v>
      </c>
    </row>
    <row r="216" spans="1:2" x14ac:dyDescent="0.25">
      <c r="A216">
        <v>27.6</v>
      </c>
      <c r="B216">
        <v>1033.2</v>
      </c>
    </row>
    <row r="217" spans="1:2" x14ac:dyDescent="0.25">
      <c r="A217">
        <v>27.7</v>
      </c>
      <c r="B217">
        <v>1041.4000000000001</v>
      </c>
    </row>
    <row r="218" spans="1:2" x14ac:dyDescent="0.25">
      <c r="A218">
        <v>27.8</v>
      </c>
      <c r="B218">
        <v>1037.5999999999999</v>
      </c>
    </row>
    <row r="219" spans="1:2" x14ac:dyDescent="0.25">
      <c r="A219">
        <v>28</v>
      </c>
      <c r="B219">
        <v>979.3</v>
      </c>
    </row>
    <row r="220" spans="1:2" x14ac:dyDescent="0.25">
      <c r="A220">
        <v>28.1</v>
      </c>
      <c r="B220">
        <v>940.3</v>
      </c>
    </row>
    <row r="221" spans="1:2" x14ac:dyDescent="0.25">
      <c r="A221">
        <v>28.2</v>
      </c>
      <c r="B221">
        <v>938.1</v>
      </c>
    </row>
    <row r="222" spans="1:2" x14ac:dyDescent="0.25">
      <c r="A222">
        <v>28.3</v>
      </c>
      <c r="B222">
        <v>936.2</v>
      </c>
    </row>
    <row r="223" spans="1:2" x14ac:dyDescent="0.25">
      <c r="A223">
        <v>28.5</v>
      </c>
      <c r="B223">
        <v>932.1</v>
      </c>
    </row>
    <row r="224" spans="1:2" x14ac:dyDescent="0.25">
      <c r="A224">
        <v>28.6</v>
      </c>
      <c r="B224">
        <v>864.8</v>
      </c>
    </row>
    <row r="225" spans="1:2" x14ac:dyDescent="0.25">
      <c r="A225">
        <v>28.7</v>
      </c>
      <c r="B225">
        <v>883.1</v>
      </c>
    </row>
    <row r="226" spans="1:2" x14ac:dyDescent="0.25">
      <c r="A226">
        <v>28.9</v>
      </c>
      <c r="B226">
        <v>861.4</v>
      </c>
    </row>
    <row r="227" spans="1:2" x14ac:dyDescent="0.25">
      <c r="A227">
        <v>29</v>
      </c>
      <c r="B227">
        <v>787.5</v>
      </c>
    </row>
    <row r="228" spans="1:2" x14ac:dyDescent="0.25">
      <c r="A228">
        <v>29.1</v>
      </c>
      <c r="B228">
        <v>735.4</v>
      </c>
    </row>
    <row r="229" spans="1:2" x14ac:dyDescent="0.25">
      <c r="A229">
        <v>29.2</v>
      </c>
      <c r="B229">
        <v>705.8</v>
      </c>
    </row>
    <row r="230" spans="1:2" x14ac:dyDescent="0.25">
      <c r="A230">
        <v>29.4</v>
      </c>
      <c r="B230">
        <v>659.9</v>
      </c>
    </row>
    <row r="231" spans="1:2" x14ac:dyDescent="0.25">
      <c r="A231">
        <v>29.5</v>
      </c>
      <c r="B231">
        <v>602.79999999999995</v>
      </c>
    </row>
    <row r="232" spans="1:2" x14ac:dyDescent="0.25">
      <c r="A232">
        <v>29.6</v>
      </c>
      <c r="B232">
        <v>607.70000000000005</v>
      </c>
    </row>
    <row r="233" spans="1:2" x14ac:dyDescent="0.25">
      <c r="A233">
        <v>29.8</v>
      </c>
      <c r="B233">
        <v>648.70000000000005</v>
      </c>
    </row>
    <row r="234" spans="1:2" x14ac:dyDescent="0.25">
      <c r="A234">
        <v>29.9</v>
      </c>
      <c r="B234">
        <v>717.3</v>
      </c>
    </row>
    <row r="235" spans="1:2" x14ac:dyDescent="0.25">
      <c r="A235">
        <v>30</v>
      </c>
      <c r="B235">
        <v>722.3</v>
      </c>
    </row>
    <row r="236" spans="1:2" x14ac:dyDescent="0.25">
      <c r="A236">
        <v>30.1</v>
      </c>
      <c r="B236">
        <v>689.1</v>
      </c>
    </row>
    <row r="237" spans="1:2" x14ac:dyDescent="0.25">
      <c r="A237">
        <v>30.3</v>
      </c>
      <c r="B237">
        <v>698.8</v>
      </c>
    </row>
    <row r="238" spans="1:2" x14ac:dyDescent="0.25">
      <c r="A238">
        <v>30.4</v>
      </c>
      <c r="B238">
        <v>683.3</v>
      </c>
    </row>
    <row r="239" spans="1:2" x14ac:dyDescent="0.25">
      <c r="A239">
        <v>30.5</v>
      </c>
      <c r="B239">
        <v>691.6</v>
      </c>
    </row>
    <row r="240" spans="1:2" x14ac:dyDescent="0.25">
      <c r="A240">
        <v>30.6</v>
      </c>
      <c r="B240">
        <v>702.4</v>
      </c>
    </row>
    <row r="241" spans="1:2" x14ac:dyDescent="0.25">
      <c r="A241">
        <v>30.8</v>
      </c>
      <c r="B241">
        <v>695.6</v>
      </c>
    </row>
    <row r="242" spans="1:2" x14ac:dyDescent="0.25">
      <c r="A242">
        <v>30.9</v>
      </c>
      <c r="B242">
        <v>723.6</v>
      </c>
    </row>
    <row r="243" spans="1:2" x14ac:dyDescent="0.25">
      <c r="A243">
        <v>31</v>
      </c>
      <c r="B243">
        <v>763.9</v>
      </c>
    </row>
    <row r="244" spans="1:2" x14ac:dyDescent="0.25">
      <c r="A244">
        <v>31.2</v>
      </c>
      <c r="B244">
        <v>818.9</v>
      </c>
    </row>
    <row r="245" spans="1:2" x14ac:dyDescent="0.25">
      <c r="A245">
        <v>31.3</v>
      </c>
      <c r="B245">
        <v>827.5</v>
      </c>
    </row>
    <row r="246" spans="1:2" x14ac:dyDescent="0.25">
      <c r="A246">
        <v>31.4</v>
      </c>
      <c r="B246">
        <v>811.9</v>
      </c>
    </row>
    <row r="247" spans="1:2" x14ac:dyDescent="0.25">
      <c r="A247">
        <v>31.5</v>
      </c>
      <c r="B247">
        <v>763.2</v>
      </c>
    </row>
    <row r="248" spans="1:2" x14ac:dyDescent="0.25">
      <c r="A248">
        <v>31.7</v>
      </c>
      <c r="B248">
        <v>774.3</v>
      </c>
    </row>
    <row r="249" spans="1:2" x14ac:dyDescent="0.25">
      <c r="A249">
        <v>31.8</v>
      </c>
      <c r="B249">
        <v>753.1</v>
      </c>
    </row>
    <row r="250" spans="1:2" x14ac:dyDescent="0.25">
      <c r="A250">
        <v>31.9</v>
      </c>
      <c r="B250">
        <v>714.1</v>
      </c>
    </row>
    <row r="251" spans="1:2" x14ac:dyDescent="0.25">
      <c r="A251">
        <v>32.1</v>
      </c>
      <c r="B251">
        <v>723</v>
      </c>
    </row>
    <row r="252" spans="1:2" x14ac:dyDescent="0.25">
      <c r="A252">
        <v>32.200000000000003</v>
      </c>
      <c r="B252">
        <v>744.8</v>
      </c>
    </row>
    <row r="253" spans="1:2" x14ac:dyDescent="0.25">
      <c r="A253">
        <v>32.299999999999997</v>
      </c>
      <c r="B253">
        <v>758.5</v>
      </c>
    </row>
    <row r="254" spans="1:2" x14ac:dyDescent="0.25">
      <c r="A254">
        <v>32.4</v>
      </c>
      <c r="B254">
        <v>752.3</v>
      </c>
    </row>
    <row r="255" spans="1:2" x14ac:dyDescent="0.25">
      <c r="A255">
        <v>32.6</v>
      </c>
      <c r="B255">
        <v>752.3</v>
      </c>
    </row>
    <row r="256" spans="1:2" x14ac:dyDescent="0.25">
      <c r="A256">
        <v>32.700000000000003</v>
      </c>
      <c r="B256">
        <v>755.8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255A7-CADF-4C0A-B7CD-B489F5078C8B}">
  <dimension ref="A1:E20"/>
  <sheetViews>
    <sheetView workbookViewId="0">
      <selection activeCell="D12" sqref="D12"/>
    </sheetView>
  </sheetViews>
  <sheetFormatPr defaultColWidth="8.85546875" defaultRowHeight="15" x14ac:dyDescent="0.25"/>
  <cols>
    <col min="1" max="1" width="49.42578125" style="3" customWidth="1"/>
    <col min="2" max="2" width="17.85546875" style="3" customWidth="1"/>
    <col min="3" max="4" width="17.5703125" style="3" customWidth="1"/>
    <col min="5" max="5" width="16.5703125" style="3" customWidth="1"/>
    <col min="6" max="16384" width="8.85546875" style="3"/>
  </cols>
  <sheetData>
    <row r="1" spans="1:5" x14ac:dyDescent="0.25">
      <c r="A1" s="23"/>
      <c r="B1" s="74" t="s">
        <v>119</v>
      </c>
      <c r="C1" s="75" t="s">
        <v>118</v>
      </c>
      <c r="D1" s="74" t="s">
        <v>122</v>
      </c>
      <c r="E1" s="74" t="s">
        <v>123</v>
      </c>
    </row>
    <row r="2" spans="1:5" x14ac:dyDescent="0.25">
      <c r="A2" s="12" t="s">
        <v>13</v>
      </c>
      <c r="B2" s="24">
        <f>Dados!$B$8-10*LOG10(1/IMLOG2(Dados!$B$3))</f>
        <v>19.020599913279625</v>
      </c>
      <c r="C2" s="21">
        <f>Dados!$B$8-10*LOG10(1/IMLOG2(Dados!$B$3))</f>
        <v>19.020599913279625</v>
      </c>
      <c r="D2" s="28">
        <f>Dados!$B$8-10*LOG10(1/IMLOG2(Dados!$B$3))</f>
        <v>19.020599913279625</v>
      </c>
      <c r="E2" s="28">
        <f>Dados!$B$8-10*LOG10(1/IMLOG2(Dados!$B$3))</f>
        <v>19.020599913279625</v>
      </c>
    </row>
    <row r="3" spans="1:5" x14ac:dyDescent="0.25">
      <c r="A3" s="23" t="s">
        <v>14</v>
      </c>
      <c r="B3" s="28">
        <f>0.000000014*Dados!$B1*(Dados!$B2^3.5)*(1/Dados!$B6)</f>
        <v>104.97271689398369</v>
      </c>
      <c r="C3" s="36">
        <f>0.000000014*Dados!$B1*(Dados!$B2^3.5)*(1/Dados!$B6)</f>
        <v>104.97271689398369</v>
      </c>
      <c r="D3" s="28">
        <f>0.000000014*Dados!$B1*($B20^3.5)*(1/Dados!$B6)</f>
        <v>47.050692659726039</v>
      </c>
      <c r="E3" s="28">
        <f>0.000000014*Dados!$B1*($B20^3.5)*(1/Dados!$B6)</f>
        <v>47.050692659726039</v>
      </c>
    </row>
    <row r="4" spans="1:5" x14ac:dyDescent="0.25">
      <c r="A4" s="12"/>
      <c r="B4" s="34"/>
      <c r="C4" s="1"/>
      <c r="D4" s="19"/>
      <c r="E4" s="19"/>
    </row>
    <row r="5" spans="1:5" x14ac:dyDescent="0.25">
      <c r="A5" s="77" t="s">
        <v>23</v>
      </c>
      <c r="B5" s="35"/>
      <c r="C5" s="18"/>
      <c r="D5" s="19"/>
      <c r="E5" s="19"/>
    </row>
    <row r="6" spans="1:5" x14ac:dyDescent="0.25">
      <c r="A6" s="12" t="s">
        <v>15</v>
      </c>
      <c r="B6" s="25">
        <f>0.000000014*Dados!$B1*(Dados!$B2^3.5)</f>
        <v>1.6795634703037392E-2</v>
      </c>
      <c r="C6" s="22">
        <f>0.000000014*Dados!$B1*(Dados!$B2^3.5)</f>
        <v>1.6795634703037392E-2</v>
      </c>
      <c r="D6" s="31">
        <f>0.000000014*Dados!$B1*($B20^3.5)</f>
        <v>7.5281108255561679E-3</v>
      </c>
      <c r="E6" s="31">
        <f>0.000000014*Dados!$B1*($B20^3.5)</f>
        <v>7.5281108255561679E-3</v>
      </c>
    </row>
    <row r="7" spans="1:5" x14ac:dyDescent="0.25">
      <c r="A7" s="23" t="s">
        <v>25</v>
      </c>
      <c r="B7" s="31">
        <f>1-EXP(-0.2*$B6^(3/4))</f>
        <v>9.2875826095015768E-3</v>
      </c>
      <c r="C7" s="37">
        <f>1-EXP(-0.2*$B6^(3/4))</f>
        <v>9.2875826095015768E-3</v>
      </c>
      <c r="D7" s="31">
        <f>1-EXP(-0.2*$D6^(3/4))</f>
        <v>5.0984132387068559E-3</v>
      </c>
      <c r="E7" s="31">
        <f>1-EXP(-0.2*$E6^(3/4))</f>
        <v>5.0984132387068559E-3</v>
      </c>
    </row>
    <row r="8" spans="1:5" x14ac:dyDescent="0.25">
      <c r="A8" s="12" t="s">
        <v>16</v>
      </c>
      <c r="B8" s="25">
        <f>0.7*(Dados!$B2/50)^$B19</f>
        <v>0.38628414921405169</v>
      </c>
      <c r="C8" s="22">
        <f>0.7*($B20/50)^$B19</f>
        <v>0.28022231791404451</v>
      </c>
      <c r="D8" s="31">
        <f>0.7*($B20/50)^$B19</f>
        <v>0.28022231791404451</v>
      </c>
      <c r="E8" s="31">
        <f>0.7*($B20/50)^$B19</f>
        <v>0.28022231791404451</v>
      </c>
    </row>
    <row r="9" spans="1:5" x14ac:dyDescent="0.25">
      <c r="A9" s="23" t="s">
        <v>24</v>
      </c>
      <c r="B9" s="31">
        <f>IMLOG2(Dados!$B3) / (Dados!$B5*0.001)</f>
        <v>25.806451612903228</v>
      </c>
      <c r="C9" s="31">
        <f>IMLOG2(Dados!$B3) / (Dados!$B5*0.001)</f>
        <v>25.806451612903228</v>
      </c>
      <c r="D9" s="31">
        <f>IMLOG2(Dados!$B3) / (Dados!$B5*0.001)</f>
        <v>25.806451612903228</v>
      </c>
      <c r="E9" s="31">
        <f>IMLOG2(Dados!$B3) / (Dados!$B5*0.001)</f>
        <v>25.806451612903228</v>
      </c>
    </row>
    <row r="10" spans="1:5" x14ac:dyDescent="0.25">
      <c r="A10" s="12" t="s">
        <v>17</v>
      </c>
      <c r="B10" s="25">
        <f>2.16*Dados!$B4*((2*$B8^2)/($B9^2))</f>
        <v>5.3235780451646566E-3</v>
      </c>
      <c r="C10" s="31">
        <f>2.16*Dados!$B4*((2*$B8^2)/($B9^2))</f>
        <v>5.3235780451646566E-3</v>
      </c>
      <c r="D10" s="31">
        <f>2.16*Dados!$B4*((2*$D8^2)/($D9^2))</f>
        <v>2.8015300951960962E-3</v>
      </c>
      <c r="E10" s="31">
        <f>2.16*Dados!$B4*((2*$E8^2)/($E9^2))</f>
        <v>2.8015300951960962E-3</v>
      </c>
    </row>
    <row r="11" spans="1:5" x14ac:dyDescent="0.25">
      <c r="A11" s="23" t="s">
        <v>18</v>
      </c>
      <c r="B11" s="31">
        <f>$B7*$B10</f>
        <v>4.9443170872595662E-5</v>
      </c>
      <c r="C11" s="31">
        <f>$B7*$B10</f>
        <v>4.9443170872595662E-5</v>
      </c>
      <c r="D11" s="31">
        <f>$D7*$D10</f>
        <v>1.4283358125983455E-5</v>
      </c>
      <c r="E11" s="31">
        <f>$E7*$E10</f>
        <v>1.4283358125983455E-5</v>
      </c>
    </row>
    <row r="12" spans="1:5" x14ac:dyDescent="0.25">
      <c r="A12" s="12" t="s">
        <v>19</v>
      </c>
      <c r="B12" s="24">
        <f>($B6/$B11)</f>
        <v>339.69574375227882</v>
      </c>
      <c r="C12" s="21">
        <f>($C6/$C11)*Dados!$B23</f>
        <v>3396.957437522788</v>
      </c>
      <c r="D12" s="28">
        <f>($D6/$D11)</f>
        <v>527.05468554075287</v>
      </c>
      <c r="E12" s="28">
        <f>($E6/$E11)*Dados!$B23</f>
        <v>5270.5468554075287</v>
      </c>
    </row>
    <row r="13" spans="1:5" x14ac:dyDescent="0.25">
      <c r="A13" s="23"/>
      <c r="B13" s="35"/>
      <c r="C13" s="18"/>
      <c r="D13" s="19"/>
      <c r="E13" s="19"/>
    </row>
    <row r="14" spans="1:5" x14ac:dyDescent="0.25">
      <c r="A14" s="12" t="s">
        <v>20</v>
      </c>
      <c r="B14" s="24">
        <f>(1/$B3-1/$B12)^-1</f>
        <v>151.9185638336489</v>
      </c>
      <c r="C14" s="21">
        <f>(1/$B3-1/$C12)^-1</f>
        <v>108.32002018584092</v>
      </c>
      <c r="D14" s="28">
        <f>(1/$D3-1/$D12)^-1</f>
        <v>51.662670294480215</v>
      </c>
      <c r="E14" s="28">
        <f>(1/$D3-1/$E12)^-1</f>
        <v>47.474502233005296</v>
      </c>
    </row>
    <row r="15" spans="1:5" x14ac:dyDescent="0.25">
      <c r="A15" s="23" t="s">
        <v>21</v>
      </c>
      <c r="B15" s="28">
        <f>10*LOG10($B14)</f>
        <v>21.816108461334537</v>
      </c>
      <c r="C15" s="36">
        <f>10*LOG10($C14)</f>
        <v>20.347087322734776</v>
      </c>
      <c r="D15" s="28">
        <f>10*LOG10($D14)</f>
        <v>17.131768498471061</v>
      </c>
      <c r="E15" s="28">
        <f>10*LOG10($E14)</f>
        <v>16.764604198842026</v>
      </c>
    </row>
    <row r="16" spans="1:5" x14ac:dyDescent="0.25">
      <c r="A16" s="14" t="s">
        <v>26</v>
      </c>
      <c r="B16" s="30">
        <f>$B2+$B15</f>
        <v>40.836708374614162</v>
      </c>
      <c r="C16" s="33">
        <f>$B2+$C15</f>
        <v>39.367687236014405</v>
      </c>
      <c r="D16" s="28">
        <f>$D2+$D15</f>
        <v>36.152368411750686</v>
      </c>
      <c r="E16" s="28">
        <f>$E2+$E15</f>
        <v>35.785204112121647</v>
      </c>
    </row>
    <row r="17" spans="1:5" x14ac:dyDescent="0.25">
      <c r="B17" s="1"/>
      <c r="C17" s="1"/>
      <c r="D17" s="1"/>
      <c r="E17" s="1"/>
    </row>
    <row r="18" spans="1:5" x14ac:dyDescent="0.25">
      <c r="B18" s="1"/>
      <c r="C18" s="1"/>
      <c r="D18" s="1"/>
      <c r="E18" s="1"/>
    </row>
    <row r="19" spans="1:5" x14ac:dyDescent="0.25">
      <c r="A19" s="23" t="s">
        <v>22</v>
      </c>
      <c r="B19" s="19">
        <v>1.4</v>
      </c>
      <c r="C19" s="1"/>
      <c r="D19" s="1"/>
      <c r="E19" s="1"/>
    </row>
    <row r="20" spans="1:5" x14ac:dyDescent="0.25">
      <c r="A20" s="38" t="s">
        <v>124</v>
      </c>
      <c r="B20" s="19">
        <v>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92696-8D40-420F-8B1C-8B26D2C2665C}">
  <dimension ref="A1:H21"/>
  <sheetViews>
    <sheetView workbookViewId="0">
      <selection activeCell="E3" sqref="E3"/>
    </sheetView>
  </sheetViews>
  <sheetFormatPr defaultColWidth="8.85546875" defaultRowHeight="15" x14ac:dyDescent="0.25"/>
  <cols>
    <col min="1" max="1" width="74.7109375" style="3" customWidth="1"/>
    <col min="2" max="2" width="18.85546875" style="3" customWidth="1"/>
    <col min="3" max="3" width="17.7109375" style="3" customWidth="1"/>
    <col min="4" max="4" width="16.5703125" style="3" customWidth="1"/>
    <col min="5" max="5" width="17.140625" style="3" customWidth="1"/>
    <col min="6" max="6" width="7.7109375" style="3" customWidth="1"/>
    <col min="7" max="7" width="7.42578125" style="3" customWidth="1"/>
    <col min="8" max="8" width="7.28515625" style="3" bestFit="1" customWidth="1"/>
    <col min="9" max="9" width="6.28515625" style="3" customWidth="1"/>
    <col min="10" max="16384" width="8.85546875" style="3"/>
  </cols>
  <sheetData>
    <row r="1" spans="1:5" x14ac:dyDescent="0.25">
      <c r="A1" s="23"/>
      <c r="B1" s="74" t="s">
        <v>119</v>
      </c>
      <c r="C1" s="74" t="s">
        <v>118</v>
      </c>
      <c r="D1" s="74" t="s">
        <v>122</v>
      </c>
      <c r="E1" s="74" t="s">
        <v>123</v>
      </c>
    </row>
    <row r="2" spans="1:5" x14ac:dyDescent="0.25">
      <c r="A2" s="23" t="s">
        <v>40</v>
      </c>
      <c r="B2" s="28">
        <v>49.53</v>
      </c>
      <c r="C2" s="28">
        <v>48.14</v>
      </c>
      <c r="D2" s="28">
        <v>45.15</v>
      </c>
      <c r="E2" s="28">
        <v>44.42</v>
      </c>
    </row>
    <row r="3" spans="1:5" x14ac:dyDescent="0.25">
      <c r="A3" s="11" t="s">
        <v>41</v>
      </c>
      <c r="B3" s="29">
        <f>Dados!$B13-10*LOG10((Dados!$B5/IMLOG2(Dados!$B3)/Dados!$B5))</f>
        <v>24.270599913279625</v>
      </c>
      <c r="C3" s="29">
        <f>Dados!$B13-10*LOG10((Dados!$B5/IMLOG2(Dados!$B3)/Dados!$B5))</f>
        <v>24.270599913279625</v>
      </c>
      <c r="D3" s="29">
        <f>Dados!$B13-10*LOG10((Dados!$B5/IMLOG2(Dados!$B3)/Dados!$B5))</f>
        <v>24.270599913279625</v>
      </c>
      <c r="E3" s="29">
        <f>Dados!$B13-10*LOG10((Dados!$B5/IMLOG2(Dados!$B3)/Dados!$B5))</f>
        <v>24.270599913279625</v>
      </c>
    </row>
    <row r="4" spans="1:5" x14ac:dyDescent="0.25">
      <c r="A4" s="23" t="s">
        <v>42</v>
      </c>
      <c r="B4" s="28">
        <f>$B2-$B3</f>
        <v>25.259400086720376</v>
      </c>
      <c r="C4" s="28">
        <f>$C2-$C3</f>
        <v>23.869400086720375</v>
      </c>
      <c r="D4" s="28">
        <f>$D2-$D3</f>
        <v>20.879400086720374</v>
      </c>
      <c r="E4" s="28">
        <f>$E2-$E3</f>
        <v>20.149400086720377</v>
      </c>
    </row>
    <row r="5" spans="1:5" x14ac:dyDescent="0.25">
      <c r="A5" s="14"/>
      <c r="B5" s="30">
        <f>10^($B4/10)</f>
        <v>335.69124028446612</v>
      </c>
      <c r="C5" s="30">
        <f>10^($C4/10)</f>
        <v>243.7474094293467</v>
      </c>
      <c r="D5" s="30">
        <f>10^($D4/10)</f>
        <v>122.44470484211153</v>
      </c>
      <c r="E5" s="30">
        <f>10^($E4/10)</f>
        <v>103.49991870493263</v>
      </c>
    </row>
    <row r="6" spans="1:5" x14ac:dyDescent="0.25">
      <c r="A6" s="11" t="s">
        <v>52</v>
      </c>
      <c r="B6" s="29">
        <f>((1/$B5)+(1/SESR!$B12))^-1</f>
        <v>168.84081013523442</v>
      </c>
      <c r="C6" s="29">
        <f>((1/$C5)+(1/SESR!$C12))^-1</f>
        <v>227.42837174265924</v>
      </c>
      <c r="D6" s="29">
        <f>((1/$D5)+(1/SESR!$D12))^-1</f>
        <v>99.361225525781506</v>
      </c>
      <c r="E6" s="29">
        <f>((1/$E5)+(1/SESR!$E12))^-1</f>
        <v>101.50659158624622</v>
      </c>
    </row>
    <row r="7" spans="1:5" x14ac:dyDescent="0.25">
      <c r="A7" s="23" t="s">
        <v>43</v>
      </c>
      <c r="B7" s="31">
        <f>0.000000014*Dados!$B1*(Dados!$B2^3.5)*(1/$B6)</f>
        <v>9.9476155614183507E-5</v>
      </c>
      <c r="C7" s="31">
        <f>0.000000014*Dados!$B1*(Dados!$B2^3.5)*(1/$C6)</f>
        <v>7.385021743040073E-5</v>
      </c>
      <c r="D7" s="31">
        <f>0.000000014*Dados!$B1*(SESR!$B20^3.5)*(1/$D6)</f>
        <v>7.5765076222845395E-5</v>
      </c>
      <c r="E7" s="31">
        <f>0.000000014*Dados!$B1*(SESR!$B20^3.5)*(1/$E6)</f>
        <v>7.4163763238565883E-5</v>
      </c>
    </row>
    <row r="8" spans="1:5" x14ac:dyDescent="0.25">
      <c r="A8" s="14"/>
      <c r="B8" s="10"/>
      <c r="C8" s="10"/>
      <c r="D8" s="19"/>
      <c r="E8" s="19"/>
    </row>
    <row r="9" spans="1:5" x14ac:dyDescent="0.25">
      <c r="A9" s="11" t="s">
        <v>44</v>
      </c>
      <c r="B9" s="29">
        <f>$B2-SESR!$B2</f>
        <v>30.509400086720376</v>
      </c>
      <c r="C9" s="29">
        <f>$C2-SESR!$B2</f>
        <v>29.119400086720375</v>
      </c>
      <c r="D9" s="29">
        <f>$D2-SESR!$D2</f>
        <v>26.129400086720374</v>
      </c>
      <c r="E9" s="29">
        <f>$E2-SESR!$E2</f>
        <v>25.399400086720377</v>
      </c>
    </row>
    <row r="10" spans="1:5" x14ac:dyDescent="0.25">
      <c r="A10" s="23"/>
      <c r="B10" s="28">
        <f>10^($B9/10)</f>
        <v>1124.4496372332208</v>
      </c>
      <c r="C10" s="28">
        <f>10^($C9/10)</f>
        <v>816.46958043084044</v>
      </c>
      <c r="D10" s="28">
        <f>10^($D9/10)</f>
        <v>410.14744329988491</v>
      </c>
      <c r="E10" s="28">
        <f>10^($E9/10)</f>
        <v>346.68895721797259</v>
      </c>
    </row>
    <row r="11" spans="1:5" x14ac:dyDescent="0.25">
      <c r="A11" s="14" t="s">
        <v>53</v>
      </c>
      <c r="B11" s="30">
        <f>((1/$B10)+(1/SESR!$B12))^-1</f>
        <v>260.88307950322451</v>
      </c>
      <c r="C11" s="30">
        <f>((1/$C10)+(1/SESR!$C12))^-1</f>
        <v>658.25571487000366</v>
      </c>
      <c r="D11" s="30">
        <f>((1/$D10)+(1/SESR!$D12))^-1</f>
        <v>230.65475963139031</v>
      </c>
      <c r="E11" s="30">
        <f>((1/$E10)+(1/SESR!$E12))^-1</f>
        <v>325.29173675826985</v>
      </c>
    </row>
    <row r="12" spans="1:5" x14ac:dyDescent="0.25">
      <c r="A12" s="23" t="s">
        <v>45</v>
      </c>
      <c r="B12" s="31">
        <f>0.000000014*Dados!$B1*(Dados!$B2^3.5)*(1/$B11)</f>
        <v>6.4379931174608044E-5</v>
      </c>
      <c r="C12" s="31">
        <f>0.000000014*Dados!$B1*(Dados!$B2^3.5)*(1/$C11)</f>
        <v>2.5515364809790214E-5</v>
      </c>
      <c r="D12" s="31">
        <f>0.000000014*Dados!$B1*(SESR!$B20^3.5)*(1/$D11)</f>
        <v>3.2638003384741999E-5</v>
      </c>
      <c r="E12" s="31">
        <f>0.000000014*Dados!$B1*(SESR!$B20^3.5)*(1/$E11)</f>
        <v>2.3142643894303537E-5</v>
      </c>
    </row>
    <row r="13" spans="1:5" x14ac:dyDescent="0.25">
      <c r="A13" s="12"/>
      <c r="B13" s="26"/>
      <c r="C13" s="26"/>
      <c r="D13" s="19"/>
      <c r="E13" s="19"/>
    </row>
    <row r="14" spans="1:5" x14ac:dyDescent="0.25">
      <c r="A14" s="11" t="s">
        <v>46</v>
      </c>
      <c r="B14" s="29">
        <f>ABS((LOG10(Dados!$B12)-LOG10(Dados!$B7))/(LOG10($B7)-LOG10($B12)))</f>
        <v>44.249324626708592</v>
      </c>
      <c r="C14" s="29">
        <f>ABS((LOG10(Dados!$B12)-LOG10(Dados!$B7))/(LOG10($C7)-LOG10($C12)))</f>
        <v>18.116624211616198</v>
      </c>
      <c r="D14" s="29">
        <f>ABS((LOG10(Dados!$B12)-LOG10(Dados!$B7))/(LOG10($D7)-LOG10($D12)))</f>
        <v>22.862149396507437</v>
      </c>
      <c r="E14" s="29">
        <f>ABS((LOG10(Dados!$B12)-LOG10(Dados!$B7))/(LOG10($E7)-LOG10($E12)))</f>
        <v>16.532381480736063</v>
      </c>
    </row>
    <row r="15" spans="1:5" x14ac:dyDescent="0.25">
      <c r="A15" s="23" t="s">
        <v>47</v>
      </c>
      <c r="B15" s="66">
        <f>$B12*($D21/(2.8*$F21*($B14-1)))+(Dados!$B11*Dados!$B12/$H21)</f>
        <v>1.5950978645614428E-5</v>
      </c>
      <c r="C15" s="66">
        <f>$C12*($D21/(2.8*$F21*($C14-1)))+(Dados!$B11*Dados!$B12/$H21)</f>
        <v>1.597348752964033E-5</v>
      </c>
      <c r="D15" s="66">
        <f>$D12*($D21/(2.8*$F21*($D14-1)))+(Dados!$B11*Dados!$B12/$H21)</f>
        <v>1.5997301412744369E-5</v>
      </c>
      <c r="E15" s="66">
        <f>$E12*($D21/(2.8*$F21*($E14-1)))+(Dados!$B11*Dados!$B12/$H21)</f>
        <v>1.5965812720006965E-5</v>
      </c>
    </row>
    <row r="16" spans="1:5" x14ac:dyDescent="0.25">
      <c r="A16" s="14" t="s">
        <v>48</v>
      </c>
      <c r="B16" s="31">
        <v>1.5999999999999999E-5</v>
      </c>
      <c r="C16" s="31">
        <v>1.5999999999999999E-5</v>
      </c>
      <c r="D16" s="31">
        <v>1.5999999999999999E-5</v>
      </c>
      <c r="E16" s="31">
        <v>1.5999999999999999E-5</v>
      </c>
    </row>
    <row r="21" spans="3:8" x14ac:dyDescent="0.25">
      <c r="C21" s="23" t="s">
        <v>49</v>
      </c>
      <c r="D21" s="38">
        <v>30</v>
      </c>
      <c r="E21" s="42" t="s">
        <v>50</v>
      </c>
      <c r="F21" s="38">
        <v>1</v>
      </c>
      <c r="G21" s="38" t="s">
        <v>51</v>
      </c>
      <c r="H21" s="43">
        <v>1</v>
      </c>
    </row>
  </sheetData>
  <phoneticPr fontId="4" type="noConversion"/>
  <conditionalFormatting sqref="B15">
    <cfRule type="cellIs" dxfId="14" priority="4" operator="lessThan">
      <formula>$B$16</formula>
    </cfRule>
  </conditionalFormatting>
  <conditionalFormatting sqref="B16">
    <cfRule type="cellIs" dxfId="13" priority="8" operator="greaterThan">
      <formula>$B$16</formula>
    </cfRule>
  </conditionalFormatting>
  <conditionalFormatting sqref="C15">
    <cfRule type="cellIs" dxfId="12" priority="3" operator="lessThan">
      <formula>$C$16</formula>
    </cfRule>
  </conditionalFormatting>
  <conditionalFormatting sqref="D15">
    <cfRule type="cellIs" dxfId="11" priority="2" operator="lessThan">
      <formula>$D$16</formula>
    </cfRule>
  </conditionalFormatting>
  <conditionalFormatting sqref="E15">
    <cfRule type="cellIs" dxfId="10" priority="1" operator="lessThan">
      <formula>$E$16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54032-BA49-4E23-A9A3-343DB4C3A5F9}">
  <dimension ref="A1:G21"/>
  <sheetViews>
    <sheetView workbookViewId="0">
      <selection activeCell="E3" sqref="E3"/>
    </sheetView>
  </sheetViews>
  <sheetFormatPr defaultColWidth="8.85546875" defaultRowHeight="15" x14ac:dyDescent="0.25"/>
  <cols>
    <col min="1" max="1" width="65.7109375" style="3" bestFit="1" customWidth="1"/>
    <col min="2" max="2" width="17.28515625" style="3" customWidth="1"/>
    <col min="3" max="3" width="17.140625" style="3" customWidth="1"/>
    <col min="4" max="4" width="15.85546875" style="3" customWidth="1"/>
    <col min="5" max="5" width="15.7109375" style="3" customWidth="1"/>
    <col min="6" max="6" width="7.28515625" style="3" bestFit="1" customWidth="1"/>
    <col min="7" max="7" width="5.7109375" style="3" customWidth="1"/>
    <col min="8" max="8" width="7.28515625" style="3" bestFit="1" customWidth="1"/>
    <col min="9" max="9" width="5" style="3" customWidth="1"/>
    <col min="10" max="16384" width="8.85546875" style="3"/>
  </cols>
  <sheetData>
    <row r="1" spans="1:5" x14ac:dyDescent="0.25">
      <c r="A1" s="23"/>
      <c r="B1" s="74" t="s">
        <v>119</v>
      </c>
      <c r="C1" s="75" t="s">
        <v>118</v>
      </c>
      <c r="D1" s="74" t="s">
        <v>122</v>
      </c>
      <c r="E1" s="74" t="s">
        <v>123</v>
      </c>
    </row>
    <row r="2" spans="1:5" x14ac:dyDescent="0.25">
      <c r="A2" s="12" t="s">
        <v>40</v>
      </c>
      <c r="B2" s="24">
        <v>22.68</v>
      </c>
      <c r="C2" s="24">
        <v>22.66</v>
      </c>
      <c r="D2" s="24">
        <v>19.18</v>
      </c>
      <c r="E2" s="24">
        <v>19.18</v>
      </c>
    </row>
    <row r="3" spans="1:5" x14ac:dyDescent="0.25">
      <c r="A3" s="23" t="s">
        <v>41</v>
      </c>
      <c r="B3" s="28">
        <f>Dados!$B13-10*LOG10((Dados!$B5/IMLOG2(Dados!$B3)/Dados!$B5))</f>
        <v>24.270599913279625</v>
      </c>
      <c r="C3" s="28">
        <f>Dados!$B13-10*LOG10((Dados!$B5/IMLOG2(Dados!$B3)/Dados!$B5))</f>
        <v>24.270599913279625</v>
      </c>
      <c r="D3" s="28">
        <f>Dados!$B13-10*LOG10((Dados!$B5/IMLOG2(Dados!$B3)/Dados!$B5))</f>
        <v>24.270599913279625</v>
      </c>
      <c r="E3" s="28">
        <f>Dados!$B13-10*LOG10((Dados!$B5/IMLOG2(Dados!$B3)/Dados!$B5))</f>
        <v>24.270599913279625</v>
      </c>
    </row>
    <row r="4" spans="1:5" x14ac:dyDescent="0.25">
      <c r="A4" s="12" t="s">
        <v>42</v>
      </c>
      <c r="B4" s="24">
        <f>$B2-$B3</f>
        <v>-1.5905999132796254</v>
      </c>
      <c r="C4" s="24">
        <f>$C2-$C3</f>
        <v>-1.6105999132796249</v>
      </c>
      <c r="D4" s="24">
        <f>$D2-$D3</f>
        <v>-5.0905999132796254</v>
      </c>
      <c r="E4" s="24">
        <f>$D2-$D3</f>
        <v>-5.0905999132796254</v>
      </c>
    </row>
    <row r="5" spans="1:5" x14ac:dyDescent="0.25">
      <c r="A5" s="23"/>
      <c r="B5" s="28">
        <f>10^($B4/10)</f>
        <v>0.69333002616295991</v>
      </c>
      <c r="C5" s="28">
        <f>10^($C4/10)</f>
        <v>0.69014446405508623</v>
      </c>
      <c r="D5" s="28">
        <f>10^($D4/10)</f>
        <v>0.30969914663259213</v>
      </c>
      <c r="E5" s="28">
        <f>10^($E4/10)</f>
        <v>0.30969914663259213</v>
      </c>
    </row>
    <row r="6" spans="1:5" x14ac:dyDescent="0.25">
      <c r="A6" s="12" t="s">
        <v>52</v>
      </c>
      <c r="B6" s="24">
        <f>((1/$B5)+(1/SESR!$B12))^-1</f>
        <v>0.69191779950173626</v>
      </c>
      <c r="C6" s="24">
        <f>((1/$C5)+(1/SESR!$C12))^-1</f>
        <v>0.69000427900947081</v>
      </c>
      <c r="D6" s="24">
        <f>((1/$D5)+(1/SESR!$D12))^-1</f>
        <v>0.30951727321790978</v>
      </c>
      <c r="E6" s="24">
        <f>((1/$E5)+(1/SESR!$E12))^-1</f>
        <v>0.30968094967343907</v>
      </c>
    </row>
    <row r="7" spans="1:5" x14ac:dyDescent="0.25">
      <c r="A7" s="23" t="s">
        <v>43</v>
      </c>
      <c r="B7" s="31">
        <f>0.000000014*Dados!$B1*(Dados!$B2^3.5)*(1/$B6)</f>
        <v>2.4274031850506323E-2</v>
      </c>
      <c r="C7" s="31">
        <f>0.000000014*Dados!$B1*(Dados!$B2^3.5)*(1/$C6)</f>
        <v>2.4341348617646558E-2</v>
      </c>
      <c r="D7" s="31">
        <f>0.000000014*Dados!$B1*(SESR!$B20^3.5)*(1/$D6)</f>
        <v>2.4322102438063754E-2</v>
      </c>
      <c r="E7" s="31">
        <f>0.000000014*Dados!$B1*(SESR!$B20^3.5)*(1/$E6)</f>
        <v>2.4309247415750367E-2</v>
      </c>
    </row>
    <row r="8" spans="1:5" x14ac:dyDescent="0.25">
      <c r="A8" s="12"/>
      <c r="B8" s="26"/>
      <c r="C8" s="1"/>
      <c r="D8" s="19"/>
      <c r="E8" s="19"/>
    </row>
    <row r="9" spans="1:5" x14ac:dyDescent="0.25">
      <c r="A9" s="23" t="s">
        <v>44</v>
      </c>
      <c r="B9" s="28">
        <f>$B2-SESR!$B2</f>
        <v>3.6594000867203746</v>
      </c>
      <c r="C9" s="28">
        <f>$C2-SESR!$C2</f>
        <v>3.6394000867203751</v>
      </c>
      <c r="D9" s="28">
        <f>$D2-SESR!$D2</f>
        <v>0.15940008672037465</v>
      </c>
      <c r="E9" s="28">
        <f>$E2-SESR!$E2</f>
        <v>0.15940008672037465</v>
      </c>
    </row>
    <row r="10" spans="1:5" x14ac:dyDescent="0.25">
      <c r="A10" s="12"/>
      <c r="B10" s="24">
        <f>10^($B9/10)</f>
        <v>2.3224159669498401</v>
      </c>
      <c r="C10" s="24">
        <f>10^($C9/10)</f>
        <v>2.3117454348455562</v>
      </c>
      <c r="D10" s="24">
        <f>10^($D9/10)</f>
        <v>1.037385106585907</v>
      </c>
      <c r="E10" s="24">
        <f>10^($E9/10)</f>
        <v>1.037385106585907</v>
      </c>
    </row>
    <row r="11" spans="1:5" x14ac:dyDescent="0.25">
      <c r="A11" s="23" t="s">
        <v>53</v>
      </c>
      <c r="B11" s="28">
        <f>((1/$B10)+(1/SESR!$B12))^-1</f>
        <v>2.3066459975190607</v>
      </c>
      <c r="C11" s="28">
        <f>((1/$C10)+(1/SESR!$C12))^-1</f>
        <v>2.3101732831070816</v>
      </c>
      <c r="D11" s="28">
        <f>((1/$D10)+(1/SESR!$D12))^-1</f>
        <v>1.0353472652336462</v>
      </c>
      <c r="E11" s="28">
        <f>((1/$E10)+(1/SESR!$E12))^-1</f>
        <v>1.0371809615300249</v>
      </c>
    </row>
    <row r="12" spans="1:5" x14ac:dyDescent="0.25">
      <c r="A12" s="12" t="s">
        <v>45</v>
      </c>
      <c r="B12" s="25">
        <f>0.000000014*Dados!$B1*(Dados!$B2^3.5)*(1/$B11)</f>
        <v>7.2814097703341255E-3</v>
      </c>
      <c r="C12" s="25">
        <f>0.000000014*Dados!$B1*(Dados!$B2^3.5)*(1/$C11)</f>
        <v>7.27029215767226E-3</v>
      </c>
      <c r="D12" s="25">
        <f>0.000000014*Dados!$B1*(SESR!$B20^3.5)*(1/$D11)</f>
        <v>7.2710974166308381E-3</v>
      </c>
      <c r="E12" s="25">
        <f>0.000000014*Dados!$B1*(SESR!$B20^3.5)*(1/$E11)</f>
        <v>7.2582423943174544E-3</v>
      </c>
    </row>
    <row r="13" spans="1:5" x14ac:dyDescent="0.25">
      <c r="A13" s="23"/>
      <c r="B13" s="19"/>
      <c r="C13" s="18"/>
      <c r="D13" s="19"/>
      <c r="E13" s="19"/>
    </row>
    <row r="14" spans="1:5" x14ac:dyDescent="0.25">
      <c r="A14" s="12" t="s">
        <v>46</v>
      </c>
      <c r="B14" s="24">
        <f>ABS((LOG10(Dados!$B12)-LOG10(Dados!$B7))/(LOG10($B7)-LOG10($B12)))</f>
        <v>15.990256205051267</v>
      </c>
      <c r="C14" s="24">
        <f>ABS((LOG10(Dados!$B12)-LOG10(Dados!$B7))/(LOG10($C7)-LOG10($C12)))</f>
        <v>15.933389837603089</v>
      </c>
      <c r="D14" s="24">
        <f>ABS((LOG10(Dados!$B12)-LOG10(Dados!$B7))/(LOG10($D7)-LOG10($D12)))</f>
        <v>15.945288899450718</v>
      </c>
      <c r="E14" s="24">
        <f>ABS((LOG10(Dados!$B12)-LOG10(Dados!$B7))/(LOG10($E7)-LOG10($E12)))</f>
        <v>15.928919688002718</v>
      </c>
    </row>
    <row r="15" spans="1:5" x14ac:dyDescent="0.25">
      <c r="A15" s="23" t="s">
        <v>54</v>
      </c>
      <c r="B15" s="31">
        <f>$B12 * Dados!$B10 ^(1/$B14)+Dados!$B10*Dados!$B11*Dados!$G18/$G21</f>
        <v>1.2773421552808407E-2</v>
      </c>
      <c r="C15" s="31">
        <f>$C12 * Dados!$B10 ^(1/$C14)+Dados!$B10*Dados!$B11*Dados!$G18/$G21</f>
        <v>1.2779527633398149E-2</v>
      </c>
      <c r="D15" s="31">
        <f>$D12 * Dados!$B10 ^(1/$D14)+Dados!$B10*Dados!$B11*Dados!$G18/$G21</f>
        <v>1.2775564512977599E-2</v>
      </c>
      <c r="E15" s="31">
        <f>$E12 * Dados!$B10 ^(1/$E14)+Dados!$B10*Dados!$B11*Dados!$G18/$G21</f>
        <v>1.2760366548252067E-2</v>
      </c>
    </row>
    <row r="16" spans="1:5" x14ac:dyDescent="0.25">
      <c r="A16" s="14" t="s">
        <v>55</v>
      </c>
      <c r="B16" s="27">
        <f>Dados!$B14</f>
        <v>1.2800000000000001E-2</v>
      </c>
      <c r="C16" s="27">
        <f>Dados!$B$14</f>
        <v>1.2800000000000001E-2</v>
      </c>
      <c r="D16" s="27">
        <f>Dados!$B$14</f>
        <v>1.2800000000000001E-2</v>
      </c>
      <c r="E16" s="27">
        <f>Dados!$B$14</f>
        <v>1.2800000000000001E-2</v>
      </c>
    </row>
    <row r="21" spans="2:7" x14ac:dyDescent="0.25">
      <c r="B21" s="23" t="s">
        <v>49</v>
      </c>
      <c r="C21" s="38">
        <v>30</v>
      </c>
      <c r="D21" s="42" t="s">
        <v>50</v>
      </c>
      <c r="E21" s="38">
        <v>1</v>
      </c>
      <c r="F21" s="38" t="s">
        <v>51</v>
      </c>
      <c r="G21" s="43">
        <v>1</v>
      </c>
    </row>
  </sheetData>
  <conditionalFormatting sqref="B15">
    <cfRule type="cellIs" dxfId="9" priority="4" operator="lessThan">
      <formula>$B$16</formula>
    </cfRule>
  </conditionalFormatting>
  <conditionalFormatting sqref="C15">
    <cfRule type="cellIs" dxfId="8" priority="3" operator="lessThan">
      <formula>$C$16</formula>
    </cfRule>
  </conditionalFormatting>
  <conditionalFormatting sqref="D15">
    <cfRule type="cellIs" dxfId="7" priority="2" operator="lessThan">
      <formula>$D$16</formula>
    </cfRule>
  </conditionalFormatting>
  <conditionalFormatting sqref="E15">
    <cfRule type="cellIs" dxfId="6" priority="1" operator="lessThan">
      <formula>$E$16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6AFC2-6CC6-4C34-8BC8-28A3095E0CAE}">
  <dimension ref="A1:C11"/>
  <sheetViews>
    <sheetView workbookViewId="0">
      <selection activeCell="D20" sqref="D20"/>
    </sheetView>
  </sheetViews>
  <sheetFormatPr defaultRowHeight="15" x14ac:dyDescent="0.25"/>
  <cols>
    <col min="1" max="1" width="74.85546875" style="5" customWidth="1"/>
    <col min="2" max="2" width="12" style="6" bestFit="1" customWidth="1"/>
    <col min="3" max="3" width="12.28515625" customWidth="1"/>
    <col min="4" max="4" width="11.7109375" customWidth="1"/>
    <col min="5" max="5" width="10.85546875" customWidth="1"/>
  </cols>
  <sheetData>
    <row r="1" spans="1:3" x14ac:dyDescent="0.25">
      <c r="B1" s="76" t="s">
        <v>127</v>
      </c>
      <c r="C1" s="73" t="s">
        <v>126</v>
      </c>
    </row>
    <row r="2" spans="1:3" x14ac:dyDescent="0.25">
      <c r="A2" s="11" t="s">
        <v>59</v>
      </c>
      <c r="B2" s="59">
        <f>35*EXP(-0.015*Dados!$B17)</f>
        <v>18.640713035241401</v>
      </c>
      <c r="C2" s="59">
        <f>35*EXP(-0.015*Dados!$B17)</f>
        <v>18.640713035241401</v>
      </c>
    </row>
    <row r="3" spans="1:3" x14ac:dyDescent="0.25">
      <c r="A3" s="23" t="s">
        <v>60</v>
      </c>
      <c r="B3" s="49">
        <f>Dados!$B2/(1+Dados!$B2/$B2)</f>
        <v>11.872669470600929</v>
      </c>
      <c r="C3" s="49">
        <f>SESR!$B20/(1+SESR!$B20/$C2)</f>
        <v>10.856872705721905</v>
      </c>
    </row>
    <row r="4" spans="1:3" x14ac:dyDescent="0.25">
      <c r="A4" s="12" t="s">
        <v>56</v>
      </c>
      <c r="B4" s="39">
        <f>Dados!$B18*Dados!$B17^Dados!$B19</f>
        <v>0.23240641983011473</v>
      </c>
      <c r="C4" s="39">
        <f>Dados!$B18*Dados!$B17^Dados!$B19</f>
        <v>0.23240641983011473</v>
      </c>
    </row>
    <row r="5" spans="1:3" x14ac:dyDescent="0.25">
      <c r="A5" s="23" t="s">
        <v>57</v>
      </c>
      <c r="B5" s="59">
        <f>$B4*$B3</f>
        <v>2.7592846054886655</v>
      </c>
      <c r="C5" s="59">
        <f>$C4*$C3</f>
        <v>2.5232069160881188</v>
      </c>
    </row>
    <row r="6" spans="1:3" x14ac:dyDescent="0.25">
      <c r="A6" s="12" t="s">
        <v>58</v>
      </c>
      <c r="B6" s="47">
        <f>Dados!$B15*Dados!$B16</f>
        <v>3.3600000000000001E-3</v>
      </c>
      <c r="C6" s="47">
        <f>Dados!$B15*Dados!$B16</f>
        <v>3.3600000000000001E-3</v>
      </c>
    </row>
    <row r="7" spans="1:3" x14ac:dyDescent="0.25">
      <c r="A7" s="23" t="s">
        <v>61</v>
      </c>
      <c r="B7" s="59">
        <f>B5*0.12*B6^(-0.546-0.043*LOG10(B6))</f>
        <v>4.0502293047915376</v>
      </c>
      <c r="C7" s="59">
        <f>C5*0.12*C6^(-0.546-0.043*LOG10(C6))</f>
        <v>3.7037015222222469</v>
      </c>
    </row>
    <row r="8" spans="1:3" x14ac:dyDescent="0.25">
      <c r="A8" s="44"/>
      <c r="B8" s="48"/>
      <c r="C8" s="48"/>
    </row>
    <row r="9" spans="1:3" x14ac:dyDescent="0.25">
      <c r="A9" s="23" t="s">
        <v>62</v>
      </c>
      <c r="B9" s="60">
        <f>Dados!$B21</f>
        <v>10.6</v>
      </c>
      <c r="C9" s="60">
        <f>Dados!$B21</f>
        <v>10.6</v>
      </c>
    </row>
    <row r="10" spans="1:3" x14ac:dyDescent="0.25">
      <c r="A10" s="23" t="s">
        <v>63</v>
      </c>
      <c r="B10" s="59">
        <f>B9-10*LOG10(1/IMLOG2(Dados!$B3))</f>
        <v>16.620599913279623</v>
      </c>
      <c r="C10" s="59">
        <f>C9-10*LOG10(1/IMLOG2(Dados!$B3))</f>
        <v>16.620599913279623</v>
      </c>
    </row>
    <row r="11" spans="1:3" x14ac:dyDescent="0.25">
      <c r="A11" s="14" t="s">
        <v>64</v>
      </c>
      <c r="B11" s="49">
        <f>B10+B7</f>
        <v>20.670829218071162</v>
      </c>
      <c r="C11" s="49">
        <f>C10+C7</f>
        <v>20.324301435501869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13663-56FD-4C08-98B9-FC2A897E0FEC}">
  <dimension ref="A1:H46"/>
  <sheetViews>
    <sheetView tabSelected="1" zoomScale="85" zoomScaleNormal="85" workbookViewId="0">
      <selection activeCell="B8" sqref="B8"/>
    </sheetView>
  </sheetViews>
  <sheetFormatPr defaultRowHeight="15" x14ac:dyDescent="0.25"/>
  <cols>
    <col min="1" max="1" width="75" style="3" customWidth="1"/>
    <col min="2" max="2" width="18.28515625" style="5" customWidth="1"/>
    <col min="5" max="5" width="6.7109375" customWidth="1"/>
    <col min="6" max="6" width="68.7109375" customWidth="1"/>
    <col min="7" max="7" width="13" customWidth="1"/>
    <col min="8" max="8" width="12.5703125" customWidth="1"/>
  </cols>
  <sheetData>
    <row r="1" spans="1:8" x14ac:dyDescent="0.25">
      <c r="A1" s="11" t="s">
        <v>65</v>
      </c>
      <c r="B1" s="57">
        <f>Dados!$B1</f>
        <v>6</v>
      </c>
    </row>
    <row r="2" spans="1:8" x14ac:dyDescent="0.25">
      <c r="A2" s="23" t="s">
        <v>66</v>
      </c>
      <c r="B2" s="45">
        <f>Dados!$B3</f>
        <v>16</v>
      </c>
    </row>
    <row r="3" spans="1:8" x14ac:dyDescent="0.25">
      <c r="A3" s="12" t="s">
        <v>67</v>
      </c>
      <c r="B3" s="40">
        <f>Dados!$B5</f>
        <v>155</v>
      </c>
    </row>
    <row r="4" spans="1:8" x14ac:dyDescent="0.25">
      <c r="A4" s="23" t="s">
        <v>68</v>
      </c>
      <c r="B4" s="38">
        <f>300000000/($B1*10^9)</f>
        <v>0.05</v>
      </c>
    </row>
    <row r="5" spans="1:8" x14ac:dyDescent="0.25">
      <c r="A5" s="12" t="s">
        <v>69</v>
      </c>
      <c r="B5" s="40">
        <f>Dados!$B2</f>
        <v>32.700000000000003</v>
      </c>
      <c r="F5" s="70" t="s">
        <v>92</v>
      </c>
      <c r="G5" s="71" t="s">
        <v>120</v>
      </c>
      <c r="H5" s="72" t="s">
        <v>121</v>
      </c>
    </row>
    <row r="6" spans="1:8" x14ac:dyDescent="0.25">
      <c r="A6" s="23" t="s">
        <v>70</v>
      </c>
      <c r="B6" s="62">
        <v>100</v>
      </c>
      <c r="F6" s="38" t="s">
        <v>93</v>
      </c>
      <c r="G6" s="56">
        <f>$B20+(2*$B22)-(2*$B26)-$B27-$B23-$B30</f>
        <v>-116.18807562633819</v>
      </c>
      <c r="H6" s="28">
        <f>$B20+(2*$B22)-(2*$B26)-$B27-$B23-$B30</f>
        <v>-116.18807562633819</v>
      </c>
    </row>
    <row r="7" spans="1:8" x14ac:dyDescent="0.25">
      <c r="A7" s="12" t="s">
        <v>71</v>
      </c>
      <c r="B7" s="58">
        <v>1</v>
      </c>
      <c r="F7" s="38" t="s">
        <v>94</v>
      </c>
      <c r="G7" s="67">
        <f>$G6-$B31</f>
        <v>4.8292073052385263</v>
      </c>
      <c r="H7" s="30">
        <f>$H6-$B31</f>
        <v>4.8292073052385263</v>
      </c>
    </row>
    <row r="8" spans="1:8" x14ac:dyDescent="0.25">
      <c r="A8" s="23" t="s">
        <v>72</v>
      </c>
      <c r="B8" s="62">
        <v>0.5</v>
      </c>
      <c r="F8" s="68" t="s">
        <v>125</v>
      </c>
      <c r="G8" s="69">
        <f>$G7-MAX(SESR!$B16, BBER!$B2, ESR!$B2, Chuva!$B11)</f>
        <v>-44.700792694761475</v>
      </c>
      <c r="H8" s="69">
        <f>$H7-MAX(SESR!$C16, BBER!$C2, ESR!$C2, Chuva!$C11)</f>
        <v>-43.310792694761474</v>
      </c>
    </row>
    <row r="9" spans="1:8" x14ac:dyDescent="0.25">
      <c r="A9" s="12" t="s">
        <v>73</v>
      </c>
      <c r="B9" s="58">
        <v>26</v>
      </c>
      <c r="F9" s="63"/>
      <c r="G9" s="63"/>
      <c r="H9" s="63"/>
    </row>
    <row r="10" spans="1:8" x14ac:dyDescent="0.25">
      <c r="A10" s="23" t="s">
        <v>74</v>
      </c>
      <c r="B10" s="38">
        <f>$B5-$B9</f>
        <v>6.7000000000000028</v>
      </c>
      <c r="F10" s="70" t="s">
        <v>95</v>
      </c>
      <c r="G10" s="71" t="s">
        <v>120</v>
      </c>
      <c r="H10" s="73" t="s">
        <v>121</v>
      </c>
    </row>
    <row r="11" spans="1:8" x14ac:dyDescent="0.25">
      <c r="A11" s="12" t="s">
        <v>75</v>
      </c>
      <c r="B11" s="40">
        <f>1320.7</f>
        <v>1320.7</v>
      </c>
      <c r="F11" s="38" t="s">
        <v>96</v>
      </c>
      <c r="G11" s="56">
        <f>$B20+2*$B22-2*$B26-$B27-$B24-$B25+2*$B22</f>
        <v>-127.26142329996831</v>
      </c>
      <c r="H11" s="28">
        <f>$B20+2*$B22-2*$B26-$B27-$B24-$B25+2*$B22</f>
        <v>-127.26142329996831</v>
      </c>
    </row>
    <row r="12" spans="1:8" x14ac:dyDescent="0.25">
      <c r="A12" s="23" t="s">
        <v>76</v>
      </c>
      <c r="B12" s="38">
        <v>827.75</v>
      </c>
      <c r="F12" s="38" t="s">
        <v>94</v>
      </c>
      <c r="G12" s="67">
        <f>$G11-$B31</f>
        <v>-6.2441403683915979</v>
      </c>
      <c r="H12" s="30">
        <f>$H11-$B31</f>
        <v>-6.2441403683915979</v>
      </c>
    </row>
    <row r="13" spans="1:8" x14ac:dyDescent="0.25">
      <c r="A13" s="12" t="s">
        <v>77</v>
      </c>
      <c r="B13" s="40">
        <f>$B11-$B12</f>
        <v>492.95000000000005</v>
      </c>
      <c r="F13" s="68" t="s">
        <v>125</v>
      </c>
      <c r="G13" s="69">
        <f>$G12-MAX(SESR!$B16, BBER!$B2, ESR!$B2, Chuva!$B11)</f>
        <v>-55.774140368391599</v>
      </c>
      <c r="H13" s="69">
        <f>$H12-MAX(SESR!$B16, BBER!$B2, ESR!$B2, Chuva!$B11)</f>
        <v>-55.774140368391599</v>
      </c>
    </row>
    <row r="14" spans="1:8" x14ac:dyDescent="0.25">
      <c r="A14" s="11" t="s">
        <v>78</v>
      </c>
      <c r="B14" s="57" t="s">
        <v>117</v>
      </c>
      <c r="F14" s="63"/>
      <c r="G14" s="63"/>
      <c r="H14" s="63"/>
    </row>
    <row r="15" spans="1:8" x14ac:dyDescent="0.25">
      <c r="A15" s="23" t="s">
        <v>79</v>
      </c>
      <c r="B15" s="62">
        <f>0.9/100</f>
        <v>9.0000000000000011E-3</v>
      </c>
      <c r="F15" s="70" t="s">
        <v>97</v>
      </c>
      <c r="G15" s="71" t="s">
        <v>120</v>
      </c>
      <c r="H15" s="73" t="s">
        <v>121</v>
      </c>
    </row>
    <row r="16" spans="1:8" x14ac:dyDescent="0.25">
      <c r="A16" s="12" t="s">
        <v>80</v>
      </c>
      <c r="B16" s="58">
        <f>0.007+0.003</f>
        <v>0.01</v>
      </c>
      <c r="F16" s="38" t="s">
        <v>98</v>
      </c>
      <c r="G16" s="56">
        <f>MIN(($B20+2*$B22-2*$B26-$B27-$B24),($B20+2*$B22-2*$B26-$B27-B25))</f>
        <v>-68.683497059323884</v>
      </c>
      <c r="H16" s="28">
        <f>MIN(($B20+2*$B22-2*$B26-$B27-$B24),($B20+2*$B22-2*$B26-$B27-C25))</f>
        <v>-68.683497059323884</v>
      </c>
    </row>
    <row r="17" spans="1:8" x14ac:dyDescent="0.25">
      <c r="A17" s="23" t="s">
        <v>81</v>
      </c>
      <c r="B17" s="62">
        <v>10</v>
      </c>
      <c r="F17" s="38" t="s">
        <v>94</v>
      </c>
      <c r="G17" s="56">
        <f>$G16-$B31</f>
        <v>52.333785872252832</v>
      </c>
      <c r="H17" s="28">
        <f>$H16-$B31</f>
        <v>52.333785872252832</v>
      </c>
    </row>
    <row r="18" spans="1:8" x14ac:dyDescent="0.25">
      <c r="A18" s="12" t="s">
        <v>82</v>
      </c>
      <c r="B18" s="40">
        <f>6.5+0.1*$B1</f>
        <v>7.1</v>
      </c>
      <c r="F18" s="68" t="s">
        <v>125</v>
      </c>
      <c r="G18" s="69">
        <f>$G17-MAX(SESR!$D16, BBER!$D2, ESR!$D2, Chuva!$C11)</f>
        <v>7.1837858722528338</v>
      </c>
      <c r="H18" s="69">
        <f>$H17-MAX(SESR!$E16, BBER!$E2, ESR!$E2, Chuva!$C11)</f>
        <v>7.9137858722528307</v>
      </c>
    </row>
    <row r="19" spans="1:8" x14ac:dyDescent="0.25">
      <c r="A19" s="23" t="s">
        <v>111</v>
      </c>
      <c r="B19" s="38">
        <f>2.5</f>
        <v>2.5</v>
      </c>
    </row>
    <row r="20" spans="1:8" x14ac:dyDescent="0.25">
      <c r="A20" s="14" t="s">
        <v>83</v>
      </c>
      <c r="B20" s="41">
        <f>10*LOG10($B19)</f>
        <v>3.9794000867203758</v>
      </c>
    </row>
    <row r="21" spans="1:8" x14ac:dyDescent="0.25">
      <c r="A21" s="12"/>
      <c r="B21" s="40"/>
    </row>
    <row r="22" spans="1:8" x14ac:dyDescent="0.25">
      <c r="A22" s="11" t="s">
        <v>84</v>
      </c>
      <c r="B22" s="61">
        <f>20*LOG10(PI()*$B7*$B1/0.3)+10*LOG10($B8)</f>
        <v>32.953297410522488</v>
      </c>
    </row>
    <row r="23" spans="1:8" x14ac:dyDescent="0.25">
      <c r="A23" s="23" t="s">
        <v>85</v>
      </c>
      <c r="B23" s="59">
        <f>92.4 + 20*LOG10($B1) +20*LOG10($B5)</f>
        <v>138.2539800608786</v>
      </c>
    </row>
    <row r="24" spans="1:8" x14ac:dyDescent="0.25">
      <c r="A24" s="12" t="s">
        <v>86</v>
      </c>
      <c r="B24" s="39">
        <f>92.4 + 20*LOG10($B1)+20*LOG10($B9)</f>
        <v>136.26249196708923</v>
      </c>
    </row>
    <row r="25" spans="1:8" x14ac:dyDescent="0.25">
      <c r="A25" s="23" t="s">
        <v>87</v>
      </c>
      <c r="B25" s="59">
        <f>92.4 + 20*LOG10($B1)+20*LOG10($B10)</f>
        <v>124.48452106168942</v>
      </c>
    </row>
    <row r="26" spans="1:8" x14ac:dyDescent="0.25">
      <c r="A26" s="12" t="s">
        <v>99</v>
      </c>
      <c r="B26" s="39">
        <f>$B15*($B6+$B17)</f>
        <v>0.9900000000000001</v>
      </c>
    </row>
    <row r="27" spans="1:8" x14ac:dyDescent="0.25">
      <c r="A27" s="23" t="s">
        <v>88</v>
      </c>
      <c r="B27" s="59">
        <f>$B16*$B5</f>
        <v>0.32700000000000001</v>
      </c>
    </row>
    <row r="28" spans="1:8" x14ac:dyDescent="0.25">
      <c r="A28" s="12" t="s">
        <v>89</v>
      </c>
      <c r="B28" s="39">
        <f>MAX(($B16*$B9),$B16*$B10)</f>
        <v>0.26</v>
      </c>
    </row>
    <row r="29" spans="1:8" x14ac:dyDescent="0.25">
      <c r="A29" s="23" t="s">
        <v>100</v>
      </c>
      <c r="B29" s="59">
        <f>$B13*10^-3*SQRT((2*$B5)/($B4*10^-3*$B9*$B10))</f>
        <v>42.71522197871807</v>
      </c>
    </row>
    <row r="30" spans="1:8" x14ac:dyDescent="0.25">
      <c r="A30" s="23" t="s">
        <v>90</v>
      </c>
      <c r="B30" s="59">
        <f>6.9 + 20*LOG10(SQRT(($B29-0.1)^2+1)+$B29-0.1)</f>
        <v>45.513090473224928</v>
      </c>
    </row>
    <row r="31" spans="1:8" x14ac:dyDescent="0.25">
      <c r="A31" s="14" t="s">
        <v>91</v>
      </c>
      <c r="B31" s="49">
        <f>-204+10*LOG10($B3*10^6/IMLOG2($B2))+$B18</f>
        <v>-121.01728293157672</v>
      </c>
    </row>
    <row r="32" spans="1:8" x14ac:dyDescent="0.25">
      <c r="A32" s="32"/>
      <c r="B32" s="4"/>
    </row>
    <row r="33" spans="1:2" x14ac:dyDescent="0.25">
      <c r="A33" s="12"/>
      <c r="B33" s="4"/>
    </row>
    <row r="34" spans="1:2" x14ac:dyDescent="0.25">
      <c r="A34" s="12"/>
      <c r="B34" s="4"/>
    </row>
    <row r="35" spans="1:2" x14ac:dyDescent="0.25">
      <c r="A35" s="12"/>
      <c r="B35" s="4"/>
    </row>
    <row r="36" spans="1:2" x14ac:dyDescent="0.25">
      <c r="A36" s="32"/>
      <c r="B36" s="4"/>
    </row>
    <row r="37" spans="1:2" x14ac:dyDescent="0.25">
      <c r="A37" s="12"/>
      <c r="B37" s="4"/>
    </row>
    <row r="38" spans="1:2" x14ac:dyDescent="0.25">
      <c r="A38" s="12"/>
      <c r="B38" s="4"/>
    </row>
    <row r="39" spans="1:2" x14ac:dyDescent="0.25">
      <c r="A39" s="12"/>
      <c r="B39" s="4"/>
    </row>
    <row r="40" spans="1:2" x14ac:dyDescent="0.25">
      <c r="A40" s="32"/>
      <c r="B40" s="4"/>
    </row>
    <row r="41" spans="1:2" x14ac:dyDescent="0.25">
      <c r="A41" s="12"/>
      <c r="B41" s="4"/>
    </row>
    <row r="42" spans="1:2" x14ac:dyDescent="0.25">
      <c r="A42" s="12"/>
      <c r="B42" s="4"/>
    </row>
    <row r="43" spans="1:2" x14ac:dyDescent="0.25">
      <c r="B43" s="4"/>
    </row>
    <row r="44" spans="1:2" x14ac:dyDescent="0.25">
      <c r="B44" s="4"/>
    </row>
    <row r="45" spans="1:2" x14ac:dyDescent="0.25">
      <c r="B45" s="4"/>
    </row>
    <row r="46" spans="1:2" x14ac:dyDescent="0.25">
      <c r="B46" s="4"/>
    </row>
  </sheetData>
  <conditionalFormatting sqref="G8:H8">
    <cfRule type="cellIs" dxfId="5" priority="1" operator="lessThan">
      <formula>3</formula>
    </cfRule>
    <cfRule type="cellIs" dxfId="4" priority="4" operator="greaterThan">
      <formula>3</formula>
    </cfRule>
  </conditionalFormatting>
  <conditionalFormatting sqref="G13:H13">
    <cfRule type="cellIs" dxfId="3" priority="2" operator="lessThan">
      <formula>3</formula>
    </cfRule>
    <cfRule type="cellIs" dxfId="2" priority="5" operator="greaterThan">
      <formula>3</formula>
    </cfRule>
  </conditionalFormatting>
  <conditionalFormatting sqref="G18:H18">
    <cfRule type="cellIs" dxfId="1" priority="3" operator="lessThan">
      <formula>3</formula>
    </cfRule>
    <cfRule type="cellIs" dxfId="0" priority="6" operator="greaterThan">
      <formula>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15A8-158F-4867-9926-7D9009317B0D}">
  <dimension ref="A1:E9"/>
  <sheetViews>
    <sheetView workbookViewId="0">
      <selection activeCell="E15" sqref="E15"/>
    </sheetView>
  </sheetViews>
  <sheetFormatPr defaultRowHeight="15" x14ac:dyDescent="0.25"/>
  <cols>
    <col min="1" max="1" width="56.5703125" customWidth="1"/>
    <col min="2" max="2" width="9" style="5" bestFit="1" customWidth="1"/>
    <col min="4" max="4" width="19.85546875" bestFit="1" customWidth="1"/>
    <col min="5" max="5" width="7" bestFit="1" customWidth="1"/>
  </cols>
  <sheetData>
    <row r="1" spans="1:5" x14ac:dyDescent="0.25">
      <c r="A1" s="79" t="s">
        <v>101</v>
      </c>
      <c r="B1"/>
    </row>
    <row r="2" spans="1:5" x14ac:dyDescent="0.25">
      <c r="A2" s="23" t="s">
        <v>116</v>
      </c>
      <c r="B2" s="45">
        <f>SQRT(2*(E3*E2)*10^3*(CN_CIP!B6+ 618.9))*10^-3+SQRT(2*(E3*E2)*10^3*(CN_CIP!B6+755.8))*10^-3</f>
        <v>231.65386637546573</v>
      </c>
      <c r="D2" s="51" t="s">
        <v>112</v>
      </c>
      <c r="E2" s="54">
        <v>6370</v>
      </c>
    </row>
    <row r="3" spans="1:5" x14ac:dyDescent="0.25">
      <c r="A3" s="23"/>
      <c r="B3" s="78"/>
      <c r="D3" s="52" t="s">
        <v>113</v>
      </c>
      <c r="E3" s="47">
        <v>1.34</v>
      </c>
    </row>
    <row r="4" spans="1:5" x14ac:dyDescent="0.25">
      <c r="A4" s="79" t="s">
        <v>102</v>
      </c>
      <c r="B4"/>
      <c r="D4" s="53" t="s">
        <v>114</v>
      </c>
      <c r="E4" s="55">
        <f>E3*E2</f>
        <v>8535.8000000000011</v>
      </c>
    </row>
    <row r="5" spans="1:5" x14ac:dyDescent="0.25">
      <c r="A5" s="50" t="s">
        <v>115</v>
      </c>
      <c r="B5" s="45">
        <f>SQRT(CN_CIP!B4*B2*10^3/4)</f>
        <v>53.811460951114512</v>
      </c>
    </row>
    <row r="6" spans="1:5" x14ac:dyDescent="0.25">
      <c r="A6" s="14" t="s">
        <v>116</v>
      </c>
      <c r="B6" s="46">
        <f>(SQRT(2*E4*1000*((CN_CIP!B6+ 618.9)-B5))+SQRT(2*E4*1000*((CN_CIP!B6+755.8)-B5)))/1000</f>
        <v>223.56525797848724</v>
      </c>
    </row>
    <row r="9" spans="1:5" x14ac:dyDescent="0.25">
      <c r="B9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03C06-7024-476C-8DFE-5E396580F28E}">
  <dimension ref="A1:D5"/>
  <sheetViews>
    <sheetView zoomScaleNormal="100" workbookViewId="0">
      <selection activeCell="E15" sqref="E15"/>
    </sheetView>
  </sheetViews>
  <sheetFormatPr defaultColWidth="8.85546875" defaultRowHeight="15" x14ac:dyDescent="0.25"/>
  <cols>
    <col min="1" max="1" width="18.28515625" style="1" bestFit="1" customWidth="1"/>
    <col min="2" max="2" width="12" style="1" bestFit="1" customWidth="1"/>
    <col min="3" max="3" width="8.28515625" style="1" bestFit="1" customWidth="1"/>
    <col min="4" max="4" width="10.28515625" style="1" bestFit="1" customWidth="1"/>
    <col min="5" max="16384" width="8.85546875" style="1"/>
  </cols>
  <sheetData>
    <row r="1" spans="1:4" x14ac:dyDescent="0.25">
      <c r="A1" s="82" t="s">
        <v>103</v>
      </c>
      <c r="B1" s="82" t="s">
        <v>104</v>
      </c>
      <c r="C1" s="83" t="s">
        <v>105</v>
      </c>
      <c r="D1" s="84" t="s">
        <v>106</v>
      </c>
    </row>
    <row r="2" spans="1:4" x14ac:dyDescent="0.25">
      <c r="A2" s="7" t="s">
        <v>107</v>
      </c>
      <c r="B2" s="9">
        <f>1/IMLOG2(Dados!B3)*_xlfn.ERFC.PRECISE(C2)</f>
        <v>3.4272961509818254E-3</v>
      </c>
      <c r="C2" s="10">
        <f>SIN(PI()/Dados!B3)*SQRT(IMLOG2(Dados!B3)*10^(D5/10))</f>
        <v>1.7428729166410462</v>
      </c>
      <c r="D2" s="8">
        <v>14.31</v>
      </c>
    </row>
    <row r="4" spans="1:4" x14ac:dyDescent="0.25">
      <c r="A4" s="82" t="s">
        <v>108</v>
      </c>
      <c r="B4" s="82" t="s">
        <v>104</v>
      </c>
      <c r="C4" s="83" t="s">
        <v>105</v>
      </c>
      <c r="D4" s="84" t="s">
        <v>106</v>
      </c>
    </row>
    <row r="5" spans="1:4" x14ac:dyDescent="0.25">
      <c r="A5" s="7" t="s">
        <v>109</v>
      </c>
      <c r="B5" s="9">
        <f>2/IMLOG2(Dados!B3)*(SQRT(Dados!B3)-1)/SQRT(Dados!B3)*_xlfn.ERFC.PRECISE(C5)</f>
        <v>2.4233785466315806E-5</v>
      </c>
      <c r="C5" s="10">
        <f>SQRT(3/2*(IMLOG2(Dados!B3)/(Dados!B3-1))*10^(D5/10))</f>
        <v>2.8250750892455092</v>
      </c>
      <c r="D5" s="8">
        <v>13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b3d06-66a0-4ab4-b678-dada902cf9d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0EA6D94315B34CBCF2EC0A8F50667C" ma:contentTypeVersion="14" ma:contentTypeDescription="Create a new document." ma:contentTypeScope="" ma:versionID="605d642a688a0e30f2748b0050a1fb35">
  <xsd:schema xmlns:xsd="http://www.w3.org/2001/XMLSchema" xmlns:xs="http://www.w3.org/2001/XMLSchema" xmlns:p="http://schemas.microsoft.com/office/2006/metadata/properties" xmlns:ns3="1193c377-5082-427b-a11e-4fb9ef714489" xmlns:ns4="070b3d06-66a0-4ab4-b678-dada902cf9d7" targetNamespace="http://schemas.microsoft.com/office/2006/metadata/properties" ma:root="true" ma:fieldsID="3cf1fcb6657f9840481b7ed8223fefda" ns3:_="" ns4:_="">
    <xsd:import namespace="1193c377-5082-427b-a11e-4fb9ef714489"/>
    <xsd:import namespace="070b3d06-66a0-4ab4-b678-dada902cf9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93c377-5082-427b-a11e-4fb9ef71448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b3d06-66a0-4ab4-b678-dada902cf9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i Y m Y V l 3 e W I G k A A A A 9 g A A A B I A H A B D b 2 5 m a W c v U G F j a 2 F n Z S 5 4 b W w g o h g A K K A U A A A A A A A A A A A A A A A A A A A A A A A A A A A A h Y 8 x D o I w G I W v Q r r T l q K J I T 9 l c J W E R G N c m 1 q h E Q q h x X I 3 B 4 / k F c Q o 6 u b 4 v v c N 7 9 2 v N 8 j G p g 4 u q r e 6 N S m K M E W B M r I 9 a l O m a H C n c I U y D o W Q Z 1 G q Y J K N T U Z 7 T F H l X J c Q 4 r 3 H P s Z t X x J G a U Q O + W Y r K 9 U I 9 J H 1 f z n U x j p h p E I c 9 q 8 x n O E o W m K 2 i D E F M k P I t f k K b N r 7 b H 8 g r I f a D b 3 i n Q u L H Z A 5 A n l / 4 A 9 Q S w M E F A A C A A g A i Y m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J m F Y o i k e 4 D g A A A B E A A A A T A B w A R m 9 y b X V s Y X M v U 2 V j d G l v b j E u b S C i G A A o o B Q A A A A A A A A A A A A A A A A A A A A A A A A A A A A r T k 0 u y c z P U w i G 0 I b W A F B L A Q I t A B Q A A g A I A I m J m F Z d 3 l i B p A A A A P Y A A A A S A A A A A A A A A A A A A A A A A A A A A A B D b 2 5 m a W c v U G F j a 2 F n Z S 5 4 b W x Q S w E C L Q A U A A I A C A C J i Z h W D 8 r p q 6 Q A A A D p A A A A E w A A A A A A A A A A A A A A A A D w A A A A W 0 N v b n R l b n R f V H l w Z X N d L n h t b F B L A Q I t A B Q A A g A I A I m J m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V d N g f t q 0 T b a 5 w l / o v S O R A A A A A A I A A A A A A B B m A A A A A Q A A I A A A A I 2 Z 2 k b w q h g 6 D 2 5 l h T / O b m U 1 Q P + l F j N n 9 i v H C A a 5 j m G 0 A A A A A A 6 A A A A A A g A A I A A A A H v X 2 s + s x c 6 a 9 L a r r Q 6 C h D 6 e Y P p A i B G V W G 5 b a T Z 8 F f w X U A A A A E d Q E l 5 a W n 4 2 j m + W k N 4 C N E V Q n w x Q d Z E C j N l O v i K N T B 7 y 6 b y 8 d 7 Q c w e 4 m p a L j r B C a g y U + S J N C / I 2 0 7 I e k S u j z / J f Z N i C y 2 W y 4 v 3 C u o G D l C U S O Q A A A A G c v d K X R N x 7 W g Y P g R 4 A r e x X g s u M + n r n y e q T i R H g R T k F + D o e A t J a W S p / V D m B C h K L m / l Q 4 J o Z E x s R Q x l B 9 X Z R L b W s = < / D a t a M a s h u p > 
</file>

<file path=customXml/itemProps1.xml><?xml version="1.0" encoding="utf-8"?>
<ds:datastoreItem xmlns:ds="http://schemas.openxmlformats.org/officeDocument/2006/customXml" ds:itemID="{AD411CAB-325B-4DAB-BFE9-EDCD59CBD4D7}">
  <ds:schemaRefs>
    <ds:schemaRef ds:uri="http://purl.org/dc/elements/1.1/"/>
    <ds:schemaRef ds:uri="http://schemas.openxmlformats.org/package/2006/metadata/core-properties"/>
    <ds:schemaRef ds:uri="http://purl.org/dc/dcmitype/"/>
    <ds:schemaRef ds:uri="070b3d06-66a0-4ab4-b678-dada902cf9d7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1193c377-5082-427b-a11e-4fb9ef714489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9E2DF53-FCD9-4D08-887C-E8AC405A4D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4C6DEC-9909-4E5C-8CAF-EA972FC351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93c377-5082-427b-a11e-4fb9ef714489"/>
    <ds:schemaRef ds:uri="070b3d06-66a0-4ab4-b678-dada902cf9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79A3AF4-8492-4EF2-9BEE-FC84D02064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Dados</vt:lpstr>
      <vt:lpstr>percurso</vt:lpstr>
      <vt:lpstr>SESR</vt:lpstr>
      <vt:lpstr>BBER</vt:lpstr>
      <vt:lpstr>ESR</vt:lpstr>
      <vt:lpstr>Chuva</vt:lpstr>
      <vt:lpstr>CN_CIP</vt:lpstr>
      <vt:lpstr>DistanciaMaxima</vt:lpstr>
      <vt:lpstr>Eb_N0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Carvalho</dc:creator>
  <cp:lastModifiedBy>Mariana Carvalho</cp:lastModifiedBy>
  <dcterms:created xsi:type="dcterms:W3CDTF">2023-04-19T11:26:48Z</dcterms:created>
  <dcterms:modified xsi:type="dcterms:W3CDTF">2023-06-09T15:54:37Z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0x010100740EA6D94315B34CBCF2EC0A8F50667C</vt:lpwstr>
  </property>
</Properties>
</file>