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Volumes/S/Fire_Water_Gabrielle/FieldData/Snow/Winter2019/"/>
    </mc:Choice>
  </mc:AlternateContent>
  <bookViews>
    <workbookView xWindow="1960" yWindow="4000" windowWidth="27860" windowHeight="17600" tabRatio="500"/>
  </bookViews>
  <sheets>
    <sheet name="Pivot Table Feb 2019" sheetId="6" r:id="rId1"/>
    <sheet name="Depths at weather stations " sheetId="10" r:id="rId2"/>
    <sheet name="Notes" sheetId="9" r:id="rId3"/>
    <sheet name="Dat_Feb_24_2019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50000" concurrentCalc="0"/>
  <pivotCaches>
    <pivotCache cacheId="18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9" l="1"/>
  <c r="S20" i="6"/>
  <c r="S19" i="6"/>
  <c r="R20" i="6"/>
  <c r="R19" i="6"/>
  <c r="O20" i="6"/>
  <c r="O19" i="6"/>
  <c r="N20" i="6"/>
  <c r="N19" i="6"/>
  <c r="K20" i="6"/>
  <c r="J20" i="6"/>
  <c r="G20" i="6"/>
  <c r="F20" i="6"/>
  <c r="D20" i="6"/>
  <c r="B20" i="6"/>
  <c r="S18" i="6"/>
  <c r="R18" i="6"/>
  <c r="O18" i="6"/>
  <c r="N18" i="6"/>
  <c r="L18" i="6"/>
  <c r="I18" i="6"/>
  <c r="H18" i="6"/>
  <c r="C18" i="6"/>
  <c r="B18" i="6"/>
  <c r="I2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</calcChain>
</file>

<file path=xl/sharedStrings.xml><?xml version="1.0" encoding="utf-8"?>
<sst xmlns="http://schemas.openxmlformats.org/spreadsheetml/2006/main" count="443" uniqueCount="88">
  <si>
    <t>lon_UTM11</t>
  </si>
  <si>
    <t>lat_UTM11</t>
  </si>
  <si>
    <t>cm_mid</t>
  </si>
  <si>
    <t>cm</t>
  </si>
  <si>
    <t>Tree_Open</t>
  </si>
  <si>
    <t>Average_cm</t>
  </si>
  <si>
    <t>Grid</t>
  </si>
  <si>
    <t>Observed Fire Severity</t>
  </si>
  <si>
    <t>Dominant Vegetation</t>
  </si>
  <si>
    <t>DistE</t>
  </si>
  <si>
    <t>DistN</t>
  </si>
  <si>
    <t>open</t>
  </si>
  <si>
    <t>C</t>
  </si>
  <si>
    <t>High</t>
  </si>
  <si>
    <t>Meadow</t>
  </si>
  <si>
    <t>drip edge</t>
  </si>
  <si>
    <t>dead</t>
  </si>
  <si>
    <t>live edge</t>
  </si>
  <si>
    <t>B</t>
  </si>
  <si>
    <t>Shrub</t>
  </si>
  <si>
    <t>live</t>
  </si>
  <si>
    <t>A</t>
  </si>
  <si>
    <t>Low</t>
  </si>
  <si>
    <t>Forest</t>
  </si>
  <si>
    <t>stump (129)</t>
  </si>
  <si>
    <t>192 (stump)</t>
  </si>
  <si>
    <t>130 (log)</t>
  </si>
  <si>
    <t>174 (stump)</t>
  </si>
  <si>
    <t>174 (log)</t>
  </si>
  <si>
    <t>175 (log)</t>
  </si>
  <si>
    <t>not recorded</t>
  </si>
  <si>
    <t>45 (log)</t>
  </si>
  <si>
    <t>38 (log)</t>
  </si>
  <si>
    <t>85 (log)</t>
  </si>
  <si>
    <t>80 (log)</t>
  </si>
  <si>
    <t>60 (tree well)</t>
  </si>
  <si>
    <t>84 (tree well)</t>
  </si>
  <si>
    <t>45 (tree well)</t>
  </si>
  <si>
    <t>105 (log)</t>
  </si>
  <si>
    <t>100 (log)</t>
  </si>
  <si>
    <t>25(log)</t>
  </si>
  <si>
    <t>25 (log)</t>
  </si>
  <si>
    <t>143 (log)</t>
  </si>
  <si>
    <t>200 (log)</t>
  </si>
  <si>
    <t>168 (log)</t>
  </si>
  <si>
    <t>180(log)</t>
  </si>
  <si>
    <t>145 (log)</t>
  </si>
  <si>
    <t>dead drip</t>
  </si>
  <si>
    <t>124 (tree well)</t>
  </si>
  <si>
    <t>Row Labels</t>
  </si>
  <si>
    <t>Grand Total</t>
  </si>
  <si>
    <t>Average of Average_cm</t>
  </si>
  <si>
    <t>Column Labels</t>
  </si>
  <si>
    <t>Total Average of Average_cm</t>
  </si>
  <si>
    <t>StdDev of Average_cm</t>
  </si>
  <si>
    <t>Total StdDev of Average_cm</t>
  </si>
  <si>
    <t>(blank)</t>
  </si>
  <si>
    <t>station A mean density</t>
  </si>
  <si>
    <t>station C mean density</t>
  </si>
  <si>
    <t>Same table as above but depth is multiplied by density to get SWE</t>
  </si>
  <si>
    <t>Snow depth :</t>
  </si>
  <si>
    <t>Density msmts taken by:</t>
  </si>
  <si>
    <t>Data entered by Katya Rakhmatulina</t>
  </si>
  <si>
    <t>The "Tree_Open" column denotes whether the center measurement at each grid point was in the open, under a canopy, or under the drip edge of a tree.</t>
  </si>
  <si>
    <t>5 measurements were taken at each GPS location. The mean snow depth, in cm, is given in the column labeled "Average_cm".</t>
  </si>
  <si>
    <t>Observed fire severity is the fire severity of the area around each measurement, according to field notes (e.g. mostly live trees is low severity, all burned stumps is high severity).</t>
  </si>
  <si>
    <t>The "Dominant Vegetation" column is meant to divide measurements by the vegetation patches they fall within. A single tree does not constitute a "forest" patch, but a group of 5 or more large trees does. This designation is somewhat subjective.</t>
  </si>
  <si>
    <t>The latitude and longitude of each measurement point uses the NAD83 UTM Zone 11N datum.</t>
  </si>
  <si>
    <t>Each grid (A, B, and C) is centered on the weather station with the same letter designation.</t>
  </si>
  <si>
    <t>Peregoy Meadows Snow Course Info from nohrsc.noaa.gov</t>
  </si>
  <si>
    <t>Date</t>
  </si>
  <si>
    <t>Modeled SWE</t>
  </si>
  <si>
    <t>Observed SWE</t>
  </si>
  <si>
    <t>Modeled Depth</t>
  </si>
  <si>
    <t>Our SWE (closest date)</t>
  </si>
  <si>
    <t>Our Depth (closest date)</t>
  </si>
  <si>
    <t>NA</t>
  </si>
  <si>
    <t>Ostrander Lake Snow Course Info from nohrsc.noaa.gov</t>
  </si>
  <si>
    <t>Measurements taken 2/24/19</t>
  </si>
  <si>
    <t>Katya Rakhmatulina, Alec Arditti, Jacob Levine</t>
  </si>
  <si>
    <t>Depth msmts. Taken by: Katya Rakhmatulina,  Jacob levine, Weston Slaughter, Alec Arditti, Julia Evered</t>
  </si>
  <si>
    <t>Observed Depth [in]</t>
  </si>
  <si>
    <t>119.34 [cm]</t>
  </si>
  <si>
    <t>27.03 [cm]</t>
  </si>
  <si>
    <t>There is a big range of both observed and modeled snow depths between different NOAA stations, we are somewhere in the range though</t>
  </si>
  <si>
    <t>Depth adjacent to weather station C:</t>
  </si>
  <si>
    <t>Depth adjacent to weather station A:</t>
  </si>
  <si>
    <t>Depth adjacent to weather station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</si>
</sst>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2" borderId="6" xfId="0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/>
    <xf numFmtId="14" fontId="0" fillId="0" borderId="0" xfId="0" applyNumberFormat="1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Relationship Id="rId10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Snow</a:t>
            </a:r>
            <a:r>
              <a:rPr lang="en-US" sz="1600" b="1" baseline="0">
                <a:solidFill>
                  <a:sysClr val="windowText" lastClr="000000"/>
                </a:solidFill>
              </a:rPr>
              <a:t> Depth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 20, 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[1]PivotTable!$B$24:$D$24</c:f>
                <c:numCache>
                  <c:formatCode>General</c:formatCode>
                  <c:ptCount val="3"/>
                  <c:pt idx="0">
                    <c:v>31.0</c:v>
                  </c:pt>
                  <c:pt idx="1">
                    <c:v>22.0</c:v>
                  </c:pt>
                  <c:pt idx="2">
                    <c:v>35.0</c:v>
                  </c:pt>
                </c:numCache>
              </c:numRef>
            </c:plus>
            <c:minus>
              <c:numRef>
                <c:f>[1]PivotTable!$B$24:$D$24</c:f>
                <c:numCache>
                  <c:formatCode>General</c:formatCode>
                  <c:ptCount val="3"/>
                  <c:pt idx="0">
                    <c:v>31.0</c:v>
                  </c:pt>
                  <c:pt idx="1">
                    <c:v>22.0</c:v>
                  </c:pt>
                  <c:pt idx="2">
                    <c:v>35.0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[1]PivotTable!$B$22:$D$22</c:f>
              <c:strCache>
                <c:ptCount val="3"/>
                <c:pt idx="0">
                  <c:v>Station A - Closed Canopy</c:v>
                </c:pt>
                <c:pt idx="1">
                  <c:v>Station B - Shrubs</c:v>
                </c:pt>
                <c:pt idx="2">
                  <c:v>Station C - Meadow</c:v>
                </c:pt>
              </c:strCache>
            </c:strRef>
          </c:cat>
          <c:val>
            <c:numRef>
              <c:f>[1]PivotTable!$B$23:$D$23</c:f>
              <c:numCache>
                <c:formatCode>General</c:formatCode>
                <c:ptCount val="3"/>
                <c:pt idx="0">
                  <c:v>33.0</c:v>
                </c:pt>
                <c:pt idx="1">
                  <c:v>68.0</c:v>
                </c:pt>
                <c:pt idx="2">
                  <c:v>88.0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50-4781-8642-5FB5A8A64134}"/>
            </c:ext>
          </c:extLst>
        </c:ser>
        <c:ser>
          <c:idx val="1"/>
          <c:order val="1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Jan'!$M$18:$M$20</c:f>
                <c:numCache>
                  <c:formatCode>General</c:formatCode>
                  <c:ptCount val="3"/>
                  <c:pt idx="0">
                    <c:v>14.64546969573522</c:v>
                  </c:pt>
                  <c:pt idx="1">
                    <c:v>22.22056104902262</c:v>
                  </c:pt>
                  <c:pt idx="2">
                    <c:v>37.79609020276281</c:v>
                  </c:pt>
                </c:numCache>
              </c:numRef>
            </c:plus>
            <c:minus>
              <c:numRef>
                <c:f>'[2]PivotTable Jan'!$M$18:$M$20</c:f>
                <c:numCache>
                  <c:formatCode>General</c:formatCode>
                  <c:ptCount val="3"/>
                  <c:pt idx="0">
                    <c:v>14.64546969573522</c:v>
                  </c:pt>
                  <c:pt idx="1">
                    <c:v>22.22056104902262</c:v>
                  </c:pt>
                  <c:pt idx="2">
                    <c:v>37.79609020276281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'[2]PivotTable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'[2]PivotTable Jan'!$L$18:$L$20</c:f>
              <c:numCache>
                <c:formatCode>General</c:formatCode>
                <c:ptCount val="3"/>
                <c:pt idx="0">
                  <c:v>112.275</c:v>
                </c:pt>
                <c:pt idx="1">
                  <c:v>178.56</c:v>
                </c:pt>
                <c:pt idx="2">
                  <c:v>192.6711538461538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50-4781-8642-5FB5A8A64134}"/>
            </c:ext>
          </c:extLst>
        </c:ser>
        <c:ser>
          <c:idx val="2"/>
          <c:order val="2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'[2]PivotTable Apr'!$M$18:$M$20</c:f>
                <c:numCache>
                  <c:formatCode>General</c:formatCode>
                  <c:ptCount val="3"/>
                  <c:pt idx="0">
                    <c:v>24.15957229201985</c:v>
                  </c:pt>
                  <c:pt idx="1">
                    <c:v>23.88343079766117</c:v>
                  </c:pt>
                  <c:pt idx="2">
                    <c:v>33.24052145599796</c:v>
                  </c:pt>
                </c:numCache>
              </c:numRef>
            </c:plus>
            <c:minus>
              <c:numRef>
                <c:f>'[2]PivotTable Apr'!$M$18:$M$20</c:f>
                <c:numCache>
                  <c:formatCode>General</c:formatCode>
                  <c:ptCount val="3"/>
                  <c:pt idx="0">
                    <c:v>24.15957229201985</c:v>
                  </c:pt>
                  <c:pt idx="1">
                    <c:v>23.88343079766117</c:v>
                  </c:pt>
                  <c:pt idx="2">
                    <c:v>33.24052145599796</c:v>
                  </c:pt>
                </c:numCache>
              </c:numRef>
            </c:minus>
          </c:errBars>
          <c:cat>
            <c:strRef>
              <c:f>'[2]PivotTable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'[2]PivotTable Apr'!$L$18:$L$20</c:f>
              <c:numCache>
                <c:formatCode>General</c:formatCode>
                <c:ptCount val="3"/>
                <c:pt idx="0">
                  <c:v>26.392</c:v>
                </c:pt>
                <c:pt idx="1">
                  <c:v>100.392</c:v>
                </c:pt>
                <c:pt idx="2">
                  <c:v>130.632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50-4781-8642-5FB5A8A64134}"/>
            </c:ext>
          </c:extLst>
        </c:ser>
        <c:ser>
          <c:idx val="3"/>
          <c:order val="3"/>
          <c:tx>
            <c:v>Mar 19, 2018</c:v>
          </c:tx>
          <c:invertIfNegative val="0"/>
          <c:errBars>
            <c:errBarType val="both"/>
            <c:errValType val="cust"/>
            <c:noEndCap val="0"/>
            <c:plus>
              <c:numRef>
                <c:f>'[4]Pivot Table Mar'!$O$6:$O$8</c:f>
                <c:numCache>
                  <c:formatCode>General</c:formatCode>
                  <c:ptCount val="3"/>
                  <c:pt idx="0">
                    <c:v>7.743840563096979</c:v>
                  </c:pt>
                  <c:pt idx="1">
                    <c:v>3.813799505305449</c:v>
                  </c:pt>
                  <c:pt idx="2">
                    <c:v>6.778613427538195</c:v>
                  </c:pt>
                </c:numCache>
              </c:numRef>
            </c:plus>
            <c:minus>
              <c:numRef>
                <c:f>'[4]Pivot Table Mar'!$O$6:$O$8</c:f>
                <c:numCache>
                  <c:formatCode>General</c:formatCode>
                  <c:ptCount val="3"/>
                  <c:pt idx="0">
                    <c:v>7.743840563096979</c:v>
                  </c:pt>
                  <c:pt idx="1">
                    <c:v>3.813799505305449</c:v>
                  </c:pt>
                  <c:pt idx="2">
                    <c:v>6.778613427538195</c:v>
                  </c:pt>
                </c:numCache>
              </c:numRef>
            </c:minus>
          </c:errBars>
          <c:val>
            <c:numRef>
              <c:f>'[4]Pivot Table Mar'!$N$6:$N$8</c:f>
              <c:numCache>
                <c:formatCode>General</c:formatCode>
                <c:ptCount val="3"/>
                <c:pt idx="0">
                  <c:v>55.696</c:v>
                </c:pt>
                <c:pt idx="1">
                  <c:v>82.344</c:v>
                </c:pt>
                <c:pt idx="2">
                  <c:v>88.728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50-4781-8642-5FB5A8A64134}"/>
            </c:ext>
          </c:extLst>
        </c:ser>
        <c:ser>
          <c:idx val="4"/>
          <c:order val="4"/>
          <c:tx>
            <c:v>Feb 24, 2019</c:v>
          </c:tx>
          <c:invertIfNegative val="0"/>
          <c:errBars>
            <c:errBarType val="both"/>
            <c:errValType val="cust"/>
            <c:noEndCap val="0"/>
            <c:plus>
              <c:numRef>
                <c:f>'Pivot Table Feb 2019'!$S$8:$S$10</c:f>
                <c:numCache>
                  <c:formatCode>General</c:formatCode>
                  <c:ptCount val="3"/>
                  <c:pt idx="0">
                    <c:v>16.21465372652209</c:v>
                  </c:pt>
                  <c:pt idx="1">
                    <c:v>5.577279055836135</c:v>
                  </c:pt>
                  <c:pt idx="2">
                    <c:v>27.59363592312767</c:v>
                  </c:pt>
                </c:numCache>
              </c:numRef>
            </c:plus>
            <c:minus>
              <c:numRef>
                <c:f>'Pivot Table Feb 2019'!$S$8:$S$10</c:f>
                <c:numCache>
                  <c:formatCode>General</c:formatCode>
                  <c:ptCount val="3"/>
                  <c:pt idx="0">
                    <c:v>16.21465372652209</c:v>
                  </c:pt>
                  <c:pt idx="1">
                    <c:v>5.577279055836135</c:v>
                  </c:pt>
                  <c:pt idx="2">
                    <c:v>27.59363592312767</c:v>
                  </c:pt>
                </c:numCache>
              </c:numRef>
            </c:minus>
          </c:errBars>
          <c:val>
            <c:numRef>
              <c:f>'Pivot Table Feb 2019'!$R$8:$R$10</c:f>
              <c:numCache>
                <c:formatCode>General</c:formatCode>
                <c:ptCount val="3"/>
                <c:pt idx="0">
                  <c:v>96.01041666666664</c:v>
                </c:pt>
                <c:pt idx="1">
                  <c:v>180.8966666666666</c:v>
                </c:pt>
                <c:pt idx="2">
                  <c:v>183.2631944444445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82912"/>
        <c:axId val="824079376"/>
      </c:barChart>
      <c:catAx>
        <c:axId val="8230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79376"/>
        <c:crosses val="autoZero"/>
        <c:auto val="1"/>
        <c:lblAlgn val="ctr"/>
        <c:lblOffset val="100"/>
        <c:noMultiLvlLbl val="0"/>
      </c:catAx>
      <c:valAx>
        <c:axId val="8240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Wetland Station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[5]Feb_24_2019!$L$18:$L$32</c:f>
              <c:numCache>
                <c:formatCode>General</c:formatCode>
                <c:ptCount val="15"/>
                <c:pt idx="0">
                  <c:v>0.36832</c:v>
                </c:pt>
                <c:pt idx="1">
                  <c:v>0.39356</c:v>
                </c:pt>
                <c:pt idx="2">
                  <c:v>0.39824</c:v>
                </c:pt>
                <c:pt idx="3">
                  <c:v>0.36468</c:v>
                </c:pt>
                <c:pt idx="4">
                  <c:v>0.3478</c:v>
                </c:pt>
                <c:pt idx="5">
                  <c:v>0.37388</c:v>
                </c:pt>
                <c:pt idx="6">
                  <c:v>0.33844</c:v>
                </c:pt>
                <c:pt idx="7">
                  <c:v>0.39504</c:v>
                </c:pt>
                <c:pt idx="8">
                  <c:v>0.31384</c:v>
                </c:pt>
                <c:pt idx="9">
                  <c:v>0.296</c:v>
                </c:pt>
                <c:pt idx="10">
                  <c:v>0.39628</c:v>
                </c:pt>
                <c:pt idx="11">
                  <c:v>0.43308</c:v>
                </c:pt>
                <c:pt idx="12">
                  <c:v>0.3172</c:v>
                </c:pt>
                <c:pt idx="13">
                  <c:v>0.31256</c:v>
                </c:pt>
                <c:pt idx="14">
                  <c:v>0.27036</c:v>
                </c:pt>
              </c:numCache>
            </c:numRef>
          </c:xVal>
          <c:yVal>
            <c:numRef>
              <c:f>[5]Feb_24_2019!$F$18:$F$32</c:f>
              <c:numCache>
                <c:formatCode>General</c:formatCode>
                <c:ptCount val="15"/>
                <c:pt idx="0">
                  <c:v>24.0</c:v>
                </c:pt>
                <c:pt idx="1">
                  <c:v>35.0</c:v>
                </c:pt>
                <c:pt idx="2">
                  <c:v>44.0</c:v>
                </c:pt>
                <c:pt idx="3">
                  <c:v>57.0</c:v>
                </c:pt>
                <c:pt idx="4">
                  <c:v>65.0</c:v>
                </c:pt>
                <c:pt idx="5">
                  <c:v>74.0</c:v>
                </c:pt>
                <c:pt idx="6">
                  <c:v>81.0</c:v>
                </c:pt>
                <c:pt idx="7">
                  <c:v>91.0</c:v>
                </c:pt>
                <c:pt idx="8">
                  <c:v>97.0</c:v>
                </c:pt>
                <c:pt idx="9">
                  <c:v>109.0</c:v>
                </c:pt>
                <c:pt idx="10">
                  <c:v>119.0</c:v>
                </c:pt>
                <c:pt idx="11">
                  <c:v>132.0</c:v>
                </c:pt>
                <c:pt idx="12">
                  <c:v>145.0</c:v>
                </c:pt>
                <c:pt idx="13">
                  <c:v>149.0</c:v>
                </c:pt>
                <c:pt idx="14">
                  <c:v>157.0</c:v>
                </c:pt>
              </c:numCache>
            </c:numRef>
          </c:yVal>
          <c:smooth val="0"/>
        </c:ser>
        <c:ser>
          <c:idx val="1"/>
          <c:order val="1"/>
          <c:tx>
            <c:v>Forest Station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[5]Feb_24_2019!$L$6:$L$17</c:f>
              <c:numCache>
                <c:formatCode>General</c:formatCode>
                <c:ptCount val="12"/>
                <c:pt idx="0">
                  <c:v>0.52052</c:v>
                </c:pt>
                <c:pt idx="1">
                  <c:v>0.491824</c:v>
                </c:pt>
                <c:pt idx="2">
                  <c:v>0.43612</c:v>
                </c:pt>
                <c:pt idx="3">
                  <c:v>0.38424</c:v>
                </c:pt>
                <c:pt idx="4">
                  <c:v>0.2916</c:v>
                </c:pt>
                <c:pt idx="5">
                  <c:v>0.37252</c:v>
                </c:pt>
                <c:pt idx="6">
                  <c:v>0.28456</c:v>
                </c:pt>
                <c:pt idx="7">
                  <c:v>0.37304</c:v>
                </c:pt>
                <c:pt idx="8">
                  <c:v>0.37404</c:v>
                </c:pt>
                <c:pt idx="9">
                  <c:v>0.3232</c:v>
                </c:pt>
                <c:pt idx="10">
                  <c:v>0.2472</c:v>
                </c:pt>
                <c:pt idx="11">
                  <c:v>0.24652</c:v>
                </c:pt>
              </c:numCache>
            </c:numRef>
          </c:xVal>
          <c:yVal>
            <c:numRef>
              <c:f>[5]Feb_24_2019!$F$6:$F$17</c:f>
              <c:numCache>
                <c:formatCode>General</c:formatCode>
                <c:ptCount val="12"/>
                <c:pt idx="0">
                  <c:v>9.0</c:v>
                </c:pt>
                <c:pt idx="1">
                  <c:v>20.0</c:v>
                </c:pt>
                <c:pt idx="2">
                  <c:v>25.0</c:v>
                </c:pt>
                <c:pt idx="3">
                  <c:v>34.0</c:v>
                </c:pt>
                <c:pt idx="4">
                  <c:v>39.0</c:v>
                </c:pt>
                <c:pt idx="5">
                  <c:v>45.0</c:v>
                </c:pt>
                <c:pt idx="6">
                  <c:v>50.0</c:v>
                </c:pt>
                <c:pt idx="7">
                  <c:v>58.0</c:v>
                </c:pt>
                <c:pt idx="8">
                  <c:v>68.0</c:v>
                </c:pt>
                <c:pt idx="9">
                  <c:v>74.0</c:v>
                </c:pt>
                <c:pt idx="10">
                  <c:v>81.0</c:v>
                </c:pt>
                <c:pt idx="11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6224"/>
        <c:axId val="365980544"/>
      </c:scatterChart>
      <c:valAx>
        <c:axId val="3546162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 density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80544"/>
        <c:crosses val="autoZero"/>
        <c:crossBetween val="midCat"/>
      </c:valAx>
      <c:valAx>
        <c:axId val="3659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from the ground [cm]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in Each Grid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 31, 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'[2]PivotTable Jan'!$P$18:$P$20</c:f>
                <c:numCache>
                  <c:formatCode>General</c:formatCode>
                  <c:ptCount val="3"/>
                  <c:pt idx="0">
                    <c:v>5.125914393507328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plus>
            <c:minus>
              <c:numRef>
                <c:f>'[2]PivotTable Jan'!$P$18:$P$20</c:f>
                <c:numCache>
                  <c:formatCode>General</c:formatCode>
                  <c:ptCount val="3"/>
                  <c:pt idx="0">
                    <c:v>5.125914393507328</c:v>
                  </c:pt>
                  <c:pt idx="1">
                    <c:v>6.888373925197012</c:v>
                  </c:pt>
                  <c:pt idx="2">
                    <c:v>12.0947488648841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'[2]PivotTable Jan'!$A$18:$A$20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'[2]PivotTable Jan'!$O$18:$O$20</c:f>
              <c:numCache>
                <c:formatCode>General</c:formatCode>
                <c:ptCount val="3"/>
                <c:pt idx="0">
                  <c:v>39.29624999999998</c:v>
                </c:pt>
                <c:pt idx="1">
                  <c:v>55.3536</c:v>
                </c:pt>
                <c:pt idx="2">
                  <c:v>61.65476923076923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09-4FD6-AF40-C850854F18AF}"/>
            </c:ext>
          </c:extLst>
        </c:ser>
        <c:ser>
          <c:idx val="1"/>
          <c:order val="1"/>
          <c:tx>
            <c:v>Apr 2, 2017</c:v>
          </c:tx>
          <c:invertIfNegative val="0"/>
          <c:errBars>
            <c:errBarType val="both"/>
            <c:errValType val="cust"/>
            <c:noEndCap val="0"/>
            <c:plus>
              <c:numRef>
                <c:f>'[2]PivotTable Apr'!$P$18:$P$20</c:f>
                <c:numCache>
                  <c:formatCode>General</c:formatCode>
                  <c:ptCount val="3"/>
                  <c:pt idx="0">
                    <c:v>10.63021180848873</c:v>
                  </c:pt>
                  <c:pt idx="1">
                    <c:v>9.792206627041077</c:v>
                  </c:pt>
                  <c:pt idx="2">
                    <c:v>13.62861379695916</c:v>
                  </c:pt>
                </c:numCache>
              </c:numRef>
            </c:plus>
            <c:minus>
              <c:numRef>
                <c:f>'[2]PivotTable Apr'!$P$18:$P$20</c:f>
                <c:numCache>
                  <c:formatCode>General</c:formatCode>
                  <c:ptCount val="3"/>
                  <c:pt idx="0">
                    <c:v>10.63021180848873</c:v>
                  </c:pt>
                  <c:pt idx="1">
                    <c:v>9.792206627041077</c:v>
                  </c:pt>
                  <c:pt idx="2">
                    <c:v>13.62861379695916</c:v>
                  </c:pt>
                </c:numCache>
              </c:numRef>
            </c:minus>
          </c:errBars>
          <c:cat>
            <c:strRef>
              <c:f>'[2]PivotTable Apr'!$A$18:$A$20</c:f>
              <c:strCache>
                <c:ptCount val="3"/>
                <c:pt idx="0">
                  <c:v>Forest</c:v>
                </c:pt>
                <c:pt idx="1">
                  <c:v>Shrub</c:v>
                </c:pt>
                <c:pt idx="2">
                  <c:v>Meadow</c:v>
                </c:pt>
              </c:strCache>
            </c:strRef>
          </c:cat>
          <c:val>
            <c:numRef>
              <c:f>'[2]PivotTable Apr'!$O$18:$O$20</c:f>
              <c:numCache>
                <c:formatCode>General</c:formatCode>
                <c:ptCount val="3"/>
                <c:pt idx="0">
                  <c:v>11.61248</c:v>
                </c:pt>
                <c:pt idx="1">
                  <c:v>41.16072</c:v>
                </c:pt>
                <c:pt idx="2">
                  <c:v>53.55912000000001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09-4FD6-AF40-C850854F18AF}"/>
            </c:ext>
          </c:extLst>
        </c:ser>
        <c:ser>
          <c:idx val="2"/>
          <c:order val="2"/>
          <c:tx>
            <c:v>Mar 19, 2018</c:v>
          </c:tx>
          <c:invertIfNegative val="0"/>
          <c:errBars>
            <c:errBarType val="both"/>
            <c:errValType val="cust"/>
            <c:noEndCap val="0"/>
            <c:plus>
              <c:numRef>
                <c:f>'[4]Pivot Table Mar'!$O$17:$O$19</c:f>
                <c:numCache>
                  <c:formatCode>General</c:formatCode>
                  <c:ptCount val="3"/>
                  <c:pt idx="0">
                    <c:v>2.297514722604454</c:v>
                  </c:pt>
                  <c:pt idx="1">
                    <c:v>1.583864277854639</c:v>
                  </c:pt>
                  <c:pt idx="2">
                    <c:v>2.769526977951392</c:v>
                  </c:pt>
                </c:numCache>
              </c:numRef>
            </c:plus>
            <c:minus>
              <c:numRef>
                <c:f>'[4]Pivot Table Mar'!$O$17:$O$19</c:f>
                <c:numCache>
                  <c:formatCode>General</c:formatCode>
                  <c:ptCount val="3"/>
                  <c:pt idx="0">
                    <c:v>2.297514722604454</c:v>
                  </c:pt>
                  <c:pt idx="1">
                    <c:v>1.583864277854639</c:v>
                  </c:pt>
                  <c:pt idx="2">
                    <c:v>2.769526977951392</c:v>
                  </c:pt>
                </c:numCache>
              </c:numRef>
            </c:minus>
          </c:errBars>
          <c:val>
            <c:numRef>
              <c:f>'[4]Pivot Table Mar'!$N$17:$N$19</c:f>
              <c:numCache>
                <c:formatCode>General</c:formatCode>
                <c:ptCount val="3"/>
                <c:pt idx="0">
                  <c:v>15.720196</c:v>
                </c:pt>
                <c:pt idx="1">
                  <c:v>23.16860727272727</c:v>
                </c:pt>
                <c:pt idx="2">
                  <c:v>25.36142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09-4FD6-AF40-C850854F18AF}"/>
            </c:ext>
          </c:extLst>
        </c:ser>
        <c:ser>
          <c:idx val="3"/>
          <c:order val="3"/>
          <c:tx>
            <c:v>Feb 24, 2019</c:v>
          </c:tx>
          <c:invertIfNegative val="0"/>
          <c:errBars>
            <c:errBarType val="both"/>
            <c:errValType val="cust"/>
            <c:noEndCap val="0"/>
            <c:plus>
              <c:numRef>
                <c:f>'Pivot Table Feb 2019'!$S$18:$S$20</c:f>
                <c:numCache>
                  <c:formatCode>General</c:formatCode>
                  <c:ptCount val="3"/>
                  <c:pt idx="0">
                    <c:v>5.869704649000998</c:v>
                  </c:pt>
                  <c:pt idx="1">
                    <c:v>1.979934064821828</c:v>
                  </c:pt>
                  <c:pt idx="2">
                    <c:v>9.795740752710321</c:v>
                  </c:pt>
                </c:numCache>
              </c:numRef>
            </c:plus>
            <c:minus>
              <c:numRef>
                <c:f>'Pivot Table Feb 2019'!$S$18:$S$20</c:f>
                <c:numCache>
                  <c:formatCode>General</c:formatCode>
                  <c:ptCount val="3"/>
                  <c:pt idx="0">
                    <c:v>5.869704649000998</c:v>
                  </c:pt>
                  <c:pt idx="1">
                    <c:v>1.979934064821828</c:v>
                  </c:pt>
                  <c:pt idx="2">
                    <c:v>9.795740752710321</c:v>
                  </c:pt>
                </c:numCache>
              </c:numRef>
            </c:minus>
          </c:errBars>
          <c:val>
            <c:numRef>
              <c:f>'Pivot Table Feb 2019'!$R$18:$R$20</c:f>
              <c:numCache>
                <c:formatCode>General</c:formatCode>
                <c:ptCount val="3"/>
                <c:pt idx="0">
                  <c:v>34.75577083333332</c:v>
                </c:pt>
                <c:pt idx="1">
                  <c:v>64.21831666666665</c:v>
                </c:pt>
                <c:pt idx="2">
                  <c:v>65.05843402777779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27168"/>
        <c:axId val="363029456"/>
      </c:barChart>
      <c:catAx>
        <c:axId val="3630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9456"/>
        <c:crosses val="autoZero"/>
        <c:auto val="1"/>
        <c:lblAlgn val="ctr"/>
        <c:lblOffset val="100"/>
        <c:noMultiLvlLbl val="0"/>
      </c:catAx>
      <c:valAx>
        <c:axId val="3630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cm of water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29</xdr:row>
      <xdr:rowOff>76200</xdr:rowOff>
    </xdr:from>
    <xdr:to>
      <xdr:col>4</xdr:col>
      <xdr:colOff>19050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xmlns:lc="http://schemas.openxmlformats.org/drawingml/2006/lockedCanvas" id="{7079C5A6-9FF3-4772-A0EB-3489B6221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44</xdr:row>
      <xdr:rowOff>177800</xdr:rowOff>
    </xdr:from>
    <xdr:to>
      <xdr:col>3</xdr:col>
      <xdr:colOff>1511300</xdr:colOff>
      <xdr:row>60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29</xdr:row>
      <xdr:rowOff>76200</xdr:rowOff>
    </xdr:from>
    <xdr:to>
      <xdr:col>7</xdr:col>
      <xdr:colOff>767080</xdr:colOff>
      <xdr:row>42</xdr:row>
      <xdr:rowOff>185420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CB6D7CB-C908-43BF-8735-03CA4214E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abrielle/Google%20Drive/ThompsonFire/FieldData/Winter2016/SnowDepthGri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Fire_Water_Gabrielle/FieldData/Snow/Winter2017/SnowDepthGrids_Jan_Apr_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S/Fire_Water_Gabrielle/FieldData/Snow/Winter%202018%20Snow%20Course/SnowDepthGrids_Mar_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S/Fire_Water_Gabrielle/FieldData/Snow/Winter%202018%20Snow%20Course/SnowDensityICB_thru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Garmin"/>
      <sheetName val="AllGrids"/>
      <sheetName val="PivotTable"/>
      <sheetName val="OtherDepths"/>
      <sheetName val="OfficialSnowCourse"/>
    </sheetNames>
    <sheetDataSet>
      <sheetData sheetId="0" refreshError="1"/>
      <sheetData sheetId="1" refreshError="1"/>
      <sheetData sheetId="2">
        <row r="22">
          <cell r="B22" t="str">
            <v>Station A - Closed Canopy</v>
          </cell>
          <cell r="C22" t="str">
            <v>Station B - Shrubs</v>
          </cell>
          <cell r="D22" t="str">
            <v>Station C - Meadow</v>
          </cell>
        </row>
        <row r="23">
          <cell r="B23">
            <v>33</v>
          </cell>
          <cell r="C23">
            <v>68</v>
          </cell>
          <cell r="D23">
            <v>88</v>
          </cell>
        </row>
        <row r="24">
          <cell r="B24">
            <v>31</v>
          </cell>
          <cell r="C24">
            <v>22</v>
          </cell>
          <cell r="D24">
            <v>35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Apr_2_2017"/>
      <sheetName val="Data_Jan"/>
      <sheetName val="Notes"/>
      <sheetName val="PivotTable Apr"/>
      <sheetName val="PivotTable Jan"/>
      <sheetName val="Depths at Weather Stations"/>
    </sheetNames>
    <sheetDataSet>
      <sheetData sheetId="0" refreshError="1"/>
      <sheetData sheetId="1" refreshError="1"/>
      <sheetData sheetId="2" refreshError="1"/>
      <sheetData sheetId="3">
        <row r="18">
          <cell r="A18" t="str">
            <v>Forest</v>
          </cell>
          <cell r="L18">
            <v>26.391999999999999</v>
          </cell>
          <cell r="M18">
            <v>24.159572292019853</v>
          </cell>
          <cell r="O18">
            <v>11.61248</v>
          </cell>
          <cell r="P18">
            <v>10.630211808488735</v>
          </cell>
        </row>
        <row r="19">
          <cell r="A19" t="str">
            <v>Shrub</v>
          </cell>
          <cell r="L19">
            <v>100.392</v>
          </cell>
          <cell r="M19">
            <v>23.883430797661166</v>
          </cell>
          <cell r="O19">
            <v>41.160719999999998</v>
          </cell>
          <cell r="P19">
            <v>9.792206627041077</v>
          </cell>
        </row>
        <row r="20">
          <cell r="A20" t="str">
            <v>Meadow</v>
          </cell>
          <cell r="L20">
            <v>130.63200000000003</v>
          </cell>
          <cell r="M20">
            <v>33.240521455997957</v>
          </cell>
          <cell r="O20">
            <v>53.559120000000007</v>
          </cell>
          <cell r="P20">
            <v>13.628613796959161</v>
          </cell>
        </row>
      </sheetData>
      <sheetData sheetId="4">
        <row r="18">
          <cell r="A18" t="str">
            <v>Forest</v>
          </cell>
          <cell r="L18">
            <v>112.27499999999998</v>
          </cell>
          <cell r="M18">
            <v>14.645469695735224</v>
          </cell>
          <cell r="O18">
            <v>39.296249999999986</v>
          </cell>
          <cell r="P18">
            <v>5.1259143935073279</v>
          </cell>
        </row>
        <row r="19">
          <cell r="A19" t="str">
            <v>Shrub</v>
          </cell>
          <cell r="L19">
            <v>178.56</v>
          </cell>
          <cell r="M19">
            <v>22.220561049022621</v>
          </cell>
          <cell r="O19">
            <v>55.3536</v>
          </cell>
          <cell r="P19">
            <v>6.888373925197012</v>
          </cell>
        </row>
        <row r="20">
          <cell r="A20" t="str">
            <v>Meadow</v>
          </cell>
          <cell r="L20">
            <v>192.67115384615383</v>
          </cell>
          <cell r="M20">
            <v>37.796090202762812</v>
          </cell>
          <cell r="O20">
            <v>61.654769230769226</v>
          </cell>
          <cell r="P20">
            <v>12.0947488648841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Table Ap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_Mar_2018"/>
      <sheetName val="Notes"/>
      <sheetName val="Pivot Table Mar"/>
      <sheetName val="Depths at weather stations"/>
    </sheetNames>
    <sheetDataSet>
      <sheetData sheetId="0" refreshError="1"/>
      <sheetData sheetId="1" refreshError="1"/>
      <sheetData sheetId="2">
        <row r="6">
          <cell r="N6">
            <v>55.696000000000005</v>
          </cell>
          <cell r="O6">
            <v>7.7438405630969793</v>
          </cell>
        </row>
        <row r="7">
          <cell r="N7">
            <v>82.343999999999994</v>
          </cell>
          <cell r="O7">
            <v>3.813799505305449</v>
          </cell>
        </row>
        <row r="8">
          <cell r="N8">
            <v>88.727999999999994</v>
          </cell>
          <cell r="O8">
            <v>6.778613427538196</v>
          </cell>
        </row>
        <row r="17">
          <cell r="N17">
            <v>15.720196000000001</v>
          </cell>
          <cell r="O17">
            <v>2.2975147226044541</v>
          </cell>
        </row>
        <row r="18">
          <cell r="N18">
            <v>23.168607272727268</v>
          </cell>
          <cell r="O18">
            <v>1.5838642778546395</v>
          </cell>
        </row>
        <row r="19">
          <cell r="N19">
            <v>25.361419999999999</v>
          </cell>
          <cell r="O19">
            <v>2.7695269779513922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_06_2016"/>
      <sheetName val="Mar_20_2016"/>
      <sheetName val="Jan_31_2017"/>
      <sheetName val="Apr_2_2017"/>
      <sheetName val="Mar_19_2018"/>
      <sheetName val="Feb_24_2019"/>
    </sheetNames>
    <sheetDataSet>
      <sheetData sheetId="0"/>
      <sheetData sheetId="1"/>
      <sheetData sheetId="2"/>
      <sheetData sheetId="3"/>
      <sheetData sheetId="4"/>
      <sheetData sheetId="5">
        <row r="6">
          <cell r="F6">
            <v>9</v>
          </cell>
          <cell r="L6">
            <v>0.52051999999999998</v>
          </cell>
        </row>
        <row r="7">
          <cell r="F7">
            <v>20</v>
          </cell>
          <cell r="L7">
            <v>0.49182399999999982</v>
          </cell>
        </row>
        <row r="8">
          <cell r="F8">
            <v>25</v>
          </cell>
          <cell r="L8">
            <v>0.4361199999999999</v>
          </cell>
        </row>
        <row r="9">
          <cell r="F9">
            <v>34</v>
          </cell>
          <cell r="L9">
            <v>0.38424000000000003</v>
          </cell>
        </row>
        <row r="10">
          <cell r="F10">
            <v>39</v>
          </cell>
          <cell r="L10">
            <v>0.29159999999999991</v>
          </cell>
        </row>
        <row r="11">
          <cell r="F11">
            <v>45</v>
          </cell>
          <cell r="L11">
            <v>0.37251999999999996</v>
          </cell>
        </row>
        <row r="12">
          <cell r="F12">
            <v>50</v>
          </cell>
          <cell r="L12">
            <v>0.28455999999999992</v>
          </cell>
        </row>
        <row r="13">
          <cell r="F13">
            <v>58</v>
          </cell>
          <cell r="L13">
            <v>0.37303999999999998</v>
          </cell>
        </row>
        <row r="14">
          <cell r="F14">
            <v>68</v>
          </cell>
          <cell r="L14">
            <v>0.37403999999999998</v>
          </cell>
        </row>
        <row r="15">
          <cell r="F15">
            <v>74</v>
          </cell>
          <cell r="L15">
            <v>0.32320000000000004</v>
          </cell>
        </row>
        <row r="16">
          <cell r="F16">
            <v>81</v>
          </cell>
          <cell r="L16">
            <v>0.24720000000000006</v>
          </cell>
        </row>
        <row r="17">
          <cell r="F17">
            <v>89</v>
          </cell>
          <cell r="L17">
            <v>0.24651999999999999</v>
          </cell>
        </row>
        <row r="18">
          <cell r="F18">
            <v>24</v>
          </cell>
          <cell r="L18">
            <v>0.36831999999999993</v>
          </cell>
        </row>
        <row r="19">
          <cell r="F19">
            <v>35</v>
          </cell>
          <cell r="L19">
            <v>0.39355999999999997</v>
          </cell>
        </row>
        <row r="20">
          <cell r="F20">
            <v>44</v>
          </cell>
          <cell r="L20">
            <v>0.39823999999999998</v>
          </cell>
        </row>
        <row r="21">
          <cell r="F21">
            <v>57</v>
          </cell>
          <cell r="L21">
            <v>0.36468000000000006</v>
          </cell>
        </row>
        <row r="22">
          <cell r="F22">
            <v>65</v>
          </cell>
          <cell r="L22">
            <v>0.34780000000000016</v>
          </cell>
        </row>
        <row r="23">
          <cell r="F23">
            <v>74</v>
          </cell>
          <cell r="L23">
            <v>0.3738800000000001</v>
          </cell>
        </row>
        <row r="24">
          <cell r="F24">
            <v>81</v>
          </cell>
          <cell r="L24">
            <v>0.33844000000000007</v>
          </cell>
        </row>
        <row r="25">
          <cell r="F25">
            <v>91</v>
          </cell>
          <cell r="L25">
            <v>0.39503999999999995</v>
          </cell>
        </row>
        <row r="26">
          <cell r="F26">
            <v>97</v>
          </cell>
          <cell r="L26">
            <v>0.3138399999999999</v>
          </cell>
        </row>
        <row r="27">
          <cell r="F27">
            <v>109</v>
          </cell>
          <cell r="L27">
            <v>0.29599999999999999</v>
          </cell>
        </row>
        <row r="28">
          <cell r="F28">
            <v>119</v>
          </cell>
          <cell r="L28">
            <v>0.39627999999999997</v>
          </cell>
        </row>
        <row r="29">
          <cell r="F29">
            <v>132</v>
          </cell>
          <cell r="L29">
            <v>0.43307999999999991</v>
          </cell>
        </row>
        <row r="30">
          <cell r="F30">
            <v>145</v>
          </cell>
          <cell r="L30">
            <v>0.31720000000000004</v>
          </cell>
        </row>
        <row r="31">
          <cell r="F31">
            <v>149</v>
          </cell>
          <cell r="L31">
            <v>0.31255999999999995</v>
          </cell>
        </row>
        <row r="32">
          <cell r="F32">
            <v>157</v>
          </cell>
          <cell r="L32">
            <v>0.27035999999999988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30.691941666664" createdVersion="4" refreshedVersion="4" minRefreshableVersion="3" recordCount="76">
  <cacheSource type="worksheet">
    <worksheetSource ref="C1:N1048576" sheet="Dat_Feb_24_2019"/>
  </cacheSource>
  <cacheFields count="12">
    <cacheField name="cm_mid" numFmtId="0">
      <sharedItems containsBlank="1" containsMixedTypes="1" containsNumber="1" containsInteger="1" minValue="51" maxValue="220"/>
    </cacheField>
    <cacheField name="cm" numFmtId="0">
      <sharedItems containsBlank="1" containsMixedTypes="1" containsNumber="1" containsInteger="1" minValue="65" maxValue="218"/>
    </cacheField>
    <cacheField name="cm2" numFmtId="0">
      <sharedItems containsBlank="1" containsMixedTypes="1" containsNumber="1" containsInteger="1" minValue="30" maxValue="235"/>
    </cacheField>
    <cacheField name="cm3" numFmtId="0">
      <sharedItems containsBlank="1" containsMixedTypes="1" containsNumber="1" containsInteger="1" minValue="76" maxValue="210"/>
    </cacheField>
    <cacheField name="cm4" numFmtId="0">
      <sharedItems containsBlank="1" containsMixedTypes="1" containsNumber="1" containsInteger="1" minValue="70" maxValue="230"/>
    </cacheField>
    <cacheField name="Tree_Open" numFmtId="0">
      <sharedItems containsBlank="1" count="9">
        <s v="dead drip"/>
        <s v="live edge"/>
        <s v="open"/>
        <s v="drip edge"/>
        <s v="dead"/>
        <s v="live"/>
        <s v="not recorded"/>
        <m/>
        <s v="open " u="1"/>
      </sharedItems>
    </cacheField>
    <cacheField name="Average_cm" numFmtId="0">
      <sharedItems containsString="0" containsBlank="1" containsNumber="1" minValue="58" maxValue="226"/>
    </cacheField>
    <cacheField name="Grid" numFmtId="0">
      <sharedItems containsBlank="1" count="4">
        <s v="C"/>
        <s v="B"/>
        <s v="A"/>
        <m/>
      </sharedItems>
    </cacheField>
    <cacheField name="Observed Fire Severity" numFmtId="0">
      <sharedItems containsBlank="1"/>
    </cacheField>
    <cacheField name="Dominant Vegetation" numFmtId="0">
      <sharedItems containsBlank="1"/>
    </cacheField>
    <cacheField name="DistE" numFmtId="0">
      <sharedItems containsString="0" containsBlank="1" containsNumber="1" containsInteger="1" minValue="0" maxValue="40"/>
    </cacheField>
    <cacheField name="DistN" numFmtId="0">
      <sharedItems containsString="0" containsBlank="1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s v="145 (log)"/>
    <n v="138"/>
    <n v="180"/>
    <n v="172"/>
    <n v="188"/>
    <x v="0"/>
    <n v="169.5"/>
    <x v="0"/>
    <s v="High"/>
    <s v="Meadow"/>
    <n v="0"/>
    <n v="0"/>
  </r>
  <r>
    <n v="141"/>
    <n v="175"/>
    <n v="178"/>
    <s v="124 (tree well)"/>
    <n v="149"/>
    <x v="1"/>
    <n v="160.75"/>
    <x v="0"/>
    <s v="High"/>
    <s v="Meadow"/>
    <n v="0"/>
    <n v="10"/>
  </r>
  <r>
    <n v="200"/>
    <n v="202"/>
    <n v="200"/>
    <n v="210"/>
    <n v="200"/>
    <x v="2"/>
    <n v="202.4"/>
    <x v="0"/>
    <s v="High"/>
    <s v="Meadow"/>
    <n v="0"/>
    <n v="20"/>
  </r>
  <r>
    <n v="205"/>
    <n v="208"/>
    <n v="200"/>
    <n v="208"/>
    <n v="201"/>
    <x v="2"/>
    <n v="204.4"/>
    <x v="0"/>
    <s v="High"/>
    <s v="Meadow"/>
    <n v="0"/>
    <n v="30"/>
  </r>
  <r>
    <n v="207"/>
    <n v="210"/>
    <n v="210"/>
    <n v="210"/>
    <n v="212"/>
    <x v="2"/>
    <n v="209.8"/>
    <x v="0"/>
    <s v="High"/>
    <s v="Meadow"/>
    <n v="0"/>
    <n v="40"/>
  </r>
  <r>
    <n v="210"/>
    <n v="218"/>
    <n v="211"/>
    <n v="210"/>
    <n v="187"/>
    <x v="2"/>
    <n v="207.2"/>
    <x v="0"/>
    <s v="High"/>
    <s v="Meadow"/>
    <n v="10"/>
    <n v="0"/>
  </r>
  <r>
    <n v="156"/>
    <n v="179"/>
    <n v="158"/>
    <n v="177"/>
    <n v="175"/>
    <x v="2"/>
    <n v="169"/>
    <x v="0"/>
    <s v="High"/>
    <s v="Meadow"/>
    <n v="10"/>
    <n v="10"/>
  </r>
  <r>
    <n v="195"/>
    <s v="168 (log)"/>
    <n v="190"/>
    <n v="190"/>
    <s v="180(log)"/>
    <x v="3"/>
    <n v="191.66666666666666"/>
    <x v="0"/>
    <s v="High"/>
    <s v="Meadow"/>
    <n v="10"/>
    <n v="20"/>
  </r>
  <r>
    <n v="190"/>
    <n v="167"/>
    <n v="138"/>
    <n v="128"/>
    <n v="142"/>
    <x v="2"/>
    <n v="153"/>
    <x v="0"/>
    <s v="High"/>
    <s v="Meadow"/>
    <n v="10"/>
    <n v="30"/>
  </r>
  <r>
    <n v="132"/>
    <n v="143"/>
    <n v="145"/>
    <n v="141"/>
    <n v="145"/>
    <x v="2"/>
    <n v="141.19999999999999"/>
    <x v="0"/>
    <s v="High"/>
    <s v="Meadow"/>
    <n v="10"/>
    <n v="40"/>
  </r>
  <r>
    <n v="114"/>
    <n v="135"/>
    <n v="141"/>
    <n v="118"/>
    <n v="145"/>
    <x v="4"/>
    <n v="130.6"/>
    <x v="0"/>
    <s v="High"/>
    <s v="Meadow"/>
    <n v="20"/>
    <n v="0"/>
  </r>
  <r>
    <n v="138"/>
    <n v="146"/>
    <n v="130"/>
    <n v="142"/>
    <n v="111"/>
    <x v="2"/>
    <n v="133.4"/>
    <x v="0"/>
    <s v="High"/>
    <s v="Meadow"/>
    <n v="20"/>
    <n v="10"/>
  </r>
  <r>
    <m/>
    <m/>
    <m/>
    <m/>
    <m/>
    <x v="2"/>
    <m/>
    <x v="0"/>
    <s v="High"/>
    <s v="Meadow"/>
    <n v="20"/>
    <n v="20"/>
  </r>
  <r>
    <n v="166"/>
    <n v="163"/>
    <n v="167"/>
    <n v="168"/>
    <n v="170"/>
    <x v="2"/>
    <n v="166.8"/>
    <x v="0"/>
    <s v="High"/>
    <s v="Meadow"/>
    <n v="20"/>
    <n v="30"/>
  </r>
  <r>
    <n v="145"/>
    <n v="158"/>
    <n v="148"/>
    <n v="157"/>
    <n v="140"/>
    <x v="2"/>
    <n v="149.6"/>
    <x v="0"/>
    <s v="High"/>
    <s v="Meadow"/>
    <n v="20"/>
    <n v="40"/>
  </r>
  <r>
    <n v="168"/>
    <n v="178"/>
    <n v="165"/>
    <n v="171"/>
    <n v="168"/>
    <x v="1"/>
    <n v="170"/>
    <x v="0"/>
    <s v="High"/>
    <s v="Meadow"/>
    <n v="30"/>
    <n v="0"/>
  </r>
  <r>
    <n v="201"/>
    <n v="210"/>
    <n v="215"/>
    <n v="205"/>
    <n v="205"/>
    <x v="2"/>
    <n v="207.2"/>
    <x v="0"/>
    <s v="High"/>
    <s v="Meadow"/>
    <n v="30"/>
    <n v="10"/>
  </r>
  <r>
    <n v="195"/>
    <n v="204"/>
    <n v="183"/>
    <n v="203"/>
    <n v="193"/>
    <x v="2"/>
    <n v="195.6"/>
    <x v="0"/>
    <s v="High"/>
    <s v="Meadow"/>
    <n v="30"/>
    <n v="20"/>
  </r>
  <r>
    <n v="200"/>
    <n v="195"/>
    <n v="204"/>
    <n v="205"/>
    <n v="198"/>
    <x v="2"/>
    <n v="200.4"/>
    <x v="0"/>
    <s v="High"/>
    <s v="Meadow"/>
    <n v="30"/>
    <n v="30"/>
  </r>
  <r>
    <n v="210"/>
    <n v="212"/>
    <n v="178"/>
    <n v="180"/>
    <n v="169"/>
    <x v="2"/>
    <n v="189.8"/>
    <x v="0"/>
    <s v="High"/>
    <s v="Meadow"/>
    <n v="30"/>
    <n v="40"/>
  </r>
  <r>
    <n v="200"/>
    <n v="210"/>
    <n v="215"/>
    <n v="205"/>
    <n v="205"/>
    <x v="2"/>
    <n v="207"/>
    <x v="0"/>
    <s v="High"/>
    <s v="Meadow"/>
    <n v="40"/>
    <n v="0"/>
  </r>
  <r>
    <n v="193"/>
    <n v="218"/>
    <n v="197"/>
    <n v="198"/>
    <n v="198"/>
    <x v="2"/>
    <n v="200.8"/>
    <x v="0"/>
    <s v="High"/>
    <s v="Meadow"/>
    <n v="40"/>
    <n v="10"/>
  </r>
  <r>
    <n v="220"/>
    <n v="213"/>
    <n v="213"/>
    <n v="199"/>
    <n v="225"/>
    <x v="2"/>
    <n v="214"/>
    <x v="0"/>
    <s v="High"/>
    <s v="Meadow"/>
    <n v="40"/>
    <n v="20"/>
  </r>
  <r>
    <s v="143 (log)"/>
    <n v="213"/>
    <n v="235"/>
    <s v="200 (log)"/>
    <n v="230"/>
    <x v="2"/>
    <n v="226"/>
    <x v="0"/>
    <s v="High"/>
    <s v="Meadow"/>
    <n v="40"/>
    <n v="30"/>
  </r>
  <r>
    <n v="210"/>
    <n v="212"/>
    <n v="171"/>
    <n v="193"/>
    <n v="205"/>
    <x v="3"/>
    <n v="198.2"/>
    <x v="0"/>
    <s v="High"/>
    <s v="Meadow"/>
    <n v="40"/>
    <n v="40"/>
  </r>
  <r>
    <n v="180"/>
    <n v="183"/>
    <n v="187"/>
    <n v="190"/>
    <n v="187"/>
    <x v="2"/>
    <n v="185.4"/>
    <x v="1"/>
    <s v="High"/>
    <s v="Shrub"/>
    <n v="0"/>
    <n v="0"/>
  </r>
  <r>
    <n v="175"/>
    <n v="182"/>
    <n v="181"/>
    <n v="182"/>
    <n v="180"/>
    <x v="2"/>
    <n v="180"/>
    <x v="1"/>
    <s v="High"/>
    <s v="Shrub"/>
    <n v="0"/>
    <n v="10"/>
  </r>
  <r>
    <n v="170"/>
    <n v="170"/>
    <n v="173"/>
    <n v="170"/>
    <n v="171"/>
    <x v="2"/>
    <n v="170.8"/>
    <x v="1"/>
    <s v="High"/>
    <s v="Shrub"/>
    <n v="0"/>
    <n v="20"/>
  </r>
  <r>
    <n v="168"/>
    <n v="173"/>
    <n v="175"/>
    <n v="170"/>
    <n v="171"/>
    <x v="2"/>
    <n v="171.4"/>
    <x v="1"/>
    <s v="High"/>
    <s v="Shrub"/>
    <n v="0"/>
    <n v="30"/>
  </r>
  <r>
    <n v="178"/>
    <n v="176"/>
    <n v="175"/>
    <s v="stump (129)"/>
    <n v="179"/>
    <x v="2"/>
    <n v="177"/>
    <x v="1"/>
    <s v="High"/>
    <s v="Shrub"/>
    <n v="0"/>
    <n v="40"/>
  </r>
  <r>
    <n v="177"/>
    <n v="185"/>
    <n v="185"/>
    <n v="186"/>
    <n v="188"/>
    <x v="2"/>
    <n v="184.2"/>
    <x v="1"/>
    <s v="High"/>
    <s v="Shrub"/>
    <n v="10"/>
    <n v="0"/>
  </r>
  <r>
    <n v="176"/>
    <n v="179"/>
    <n v="178"/>
    <n v="176"/>
    <n v="182"/>
    <x v="2"/>
    <n v="178.2"/>
    <x v="1"/>
    <s v="High"/>
    <s v="Shrub"/>
    <n v="10"/>
    <n v="10"/>
  </r>
  <r>
    <n v="179"/>
    <n v="178"/>
    <n v="175"/>
    <n v="177"/>
    <n v="179"/>
    <x v="2"/>
    <n v="177.6"/>
    <x v="1"/>
    <s v="High"/>
    <s v="Shrub"/>
    <n v="10"/>
    <n v="20"/>
  </r>
  <r>
    <n v="179"/>
    <n v="177"/>
    <n v="178"/>
    <n v="179"/>
    <n v="179"/>
    <x v="2"/>
    <n v="178.4"/>
    <x v="1"/>
    <s v="High"/>
    <s v="Shrub"/>
    <n v="10"/>
    <n v="30"/>
  </r>
  <r>
    <n v="177"/>
    <n v="175"/>
    <n v="176"/>
    <n v="180"/>
    <n v="178"/>
    <x v="2"/>
    <n v="177.2"/>
    <x v="1"/>
    <s v="High"/>
    <s v="Shrub"/>
    <n v="10"/>
    <n v="40"/>
  </r>
  <r>
    <n v="191"/>
    <n v="200"/>
    <s v="192 (stump)"/>
    <n v="175"/>
    <n v="197"/>
    <x v="2"/>
    <n v="190.75"/>
    <x v="1"/>
    <s v="High"/>
    <s v="Shrub"/>
    <n v="20"/>
    <n v="0"/>
  </r>
  <r>
    <n v="191"/>
    <n v="181"/>
    <n v="186"/>
    <n v="195"/>
    <n v="183"/>
    <x v="2"/>
    <n v="187.2"/>
    <x v="1"/>
    <s v="High"/>
    <s v="Shrub"/>
    <n v="20"/>
    <n v="10"/>
  </r>
  <r>
    <m/>
    <n v="185"/>
    <n v="189"/>
    <n v="178"/>
    <n v="181"/>
    <x v="2"/>
    <n v="183.25"/>
    <x v="1"/>
    <s v="High"/>
    <s v="Shrub"/>
    <n v="20"/>
    <n v="20"/>
  </r>
  <r>
    <s v="130 (log)"/>
    <n v="179"/>
    <n v="186"/>
    <n v="190"/>
    <n v="184"/>
    <x v="2"/>
    <n v="184.75"/>
    <x v="1"/>
    <s v="High"/>
    <s v="Shrub"/>
    <n v="20"/>
    <n v="30"/>
  </r>
  <r>
    <n v="185"/>
    <n v="208"/>
    <n v="180"/>
    <n v="188"/>
    <n v="180"/>
    <x v="2"/>
    <n v="188.2"/>
    <x v="1"/>
    <s v="High"/>
    <s v="Shrub"/>
    <n v="20"/>
    <n v="40"/>
  </r>
  <r>
    <n v="190"/>
    <s v="174 (stump)"/>
    <n v="194"/>
    <n v="189"/>
    <n v="181"/>
    <x v="2"/>
    <n v="188.5"/>
    <x v="1"/>
    <s v="High"/>
    <s v="Shrub"/>
    <n v="30"/>
    <n v="0"/>
  </r>
  <r>
    <n v="181"/>
    <n v="186"/>
    <n v="185"/>
    <n v="179"/>
    <n v="185"/>
    <x v="2"/>
    <n v="183.2"/>
    <x v="1"/>
    <s v="High"/>
    <s v="Shrub"/>
    <n v="30"/>
    <n v="10"/>
  </r>
  <r>
    <n v="174"/>
    <n v="178"/>
    <n v="176"/>
    <n v="175"/>
    <n v="176"/>
    <x v="2"/>
    <n v="175.8"/>
    <x v="1"/>
    <s v="High"/>
    <s v="Shrub"/>
    <n v="30"/>
    <n v="20"/>
  </r>
  <r>
    <n v="170"/>
    <n v="169"/>
    <n v="170"/>
    <n v="173"/>
    <n v="175"/>
    <x v="2"/>
    <n v="171.4"/>
    <x v="1"/>
    <s v="High"/>
    <s v="Shrub"/>
    <n v="30"/>
    <n v="30"/>
  </r>
  <r>
    <n v="176"/>
    <n v="185"/>
    <n v="176"/>
    <n v="177"/>
    <n v="181"/>
    <x v="2"/>
    <n v="179"/>
    <x v="1"/>
    <s v="High"/>
    <s v="Shrub"/>
    <n v="30"/>
    <n v="40"/>
  </r>
  <r>
    <n v="180"/>
    <n v="181"/>
    <n v="175"/>
    <n v="186"/>
    <n v="189"/>
    <x v="2"/>
    <n v="182.2"/>
    <x v="1"/>
    <s v="High"/>
    <s v="Shrub"/>
    <n v="40"/>
    <n v="0"/>
  </r>
  <r>
    <s v="174 (log)"/>
    <n v="183"/>
    <n v="177"/>
    <s v="175 (log)"/>
    <n v="185"/>
    <x v="2"/>
    <n v="181.66666666666666"/>
    <x v="1"/>
    <s v="High"/>
    <s v="Shrub"/>
    <n v="40"/>
    <n v="10"/>
  </r>
  <r>
    <n v="175"/>
    <n v="176"/>
    <n v="174"/>
    <n v="174"/>
    <n v="178"/>
    <x v="2"/>
    <n v="175.4"/>
    <x v="1"/>
    <s v="High"/>
    <s v="Shrub"/>
    <n v="40"/>
    <n v="20"/>
  </r>
  <r>
    <n v="183"/>
    <n v="188"/>
    <n v="181"/>
    <s v="175 (log)"/>
    <n v="186"/>
    <x v="2"/>
    <n v="184.5"/>
    <x v="1"/>
    <s v="High"/>
    <s v="Shrub"/>
    <n v="40"/>
    <n v="30"/>
  </r>
  <r>
    <n v="186"/>
    <n v="189"/>
    <n v="181"/>
    <n v="186"/>
    <n v="190"/>
    <x v="2"/>
    <n v="186.4"/>
    <x v="1"/>
    <s v="High"/>
    <s v="Shrub"/>
    <n v="40"/>
    <n v="40"/>
  </r>
  <r>
    <n v="106"/>
    <n v="109"/>
    <n v="100"/>
    <n v="104"/>
    <n v="100"/>
    <x v="5"/>
    <n v="103.8"/>
    <x v="2"/>
    <s v="Low"/>
    <s v="Forest"/>
    <n v="0"/>
    <n v="0"/>
  </r>
  <r>
    <n v="95"/>
    <n v="89"/>
    <n v="89"/>
    <n v="85"/>
    <n v="93"/>
    <x v="5"/>
    <n v="90.2"/>
    <x v="2"/>
    <s v="Low"/>
    <s v="Forest"/>
    <n v="0"/>
    <n v="10"/>
  </r>
  <r>
    <n v="103"/>
    <n v="116"/>
    <n v="107"/>
    <n v="105"/>
    <n v="112"/>
    <x v="6"/>
    <n v="108.6"/>
    <x v="2"/>
    <s v="Low"/>
    <s v="Forest"/>
    <n v="0"/>
    <n v="20"/>
  </r>
  <r>
    <s v="84 (tree well)"/>
    <n v="87"/>
    <n v="91"/>
    <n v="101"/>
    <s v="45 (tree well)"/>
    <x v="5"/>
    <n v="93"/>
    <x v="2"/>
    <s v="Low"/>
    <s v="Forest"/>
    <n v="0"/>
    <n v="30"/>
  </r>
  <r>
    <n v="105"/>
    <n v="100"/>
    <n v="112"/>
    <n v="101"/>
    <n v="105"/>
    <x v="5"/>
    <n v="104.6"/>
    <x v="2"/>
    <s v="Low"/>
    <s v="Forest"/>
    <n v="0"/>
    <n v="40"/>
  </r>
  <r>
    <n v="107"/>
    <n v="96"/>
    <n v="89"/>
    <n v="96"/>
    <n v="107"/>
    <x v="2"/>
    <n v="99"/>
    <x v="2"/>
    <s v="Low"/>
    <s v="Forest"/>
    <n v="10"/>
    <n v="0"/>
  </r>
  <r>
    <n v="111"/>
    <n v="108"/>
    <n v="108"/>
    <n v="106"/>
    <n v="98"/>
    <x v="2"/>
    <n v="106.2"/>
    <x v="2"/>
    <s v="Low"/>
    <s v="Forest"/>
    <n v="10"/>
    <n v="10"/>
  </r>
  <r>
    <n v="105"/>
    <n v="106"/>
    <n v="99"/>
    <n v="98"/>
    <n v="103"/>
    <x v="2"/>
    <n v="102.2"/>
    <x v="2"/>
    <s v="Low"/>
    <s v="Forest"/>
    <n v="10"/>
    <n v="20"/>
  </r>
  <r>
    <n v="106"/>
    <n v="107"/>
    <n v="106"/>
    <n v="101"/>
    <n v="105"/>
    <x v="5"/>
    <n v="105"/>
    <x v="2"/>
    <s v="Low"/>
    <s v="Forest"/>
    <n v="10"/>
    <n v="30"/>
  </r>
  <r>
    <n v="104"/>
    <n v="97"/>
    <n v="105"/>
    <n v="98"/>
    <n v="106"/>
    <x v="5"/>
    <n v="102"/>
    <x v="2"/>
    <s v="Low"/>
    <s v="Forest"/>
    <n v="10"/>
    <n v="40"/>
  </r>
  <r>
    <n v="65"/>
    <n v="90"/>
    <n v="76"/>
    <n v="90"/>
    <n v="85"/>
    <x v="5"/>
    <n v="81.2"/>
    <x v="2"/>
    <s v="Low"/>
    <s v="Forest"/>
    <n v="20"/>
    <n v="0"/>
  </r>
  <r>
    <s v="45 (log)"/>
    <s v="38 (log)"/>
    <s v="85 (log)"/>
    <s v="80 (log)"/>
    <s v="80 (log)"/>
    <x v="4"/>
    <m/>
    <x v="2"/>
    <s v="Low"/>
    <s v="Forest"/>
    <n v="20"/>
    <n v="10"/>
  </r>
  <r>
    <n v="87"/>
    <n v="79"/>
    <s v="85 (log)"/>
    <n v="89"/>
    <n v="90"/>
    <x v="2"/>
    <n v="86.25"/>
    <x v="2"/>
    <s v="Low"/>
    <s v="Forest"/>
    <n v="20"/>
    <n v="20"/>
  </r>
  <r>
    <n v="70"/>
    <n v="69"/>
    <n v="75"/>
    <s v="60 (tree well)"/>
    <n v="80"/>
    <x v="5"/>
    <n v="73.5"/>
    <x v="2"/>
    <s v="Low"/>
    <s v="Forest"/>
    <n v="20"/>
    <n v="30"/>
  </r>
  <r>
    <n v="75"/>
    <n v="76"/>
    <n v="30"/>
    <n v="76"/>
    <n v="70"/>
    <x v="5"/>
    <n v="65.400000000000006"/>
    <x v="2"/>
    <s v="Low"/>
    <s v="Forest"/>
    <n v="20"/>
    <n v="40"/>
  </r>
  <r>
    <n v="115"/>
    <s v="105 (log)"/>
    <n v="113"/>
    <s v="100 (log)"/>
    <n v="117"/>
    <x v="5"/>
    <n v="115"/>
    <x v="2"/>
    <s v="Low"/>
    <s v="Forest"/>
    <n v="30"/>
    <n v="0"/>
  </r>
  <r>
    <n v="101"/>
    <n v="113"/>
    <n v="134"/>
    <n v="126"/>
    <n v="122"/>
    <x v="2"/>
    <n v="119.2"/>
    <x v="2"/>
    <s v="Low"/>
    <s v="Forest"/>
    <n v="30"/>
    <n v="10"/>
  </r>
  <r>
    <n v="98"/>
    <n v="96"/>
    <n v="101"/>
    <n v="96"/>
    <n v="100"/>
    <x v="5"/>
    <n v="98.2"/>
    <x v="2"/>
    <s v="Low"/>
    <s v="Forest"/>
    <n v="30"/>
    <n v="20"/>
  </r>
  <r>
    <n v="51"/>
    <n v="65"/>
    <s v="85 (log)"/>
    <s v="25(log)"/>
    <s v="25 (log)"/>
    <x v="5"/>
    <n v="58"/>
    <x v="2"/>
    <s v="Low"/>
    <s v="Forest"/>
    <n v="30"/>
    <n v="30"/>
  </r>
  <r>
    <n v="80"/>
    <n v="77"/>
    <n v="80"/>
    <n v="85"/>
    <n v="77"/>
    <x v="5"/>
    <n v="79.8"/>
    <x v="2"/>
    <s v="Low"/>
    <s v="Forest"/>
    <n v="30"/>
    <n v="40"/>
  </r>
  <r>
    <n v="117"/>
    <n v="127"/>
    <n v="131"/>
    <s v="105 (log)"/>
    <n v="130"/>
    <x v="4"/>
    <n v="126.25"/>
    <x v="2"/>
    <s v="Low"/>
    <s v="Forest"/>
    <n v="40"/>
    <n v="0"/>
  </r>
  <r>
    <n v="102"/>
    <n v="87"/>
    <n v="115"/>
    <n v="102"/>
    <n v="87"/>
    <x v="5"/>
    <n v="98.6"/>
    <x v="2"/>
    <s v="Low"/>
    <s v="Forest"/>
    <n v="40"/>
    <n v="10"/>
  </r>
  <r>
    <n v="70"/>
    <n v="90"/>
    <n v="96"/>
    <n v="87"/>
    <n v="87"/>
    <x v="5"/>
    <n v="86"/>
    <x v="2"/>
    <s v="Low"/>
    <s v="Forest"/>
    <n v="40"/>
    <n v="20"/>
  </r>
  <r>
    <n v="100"/>
    <n v="103"/>
    <n v="104"/>
    <s v="100 (log)"/>
    <n v="100"/>
    <x v="5"/>
    <n v="101.75"/>
    <x v="2"/>
    <s v="Low"/>
    <s v="Forest"/>
    <n v="40"/>
    <n v="30"/>
  </r>
  <r>
    <n v="99"/>
    <s v="105 (log)"/>
    <n v="102"/>
    <n v="96"/>
    <n v="105"/>
    <x v="5"/>
    <n v="100.5"/>
    <x v="2"/>
    <s v="Low"/>
    <s v="Forest"/>
    <n v="40"/>
    <n v="40"/>
  </r>
  <r>
    <m/>
    <m/>
    <m/>
    <m/>
    <m/>
    <x v="7"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S12" firstHeaderRow="1" firstDataRow="3" firstDataCol="1"/>
  <pivotFields count="12">
    <pivotField showAll="0"/>
    <pivotField showAll="0"/>
    <pivotField showAll="0"/>
    <pivotField showAll="0"/>
    <pivotField showAll="0"/>
    <pivotField axis="axisCol" showAll="0">
      <items count="10">
        <item x="4"/>
        <item x="0"/>
        <item x="3"/>
        <item x="5"/>
        <item x="1"/>
        <item x="6"/>
        <item x="2"/>
        <item m="1" x="8"/>
        <item x="7"/>
        <item t="default"/>
      </items>
    </pivotField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2">
    <field x="5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name="Average of Average_cm" fld="6" subtotal="average" baseField="0" baseItem="0"/>
    <dataField name="StdDev of Average_cm" fld="6" subtotal="stdDev" baseField="0" baseItem="0"/>
  </dataFields>
  <formats count="4">
    <format dxfId="3">
      <pivotArea field="5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type="topRight" dataOnly="0" labelOnly="1" outline="0" offset="Q1:R1" fieldPosition="0"/>
    </format>
    <format dxfId="1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5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abSelected="1" zoomScale="110" zoomScaleNormal="110" zoomScalePageLayoutView="110" workbookViewId="0">
      <selection activeCell="H54" sqref="H54"/>
    </sheetView>
  </sheetViews>
  <sheetFormatPr baseColWidth="10" defaultRowHeight="16" x14ac:dyDescent="0.2"/>
  <cols>
    <col min="1" max="1" width="12.83203125" customWidth="1"/>
    <col min="2" max="2" width="20.33203125" customWidth="1"/>
    <col min="3" max="3" width="19.5" customWidth="1"/>
    <col min="4" max="4" width="20.33203125" customWidth="1"/>
    <col min="5" max="5" width="19.5" customWidth="1"/>
    <col min="6" max="6" width="20.33203125" customWidth="1"/>
    <col min="7" max="7" width="19.5" bestFit="1" customWidth="1"/>
    <col min="8" max="8" width="20.33203125" customWidth="1"/>
    <col min="9" max="9" width="19.5" customWidth="1"/>
    <col min="10" max="10" width="20.33203125" customWidth="1"/>
    <col min="11" max="11" width="19.5" customWidth="1"/>
    <col min="12" max="12" width="20.33203125" customWidth="1"/>
    <col min="13" max="13" width="19.5" customWidth="1"/>
    <col min="14" max="14" width="20.33203125" customWidth="1"/>
    <col min="15" max="15" width="19.5" customWidth="1"/>
    <col min="16" max="16" width="20.33203125" bestFit="1" customWidth="1"/>
    <col min="17" max="17" width="19.5" customWidth="1"/>
    <col min="18" max="18" width="25" customWidth="1"/>
    <col min="19" max="19" width="24" customWidth="1"/>
    <col min="20" max="20" width="25" customWidth="1"/>
    <col min="21" max="21" width="24" customWidth="1"/>
  </cols>
  <sheetData>
    <row r="2" spans="1:19" x14ac:dyDescent="0.2">
      <c r="A2" t="s">
        <v>57</v>
      </c>
      <c r="B2">
        <v>0.36199999999999999</v>
      </c>
    </row>
    <row r="3" spans="1:19" x14ac:dyDescent="0.2">
      <c r="A3" t="s">
        <v>58</v>
      </c>
      <c r="B3">
        <v>0.35499999999999998</v>
      </c>
    </row>
    <row r="4" spans="1:19" x14ac:dyDescent="0.2">
      <c r="A4" s="30" t="s">
        <v>60</v>
      </c>
    </row>
    <row r="5" spans="1:19" ht="17" thickBot="1" x14ac:dyDescent="0.25">
      <c r="B5" s="12" t="s">
        <v>52</v>
      </c>
    </row>
    <row r="6" spans="1:19" x14ac:dyDescent="0.2">
      <c r="B6" t="s">
        <v>16</v>
      </c>
      <c r="D6" t="s">
        <v>47</v>
      </c>
      <c r="F6" t="s">
        <v>15</v>
      </c>
      <c r="H6" t="s">
        <v>20</v>
      </c>
      <c r="J6" t="s">
        <v>17</v>
      </c>
      <c r="L6" t="s">
        <v>30</v>
      </c>
      <c r="N6" t="s">
        <v>11</v>
      </c>
      <c r="P6" t="s">
        <v>56</v>
      </c>
      <c r="R6" s="20" t="s">
        <v>53</v>
      </c>
      <c r="S6" s="20" t="s">
        <v>55</v>
      </c>
    </row>
    <row r="7" spans="1:19" ht="17" thickBot="1" x14ac:dyDescent="0.25">
      <c r="A7" s="12" t="s">
        <v>49</v>
      </c>
      <c r="B7" t="s">
        <v>51</v>
      </c>
      <c r="C7" t="s">
        <v>54</v>
      </c>
      <c r="D7" t="s">
        <v>51</v>
      </c>
      <c r="E7" t="s">
        <v>54</v>
      </c>
      <c r="F7" t="s">
        <v>51</v>
      </c>
      <c r="G7" t="s">
        <v>54</v>
      </c>
      <c r="H7" t="s">
        <v>51</v>
      </c>
      <c r="I7" t="s">
        <v>54</v>
      </c>
      <c r="J7" t="s">
        <v>51</v>
      </c>
      <c r="K7" t="s">
        <v>54</v>
      </c>
      <c r="L7" t="s">
        <v>51</v>
      </c>
      <c r="M7" t="s">
        <v>54</v>
      </c>
      <c r="N7" t="s">
        <v>51</v>
      </c>
      <c r="O7" t="s">
        <v>54</v>
      </c>
      <c r="P7" t="s">
        <v>51</v>
      </c>
      <c r="Q7" t="s">
        <v>54</v>
      </c>
      <c r="R7" s="21"/>
      <c r="S7" s="21"/>
    </row>
    <row r="8" spans="1:19" x14ac:dyDescent="0.2">
      <c r="A8" s="13" t="s">
        <v>21</v>
      </c>
      <c r="B8" s="11">
        <v>126.25</v>
      </c>
      <c r="C8" s="11" t="e">
        <v>#DIV/0!</v>
      </c>
      <c r="D8" s="11"/>
      <c r="E8" s="11"/>
      <c r="F8" s="11"/>
      <c r="G8" s="11"/>
      <c r="H8" s="11">
        <v>91.561764705882354</v>
      </c>
      <c r="I8" s="11">
        <v>15.519297759279505</v>
      </c>
      <c r="J8" s="11"/>
      <c r="K8" s="11"/>
      <c r="L8" s="11">
        <v>108.6</v>
      </c>
      <c r="M8" s="11" t="e">
        <v>#DIV/0!</v>
      </c>
      <c r="N8" s="11">
        <v>102.57000000000001</v>
      </c>
      <c r="O8" s="11">
        <v>11.926420250854809</v>
      </c>
      <c r="P8" s="11"/>
      <c r="Q8" s="11"/>
      <c r="R8" s="18">
        <v>96.010416666666643</v>
      </c>
      <c r="S8" s="19">
        <v>16.214653726522094</v>
      </c>
    </row>
    <row r="9" spans="1:19" x14ac:dyDescent="0.2">
      <c r="A9" s="13" t="s">
        <v>18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180.89666666666665</v>
      </c>
      <c r="O9" s="11">
        <v>5.5772790558361356</v>
      </c>
      <c r="P9" s="11"/>
      <c r="Q9" s="11"/>
      <c r="R9" s="14">
        <v>180.89666666666665</v>
      </c>
      <c r="S9" s="15">
        <v>5.5772790558361356</v>
      </c>
    </row>
    <row r="10" spans="1:19" x14ac:dyDescent="0.2">
      <c r="A10" s="13" t="s">
        <v>12</v>
      </c>
      <c r="B10" s="11">
        <v>130.6</v>
      </c>
      <c r="C10" s="11" t="e">
        <v>#DIV/0!</v>
      </c>
      <c r="D10" s="11">
        <v>169.5</v>
      </c>
      <c r="E10" s="11" t="e">
        <v>#DIV/0!</v>
      </c>
      <c r="F10" s="11">
        <v>194.93333333333334</v>
      </c>
      <c r="G10" s="11">
        <v>4.6197643037528318</v>
      </c>
      <c r="H10" s="11"/>
      <c r="I10" s="11"/>
      <c r="J10" s="11">
        <v>165.375</v>
      </c>
      <c r="K10" s="11">
        <v>6.540737725975565</v>
      </c>
      <c r="L10" s="11"/>
      <c r="M10" s="11"/>
      <c r="N10" s="11">
        <v>187.64444444444447</v>
      </c>
      <c r="O10" s="11">
        <v>27.894300961733741</v>
      </c>
      <c r="P10" s="11"/>
      <c r="Q10" s="11"/>
      <c r="R10" s="14">
        <v>183.26319444444448</v>
      </c>
      <c r="S10" s="15">
        <v>27.593635923127668</v>
      </c>
    </row>
    <row r="11" spans="1:19" x14ac:dyDescent="0.2">
      <c r="A11" s="13" t="s">
        <v>56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4"/>
      <c r="S11" s="15"/>
    </row>
    <row r="12" spans="1:19" ht="17" thickBot="1" x14ac:dyDescent="0.25">
      <c r="A12" s="13" t="s">
        <v>50</v>
      </c>
      <c r="B12" s="11">
        <v>128.42500000000001</v>
      </c>
      <c r="C12" s="11">
        <v>3.0759144981603463</v>
      </c>
      <c r="D12" s="11">
        <v>169.5</v>
      </c>
      <c r="E12" s="11" t="e">
        <v>#DIV/0!</v>
      </c>
      <c r="F12" s="11">
        <v>194.93333333333334</v>
      </c>
      <c r="G12" s="11">
        <v>4.6197643037528318</v>
      </c>
      <c r="H12" s="11">
        <v>91.561764705882354</v>
      </c>
      <c r="I12" s="11">
        <v>15.519297759279505</v>
      </c>
      <c r="J12" s="11">
        <v>165.375</v>
      </c>
      <c r="K12" s="11">
        <v>6.540737725975565</v>
      </c>
      <c r="L12" s="11">
        <v>108.6</v>
      </c>
      <c r="M12" s="11" t="e">
        <v>#DIV/0!</v>
      </c>
      <c r="N12" s="11">
        <v>175.26805555555552</v>
      </c>
      <c r="O12" s="11">
        <v>30.77622924346036</v>
      </c>
      <c r="P12" s="11"/>
      <c r="Q12" s="11"/>
      <c r="R12" s="16">
        <v>153.76689497716896</v>
      </c>
      <c r="S12" s="17">
        <v>44.666483683044063</v>
      </c>
    </row>
    <row r="13" spans="1:19" x14ac:dyDescent="0.2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8"/>
      <c r="S13" s="28"/>
    </row>
    <row r="14" spans="1:19" x14ac:dyDescent="0.2">
      <c r="A14" s="29" t="s">
        <v>59</v>
      </c>
      <c r="B14" s="30"/>
      <c r="C14" s="30"/>
    </row>
    <row r="15" spans="1:19" ht="17" thickBot="1" x14ac:dyDescent="0.25">
      <c r="B15" t="s">
        <v>52</v>
      </c>
    </row>
    <row r="16" spans="1:19" ht="17" thickBot="1" x14ac:dyDescent="0.25">
      <c r="B16" s="2" t="s">
        <v>16</v>
      </c>
      <c r="C16" s="4"/>
      <c r="D16" s="2" t="s">
        <v>47</v>
      </c>
      <c r="E16" s="4"/>
      <c r="F16" s="2" t="s">
        <v>15</v>
      </c>
      <c r="G16" s="4"/>
      <c r="H16" s="2" t="s">
        <v>20</v>
      </c>
      <c r="I16" s="4"/>
      <c r="J16" s="2" t="s">
        <v>17</v>
      </c>
      <c r="K16" s="4"/>
      <c r="L16" s="2" t="s">
        <v>30</v>
      </c>
      <c r="M16" s="4"/>
      <c r="N16" s="2" t="s">
        <v>11</v>
      </c>
      <c r="O16" s="4"/>
      <c r="P16" s="2" t="s">
        <v>56</v>
      </c>
      <c r="Q16" s="4"/>
      <c r="R16" s="2" t="s">
        <v>53</v>
      </c>
      <c r="S16" s="4" t="s">
        <v>55</v>
      </c>
    </row>
    <row r="17" spans="1:19" x14ac:dyDescent="0.2">
      <c r="A17" s="2" t="s">
        <v>49</v>
      </c>
      <c r="B17" s="2" t="s">
        <v>51</v>
      </c>
      <c r="C17" s="4" t="s">
        <v>54</v>
      </c>
      <c r="D17" s="2" t="s">
        <v>51</v>
      </c>
      <c r="E17" s="4" t="s">
        <v>54</v>
      </c>
      <c r="F17" s="2" t="s">
        <v>51</v>
      </c>
      <c r="G17" s="4" t="s">
        <v>54</v>
      </c>
      <c r="H17" s="2" t="s">
        <v>51</v>
      </c>
      <c r="I17" s="4" t="s">
        <v>54</v>
      </c>
      <c r="J17" s="2" t="s">
        <v>51</v>
      </c>
      <c r="K17" s="4" t="s">
        <v>54</v>
      </c>
      <c r="L17" s="2" t="s">
        <v>51</v>
      </c>
      <c r="M17" s="4" t="s">
        <v>54</v>
      </c>
      <c r="N17" s="2" t="s">
        <v>51</v>
      </c>
      <c r="O17" s="4" t="s">
        <v>54</v>
      </c>
      <c r="P17" s="2" t="s">
        <v>51</v>
      </c>
      <c r="Q17" s="4" t="s">
        <v>54</v>
      </c>
      <c r="R17" s="2"/>
      <c r="S17" s="4"/>
    </row>
    <row r="18" spans="1:19" x14ac:dyDescent="0.2">
      <c r="A18" s="24" t="s">
        <v>21</v>
      </c>
      <c r="B18" s="24">
        <f>GETPIVOTDATA("Average of Average_cm",$A$5,"Tree_Open","dead","Grid","A")*$B$2</f>
        <v>45.702500000000001</v>
      </c>
      <c r="C18" s="25" t="e">
        <f>GETPIVOTDATA("StdDev of Average_cm",$A$5,"Tree_Open","dead","Grid","A")*B2</f>
        <v>#DIV/0!</v>
      </c>
      <c r="D18" s="24"/>
      <c r="E18" s="25"/>
      <c r="F18" s="24"/>
      <c r="G18" s="25"/>
      <c r="H18" s="24">
        <f>GETPIVOTDATA("Average of Average_cm",$A$5,"Tree_Open","live","Grid","A")*B2</f>
        <v>33.145358823529413</v>
      </c>
      <c r="I18" s="25">
        <f>GETPIVOTDATA("StdDev of Average_cm",$A$5,"Tree_Open","live","Grid","A")*B2</f>
        <v>5.6179857888591807</v>
      </c>
      <c r="J18" s="24"/>
      <c r="K18" s="25"/>
      <c r="L18" s="24">
        <f>GETPIVOTDATA("Average of Average_cm",$A$5,"Tree_Open","not recorded","Grid","A")*B2</f>
        <v>39.313199999999995</v>
      </c>
      <c r="M18" s="25" t="e">
        <v>#DIV/0!</v>
      </c>
      <c r="N18" s="24">
        <f>GETPIVOTDATA("Average of Average_cm",$A$5,"Tree_Open","open","Grid","A")*B2</f>
        <v>37.130340000000004</v>
      </c>
      <c r="O18" s="25">
        <f>GETPIVOTDATA("StdDev of Average_cm",$A$5,"Tree_Open","open","Grid","A")*B2</f>
        <v>4.317364130809441</v>
      </c>
      <c r="P18" s="24"/>
      <c r="Q18" s="25"/>
      <c r="R18" s="24">
        <f>GETPIVOTDATA("Average of Average_cm",$A$5,"Grid","A")*B2</f>
        <v>34.755770833333322</v>
      </c>
      <c r="S18" s="25">
        <f>GETPIVOTDATA("StdDev of Average_cm",$A$5,"Grid","A")*B2</f>
        <v>5.8697046490009983</v>
      </c>
    </row>
    <row r="19" spans="1:19" x14ac:dyDescent="0.2">
      <c r="A19" s="26" t="s">
        <v>18</v>
      </c>
      <c r="B19" s="26"/>
      <c r="C19" s="27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26">
        <f>GETPIVOTDATA("Average of Average_cm",$A$5,"Tree_Open","open","Grid","B")*B3</f>
        <v>64.218316666666652</v>
      </c>
      <c r="O19" s="27">
        <f>GETPIVOTDATA("StdDev of Average_cm",$A$5,"Tree_Open","open","Grid","B")*B3</f>
        <v>1.979934064821828</v>
      </c>
      <c r="P19" s="26"/>
      <c r="Q19" s="27"/>
      <c r="R19" s="26">
        <f>GETPIVOTDATA("Average of Average_cm",$A$5,"Grid","B")*B3</f>
        <v>64.218316666666652</v>
      </c>
      <c r="S19" s="27">
        <f>B3*GETPIVOTDATA("StdDev of Average_cm",$A$5,"Grid","B")</f>
        <v>1.979934064821828</v>
      </c>
    </row>
    <row r="20" spans="1:19" ht="17" thickBot="1" x14ac:dyDescent="0.25">
      <c r="A20" s="22" t="s">
        <v>12</v>
      </c>
      <c r="B20" s="22">
        <f>GETPIVOTDATA("Average of Average_cm",$A$5,"Tree_Open","dead","Grid","C")*B3</f>
        <v>46.362999999999992</v>
      </c>
      <c r="C20" s="23" t="e">
        <v>#DIV/0!</v>
      </c>
      <c r="D20" s="22">
        <f>GETPIVOTDATA("Average of Average_cm",$A$5,"Tree_Open","dead drip","Grid","C")*B3</f>
        <v>60.172499999999999</v>
      </c>
      <c r="E20" s="23" t="e">
        <v>#DIV/0!</v>
      </c>
      <c r="F20" s="22">
        <f>GETPIVOTDATA("Average of Average_cm",$A$5,"Tree_Open","drip edge","Grid","C")*$B$3</f>
        <v>69.201333333333338</v>
      </c>
      <c r="G20" s="23">
        <f>GETPIVOTDATA("StdDev of Average_cm",$A$5,"Tree_Open","drip edge","Grid","C")*B3</f>
        <v>1.6400163278322553</v>
      </c>
      <c r="H20" s="22"/>
      <c r="I20" s="23"/>
      <c r="J20" s="22">
        <f>GETPIVOTDATA("Average of Average_cm",$A$5,"Tree_Open","live edge","Grid","C")*B3</f>
        <v>58.708124999999995</v>
      </c>
      <c r="K20" s="23">
        <f>GETPIVOTDATA("StdDev of Average_cm",$A$5,"Tree_Open","live edge","Grid","C")*B3</f>
        <v>2.3219618927213252</v>
      </c>
      <c r="L20" s="22"/>
      <c r="M20" s="23"/>
      <c r="N20" s="22">
        <f>GETPIVOTDATA("Average of Average_cm",$A$5,"Tree_Open","open","Grid","C")*B3</f>
        <v>66.613777777777784</v>
      </c>
      <c r="O20" s="23">
        <f>GETPIVOTDATA("StdDev of Average_cm",$A$5,"Tree_Open","open","Grid","C")*B3</f>
        <v>9.9024768414154778</v>
      </c>
      <c r="P20" s="22"/>
      <c r="Q20" s="23"/>
      <c r="R20" s="22">
        <f>GETPIVOTDATA("Average of Average_cm",$A$5,"Grid","C")*B3</f>
        <v>65.058434027777793</v>
      </c>
      <c r="S20" s="23">
        <f>GETPIVOTDATA("StdDev of Average_cm",$A$5,"Grid","C")*B3</f>
        <v>9.7957407527103211</v>
      </c>
    </row>
    <row r="21" spans="1:19" x14ac:dyDescent="0.2">
      <c r="A21" t="s">
        <v>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s="31">
        <v>43520</v>
      </c>
    </row>
    <row r="2" spans="1:2" x14ac:dyDescent="0.2">
      <c r="A2" t="s">
        <v>85</v>
      </c>
    </row>
    <row r="3" spans="1:2" x14ac:dyDescent="0.2">
      <c r="A3">
        <v>218</v>
      </c>
      <c r="B3" t="s">
        <v>3</v>
      </c>
    </row>
    <row r="5" spans="1:2" x14ac:dyDescent="0.2">
      <c r="A5" t="s">
        <v>86</v>
      </c>
    </row>
    <row r="6" spans="1:2" x14ac:dyDescent="0.2">
      <c r="A6">
        <v>87</v>
      </c>
      <c r="B6" t="s">
        <v>3</v>
      </c>
    </row>
    <row r="9" spans="1:2" x14ac:dyDescent="0.2">
      <c r="A9" t="s">
        <v>87</v>
      </c>
    </row>
    <row r="10" spans="1:2" x14ac:dyDescent="0.2">
      <c r="A10">
        <v>183</v>
      </c>
      <c r="B10" t="s">
        <v>3</v>
      </c>
    </row>
    <row r="25" spans="6:9" x14ac:dyDescent="0.2">
      <c r="F25" s="1"/>
      <c r="G25" s="1"/>
      <c r="H25" s="1"/>
      <c r="I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F32" sqref="F32"/>
    </sheetView>
  </sheetViews>
  <sheetFormatPr baseColWidth="10" defaultRowHeight="16" x14ac:dyDescent="0.2"/>
  <cols>
    <col min="3" max="3" width="38.5" bestFit="1" customWidth="1"/>
    <col min="4" max="4" width="13.83203125" bestFit="1" customWidth="1"/>
    <col min="5" max="5" width="14.33203125" bestFit="1" customWidth="1"/>
    <col min="6" max="6" width="19.6640625" bestFit="1" customWidth="1"/>
  </cols>
  <sheetData>
    <row r="1" spans="1:3" x14ac:dyDescent="0.2">
      <c r="A1" t="s">
        <v>78</v>
      </c>
    </row>
    <row r="2" spans="1:3" x14ac:dyDescent="0.2">
      <c r="A2" t="s">
        <v>80</v>
      </c>
    </row>
    <row r="3" spans="1:3" x14ac:dyDescent="0.2">
      <c r="A3" t="s">
        <v>61</v>
      </c>
      <c r="C3" t="s">
        <v>79</v>
      </c>
    </row>
    <row r="5" spans="1:3" x14ac:dyDescent="0.2">
      <c r="A5" t="s">
        <v>62</v>
      </c>
    </row>
    <row r="7" spans="1:3" x14ac:dyDescent="0.2">
      <c r="A7" t="s">
        <v>63</v>
      </c>
    </row>
    <row r="8" spans="1:3" x14ac:dyDescent="0.2">
      <c r="A8" t="s">
        <v>64</v>
      </c>
    </row>
    <row r="9" spans="1:3" x14ac:dyDescent="0.2">
      <c r="A9" t="s">
        <v>65</v>
      </c>
    </row>
    <row r="10" spans="1:3" x14ac:dyDescent="0.2">
      <c r="A10" t="s">
        <v>66</v>
      </c>
    </row>
    <row r="11" spans="1:3" x14ac:dyDescent="0.2">
      <c r="A11" t="s">
        <v>67</v>
      </c>
    </row>
    <row r="12" spans="1:3" x14ac:dyDescent="0.2">
      <c r="A12" t="s">
        <v>68</v>
      </c>
    </row>
    <row r="16" spans="1:3" x14ac:dyDescent="0.2">
      <c r="A16" t="s">
        <v>84</v>
      </c>
    </row>
    <row r="18" spans="1:7" x14ac:dyDescent="0.2">
      <c r="A18" t="s">
        <v>69</v>
      </c>
    </row>
    <row r="19" spans="1:7" x14ac:dyDescent="0.2">
      <c r="A19" t="s">
        <v>70</v>
      </c>
      <c r="B19" t="s">
        <v>71</v>
      </c>
      <c r="C19" t="s">
        <v>72</v>
      </c>
      <c r="D19" t="s">
        <v>73</v>
      </c>
      <c r="E19" t="s">
        <v>81</v>
      </c>
      <c r="F19" t="s">
        <v>74</v>
      </c>
      <c r="G19" t="s">
        <v>75</v>
      </c>
    </row>
    <row r="20" spans="1:7" x14ac:dyDescent="0.2">
      <c r="A20" s="31">
        <v>43520</v>
      </c>
      <c r="B20">
        <v>31.07</v>
      </c>
      <c r="C20">
        <v>32</v>
      </c>
      <c r="D20">
        <v>93.76</v>
      </c>
      <c r="E20" t="s">
        <v>76</v>
      </c>
      <c r="F20">
        <v>25.077500000000001</v>
      </c>
      <c r="G20">
        <v>71.650000000000006</v>
      </c>
    </row>
    <row r="21" spans="1:7" x14ac:dyDescent="0.2">
      <c r="A21" s="31"/>
    </row>
    <row r="23" spans="1:7" x14ac:dyDescent="0.2">
      <c r="A23" t="s">
        <v>77</v>
      </c>
    </row>
    <row r="24" spans="1:7" x14ac:dyDescent="0.2">
      <c r="A24" s="31">
        <v>43520</v>
      </c>
      <c r="B24" t="s">
        <v>82</v>
      </c>
      <c r="C24" s="32" t="s">
        <v>83</v>
      </c>
      <c r="D24" s="33">
        <v>356</v>
      </c>
      <c r="E24">
        <v>215</v>
      </c>
      <c r="F24" s="32">
        <f>181*0.35</f>
        <v>63.349999999999994</v>
      </c>
      <c r="G24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27" workbookViewId="0">
      <selection activeCell="G39" sqref="D39:G39"/>
    </sheetView>
  </sheetViews>
  <sheetFormatPr baseColWidth="10" defaultRowHeight="16" x14ac:dyDescent="0.2"/>
  <cols>
    <col min="8" max="8" width="11.1640625" customWidth="1"/>
  </cols>
  <sheetData>
    <row r="1" spans="1:14" x14ac:dyDescent="0.2">
      <c r="A1" t="s">
        <v>0</v>
      </c>
      <c r="B1" t="s">
        <v>1</v>
      </c>
      <c r="C1" s="2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4" t="s">
        <v>10</v>
      </c>
    </row>
    <row r="2" spans="1:14" x14ac:dyDescent="0.2">
      <c r="C2" s="5" t="s">
        <v>46</v>
      </c>
      <c r="D2" s="6">
        <v>138</v>
      </c>
      <c r="E2" s="6">
        <v>180</v>
      </c>
      <c r="F2" s="6">
        <v>172</v>
      </c>
      <c r="G2" s="6">
        <v>188</v>
      </c>
      <c r="H2" s="6" t="s">
        <v>47</v>
      </c>
      <c r="I2" s="6">
        <f>AVERAGE(C2:G2)</f>
        <v>169.5</v>
      </c>
      <c r="J2" s="6" t="s">
        <v>12</v>
      </c>
      <c r="K2" s="6" t="s">
        <v>13</v>
      </c>
      <c r="L2" s="6" t="s">
        <v>14</v>
      </c>
      <c r="M2" s="6">
        <v>0</v>
      </c>
      <c r="N2" s="7">
        <v>0</v>
      </c>
    </row>
    <row r="3" spans="1:14" x14ac:dyDescent="0.2">
      <c r="C3" s="5">
        <v>141</v>
      </c>
      <c r="D3" s="6">
        <v>175</v>
      </c>
      <c r="E3" s="6">
        <v>178</v>
      </c>
      <c r="F3" s="6" t="s">
        <v>48</v>
      </c>
      <c r="G3" s="6">
        <v>149</v>
      </c>
      <c r="H3" s="6" t="s">
        <v>17</v>
      </c>
      <c r="I3" s="6">
        <f t="shared" ref="I3:I66" si="0">AVERAGE(C3:G3)</f>
        <v>160.75</v>
      </c>
      <c r="J3" s="6" t="s">
        <v>12</v>
      </c>
      <c r="K3" s="6" t="s">
        <v>13</v>
      </c>
      <c r="L3" s="6" t="s">
        <v>14</v>
      </c>
      <c r="M3" s="6">
        <v>0</v>
      </c>
      <c r="N3" s="7">
        <v>10</v>
      </c>
    </row>
    <row r="4" spans="1:14" x14ac:dyDescent="0.2">
      <c r="C4" s="5">
        <v>200</v>
      </c>
      <c r="D4" s="6">
        <v>202</v>
      </c>
      <c r="E4" s="6">
        <v>200</v>
      </c>
      <c r="F4" s="6">
        <v>210</v>
      </c>
      <c r="G4" s="6">
        <v>200</v>
      </c>
      <c r="H4" s="6" t="s">
        <v>11</v>
      </c>
      <c r="I4" s="6">
        <f t="shared" si="0"/>
        <v>202.4</v>
      </c>
      <c r="J4" s="6" t="s">
        <v>12</v>
      </c>
      <c r="K4" s="6" t="s">
        <v>13</v>
      </c>
      <c r="L4" s="6" t="s">
        <v>14</v>
      </c>
      <c r="M4" s="6">
        <v>0</v>
      </c>
      <c r="N4" s="7">
        <v>20</v>
      </c>
    </row>
    <row r="5" spans="1:14" x14ac:dyDescent="0.2">
      <c r="C5" s="5">
        <v>205</v>
      </c>
      <c r="D5" s="6">
        <v>208</v>
      </c>
      <c r="E5" s="6">
        <v>200</v>
      </c>
      <c r="F5" s="6">
        <v>208</v>
      </c>
      <c r="G5" s="6">
        <v>201</v>
      </c>
      <c r="H5" s="6" t="s">
        <v>11</v>
      </c>
      <c r="I5" s="6">
        <f t="shared" si="0"/>
        <v>204.4</v>
      </c>
      <c r="J5" s="6" t="s">
        <v>12</v>
      </c>
      <c r="K5" s="6" t="s">
        <v>13</v>
      </c>
      <c r="L5" s="6" t="s">
        <v>14</v>
      </c>
      <c r="M5" s="6">
        <v>0</v>
      </c>
      <c r="N5" s="7">
        <v>30</v>
      </c>
    </row>
    <row r="6" spans="1:14" x14ac:dyDescent="0.2">
      <c r="C6" s="5">
        <v>207</v>
      </c>
      <c r="D6" s="6">
        <v>210</v>
      </c>
      <c r="E6" s="6">
        <v>210</v>
      </c>
      <c r="F6" s="6">
        <v>210</v>
      </c>
      <c r="G6" s="6">
        <v>212</v>
      </c>
      <c r="H6" s="6" t="s">
        <v>11</v>
      </c>
      <c r="I6" s="6">
        <f t="shared" si="0"/>
        <v>209.8</v>
      </c>
      <c r="J6" s="6" t="s">
        <v>12</v>
      </c>
      <c r="K6" s="6" t="s">
        <v>13</v>
      </c>
      <c r="L6" s="6" t="s">
        <v>14</v>
      </c>
      <c r="M6" s="6">
        <v>0</v>
      </c>
      <c r="N6" s="7">
        <v>40</v>
      </c>
    </row>
    <row r="7" spans="1:14" x14ac:dyDescent="0.2">
      <c r="C7" s="5">
        <v>210</v>
      </c>
      <c r="D7" s="6">
        <v>218</v>
      </c>
      <c r="E7" s="6">
        <v>211</v>
      </c>
      <c r="F7" s="6">
        <v>210</v>
      </c>
      <c r="G7" s="6">
        <v>187</v>
      </c>
      <c r="H7" s="6" t="s">
        <v>11</v>
      </c>
      <c r="I7" s="6">
        <f t="shared" si="0"/>
        <v>207.2</v>
      </c>
      <c r="J7" s="6" t="s">
        <v>12</v>
      </c>
      <c r="K7" s="6" t="s">
        <v>13</v>
      </c>
      <c r="L7" s="6" t="s">
        <v>14</v>
      </c>
      <c r="M7" s="6">
        <v>10</v>
      </c>
      <c r="N7" s="7">
        <v>0</v>
      </c>
    </row>
    <row r="8" spans="1:14" x14ac:dyDescent="0.2">
      <c r="C8" s="5">
        <v>156</v>
      </c>
      <c r="D8" s="6">
        <v>179</v>
      </c>
      <c r="E8" s="6">
        <v>158</v>
      </c>
      <c r="F8" s="6">
        <v>177</v>
      </c>
      <c r="G8" s="6">
        <v>175</v>
      </c>
      <c r="H8" s="6" t="s">
        <v>11</v>
      </c>
      <c r="I8" s="6">
        <f t="shared" si="0"/>
        <v>169</v>
      </c>
      <c r="J8" s="6" t="s">
        <v>12</v>
      </c>
      <c r="K8" s="6" t="s">
        <v>13</v>
      </c>
      <c r="L8" s="6" t="s">
        <v>14</v>
      </c>
      <c r="M8" s="6">
        <v>10</v>
      </c>
      <c r="N8" s="7">
        <v>10</v>
      </c>
    </row>
    <row r="9" spans="1:14" x14ac:dyDescent="0.2">
      <c r="C9" s="5">
        <v>195</v>
      </c>
      <c r="D9" s="6" t="s">
        <v>44</v>
      </c>
      <c r="E9" s="6">
        <v>190</v>
      </c>
      <c r="F9" s="6">
        <v>190</v>
      </c>
      <c r="G9" s="6" t="s">
        <v>45</v>
      </c>
      <c r="H9" s="6" t="s">
        <v>15</v>
      </c>
      <c r="I9" s="6">
        <f t="shared" si="0"/>
        <v>191.66666666666666</v>
      </c>
      <c r="J9" s="6" t="s">
        <v>12</v>
      </c>
      <c r="K9" s="6" t="s">
        <v>13</v>
      </c>
      <c r="L9" s="6" t="s">
        <v>14</v>
      </c>
      <c r="M9" s="6">
        <v>10</v>
      </c>
      <c r="N9" s="7">
        <v>20</v>
      </c>
    </row>
    <row r="10" spans="1:14" x14ac:dyDescent="0.2">
      <c r="C10" s="5">
        <v>190</v>
      </c>
      <c r="D10" s="6">
        <v>167</v>
      </c>
      <c r="E10" s="6">
        <v>138</v>
      </c>
      <c r="F10" s="6">
        <v>128</v>
      </c>
      <c r="G10" s="6">
        <v>142</v>
      </c>
      <c r="H10" s="6" t="s">
        <v>11</v>
      </c>
      <c r="I10" s="6">
        <f t="shared" si="0"/>
        <v>153</v>
      </c>
      <c r="J10" s="6" t="s">
        <v>12</v>
      </c>
      <c r="K10" s="6" t="s">
        <v>13</v>
      </c>
      <c r="L10" s="6" t="s">
        <v>14</v>
      </c>
      <c r="M10" s="6">
        <v>10</v>
      </c>
      <c r="N10" s="7">
        <v>30</v>
      </c>
    </row>
    <row r="11" spans="1:14" x14ac:dyDescent="0.2">
      <c r="C11" s="5">
        <v>132</v>
      </c>
      <c r="D11" s="6">
        <v>143</v>
      </c>
      <c r="E11" s="6">
        <v>145</v>
      </c>
      <c r="F11" s="6">
        <v>141</v>
      </c>
      <c r="G11" s="6">
        <v>145</v>
      </c>
      <c r="H11" s="6" t="s">
        <v>11</v>
      </c>
      <c r="I11" s="6">
        <f t="shared" si="0"/>
        <v>141.19999999999999</v>
      </c>
      <c r="J11" s="6" t="s">
        <v>12</v>
      </c>
      <c r="K11" s="6" t="s">
        <v>13</v>
      </c>
      <c r="L11" s="6" t="s">
        <v>14</v>
      </c>
      <c r="M11" s="6">
        <v>10</v>
      </c>
      <c r="N11" s="7">
        <v>40</v>
      </c>
    </row>
    <row r="12" spans="1:14" x14ac:dyDescent="0.2">
      <c r="C12" s="5">
        <v>114</v>
      </c>
      <c r="D12" s="6">
        <v>135</v>
      </c>
      <c r="E12" s="6">
        <v>141</v>
      </c>
      <c r="F12" s="6">
        <v>118</v>
      </c>
      <c r="G12" s="6">
        <v>145</v>
      </c>
      <c r="H12" s="6" t="s">
        <v>16</v>
      </c>
      <c r="I12" s="6">
        <f t="shared" si="0"/>
        <v>130.6</v>
      </c>
      <c r="J12" s="6" t="s">
        <v>12</v>
      </c>
      <c r="K12" s="6" t="s">
        <v>13</v>
      </c>
      <c r="L12" s="6" t="s">
        <v>14</v>
      </c>
      <c r="M12" s="6">
        <v>20</v>
      </c>
      <c r="N12" s="7">
        <v>0</v>
      </c>
    </row>
    <row r="13" spans="1:14" x14ac:dyDescent="0.2">
      <c r="C13" s="5">
        <v>138</v>
      </c>
      <c r="D13" s="6">
        <v>146</v>
      </c>
      <c r="E13" s="6">
        <v>130</v>
      </c>
      <c r="F13" s="6">
        <v>142</v>
      </c>
      <c r="G13" s="6">
        <v>111</v>
      </c>
      <c r="H13" s="6" t="s">
        <v>11</v>
      </c>
      <c r="I13" s="6">
        <f t="shared" si="0"/>
        <v>133.4</v>
      </c>
      <c r="J13" s="6" t="s">
        <v>12</v>
      </c>
      <c r="K13" s="6" t="s">
        <v>13</v>
      </c>
      <c r="L13" s="6" t="s">
        <v>14</v>
      </c>
      <c r="M13" s="6">
        <v>20</v>
      </c>
      <c r="N13" s="7">
        <v>10</v>
      </c>
    </row>
    <row r="14" spans="1:14" x14ac:dyDescent="0.2">
      <c r="A14">
        <v>273635</v>
      </c>
      <c r="B14">
        <v>4172954</v>
      </c>
      <c r="C14" s="5"/>
      <c r="D14" s="6"/>
      <c r="E14" s="6"/>
      <c r="F14" s="6"/>
      <c r="G14" s="6"/>
      <c r="H14" s="6" t="s">
        <v>11</v>
      </c>
      <c r="I14" s="6"/>
      <c r="J14" s="6" t="s">
        <v>12</v>
      </c>
      <c r="K14" s="6" t="s">
        <v>13</v>
      </c>
      <c r="L14" s="6" t="s">
        <v>14</v>
      </c>
      <c r="M14" s="6">
        <v>20</v>
      </c>
      <c r="N14" s="7">
        <v>20</v>
      </c>
    </row>
    <row r="15" spans="1:14" x14ac:dyDescent="0.2">
      <c r="C15" s="5">
        <v>166</v>
      </c>
      <c r="D15" s="6">
        <v>163</v>
      </c>
      <c r="E15" s="6">
        <v>167</v>
      </c>
      <c r="F15" s="6">
        <v>168</v>
      </c>
      <c r="G15" s="6">
        <v>170</v>
      </c>
      <c r="H15" s="6" t="s">
        <v>11</v>
      </c>
      <c r="I15" s="6">
        <f t="shared" si="0"/>
        <v>166.8</v>
      </c>
      <c r="J15" s="6" t="s">
        <v>12</v>
      </c>
      <c r="K15" s="6" t="s">
        <v>13</v>
      </c>
      <c r="L15" s="6" t="s">
        <v>14</v>
      </c>
      <c r="M15" s="6">
        <v>20</v>
      </c>
      <c r="N15" s="7">
        <v>30</v>
      </c>
    </row>
    <row r="16" spans="1:14" x14ac:dyDescent="0.2">
      <c r="C16" s="5">
        <v>145</v>
      </c>
      <c r="D16" s="6">
        <v>158</v>
      </c>
      <c r="E16" s="6">
        <v>148</v>
      </c>
      <c r="F16" s="6">
        <v>157</v>
      </c>
      <c r="G16" s="6">
        <v>140</v>
      </c>
      <c r="H16" s="6" t="s">
        <v>11</v>
      </c>
      <c r="I16" s="6">
        <f t="shared" si="0"/>
        <v>149.6</v>
      </c>
      <c r="J16" s="6" t="s">
        <v>12</v>
      </c>
      <c r="K16" s="6" t="s">
        <v>13</v>
      </c>
      <c r="L16" s="6" t="s">
        <v>14</v>
      </c>
      <c r="M16" s="6">
        <v>20</v>
      </c>
      <c r="N16" s="7">
        <v>40</v>
      </c>
    </row>
    <row r="17" spans="3:14" x14ac:dyDescent="0.2">
      <c r="C17" s="5">
        <v>168</v>
      </c>
      <c r="D17" s="6">
        <v>178</v>
      </c>
      <c r="E17" s="6">
        <v>165</v>
      </c>
      <c r="F17" s="6">
        <v>171</v>
      </c>
      <c r="G17" s="6">
        <v>168</v>
      </c>
      <c r="H17" s="6" t="s">
        <v>17</v>
      </c>
      <c r="I17" s="6">
        <f t="shared" si="0"/>
        <v>170</v>
      </c>
      <c r="J17" s="6" t="s">
        <v>12</v>
      </c>
      <c r="K17" s="6" t="s">
        <v>13</v>
      </c>
      <c r="L17" s="6" t="s">
        <v>14</v>
      </c>
      <c r="M17" s="6">
        <v>30</v>
      </c>
      <c r="N17" s="7">
        <v>0</v>
      </c>
    </row>
    <row r="18" spans="3:14" x14ac:dyDescent="0.2">
      <c r="C18" s="5">
        <v>201</v>
      </c>
      <c r="D18" s="6">
        <v>210</v>
      </c>
      <c r="E18" s="6">
        <v>215</v>
      </c>
      <c r="F18" s="6">
        <v>205</v>
      </c>
      <c r="G18" s="6">
        <v>205</v>
      </c>
      <c r="H18" s="6" t="s">
        <v>11</v>
      </c>
      <c r="I18" s="6">
        <f t="shared" si="0"/>
        <v>207.2</v>
      </c>
      <c r="J18" s="6" t="s">
        <v>12</v>
      </c>
      <c r="K18" s="6" t="s">
        <v>13</v>
      </c>
      <c r="L18" s="6" t="s">
        <v>14</v>
      </c>
      <c r="M18" s="6">
        <v>30</v>
      </c>
      <c r="N18" s="7">
        <v>10</v>
      </c>
    </row>
    <row r="19" spans="3:14" x14ac:dyDescent="0.2">
      <c r="C19" s="5">
        <v>195</v>
      </c>
      <c r="D19" s="6">
        <v>204</v>
      </c>
      <c r="E19" s="6">
        <v>183</v>
      </c>
      <c r="F19" s="6">
        <v>203</v>
      </c>
      <c r="G19" s="6">
        <v>193</v>
      </c>
      <c r="H19" s="6" t="s">
        <v>11</v>
      </c>
      <c r="I19" s="6">
        <f t="shared" si="0"/>
        <v>195.6</v>
      </c>
      <c r="J19" s="6" t="s">
        <v>12</v>
      </c>
      <c r="K19" s="6" t="s">
        <v>13</v>
      </c>
      <c r="L19" s="6" t="s">
        <v>14</v>
      </c>
      <c r="M19" s="6">
        <v>30</v>
      </c>
      <c r="N19" s="7">
        <v>20</v>
      </c>
    </row>
    <row r="20" spans="3:14" x14ac:dyDescent="0.2">
      <c r="C20" s="5">
        <v>200</v>
      </c>
      <c r="D20" s="6">
        <v>195</v>
      </c>
      <c r="E20" s="6">
        <v>204</v>
      </c>
      <c r="F20" s="6">
        <v>205</v>
      </c>
      <c r="G20" s="6">
        <v>198</v>
      </c>
      <c r="H20" s="6" t="s">
        <v>11</v>
      </c>
      <c r="I20" s="6">
        <f t="shared" si="0"/>
        <v>200.4</v>
      </c>
      <c r="J20" s="6" t="s">
        <v>12</v>
      </c>
      <c r="K20" s="6" t="s">
        <v>13</v>
      </c>
      <c r="L20" s="6" t="s">
        <v>14</v>
      </c>
      <c r="M20" s="6">
        <v>30</v>
      </c>
      <c r="N20" s="7">
        <v>30</v>
      </c>
    </row>
    <row r="21" spans="3:14" x14ac:dyDescent="0.2">
      <c r="C21" s="5">
        <v>210</v>
      </c>
      <c r="D21" s="6">
        <v>212</v>
      </c>
      <c r="E21" s="6">
        <v>178</v>
      </c>
      <c r="F21" s="6">
        <v>180</v>
      </c>
      <c r="G21" s="6">
        <v>169</v>
      </c>
      <c r="H21" s="6" t="s">
        <v>11</v>
      </c>
      <c r="I21" s="6">
        <f t="shared" si="0"/>
        <v>189.8</v>
      </c>
      <c r="J21" s="6" t="s">
        <v>12</v>
      </c>
      <c r="K21" s="6" t="s">
        <v>13</v>
      </c>
      <c r="L21" s="6" t="s">
        <v>14</v>
      </c>
      <c r="M21" s="6">
        <v>30</v>
      </c>
      <c r="N21" s="7">
        <v>40</v>
      </c>
    </row>
    <row r="22" spans="3:14" x14ac:dyDescent="0.2">
      <c r="C22" s="5">
        <v>200</v>
      </c>
      <c r="D22" s="6">
        <v>210</v>
      </c>
      <c r="E22" s="6">
        <v>215</v>
      </c>
      <c r="F22" s="6">
        <v>205</v>
      </c>
      <c r="G22" s="6">
        <v>205</v>
      </c>
      <c r="H22" s="6" t="s">
        <v>11</v>
      </c>
      <c r="I22" s="6">
        <f t="shared" si="0"/>
        <v>207</v>
      </c>
      <c r="J22" s="6" t="s">
        <v>12</v>
      </c>
      <c r="K22" s="6" t="s">
        <v>13</v>
      </c>
      <c r="L22" s="6" t="s">
        <v>14</v>
      </c>
      <c r="M22" s="6">
        <v>40</v>
      </c>
      <c r="N22" s="7">
        <v>0</v>
      </c>
    </row>
    <row r="23" spans="3:14" x14ac:dyDescent="0.2">
      <c r="C23" s="5">
        <v>193</v>
      </c>
      <c r="D23" s="6">
        <v>218</v>
      </c>
      <c r="E23" s="6">
        <v>197</v>
      </c>
      <c r="F23" s="6">
        <v>198</v>
      </c>
      <c r="G23" s="6">
        <v>198</v>
      </c>
      <c r="H23" s="6" t="s">
        <v>11</v>
      </c>
      <c r="I23" s="6">
        <f t="shared" si="0"/>
        <v>200.8</v>
      </c>
      <c r="J23" s="6" t="s">
        <v>12</v>
      </c>
      <c r="K23" s="6" t="s">
        <v>13</v>
      </c>
      <c r="L23" s="6" t="s">
        <v>14</v>
      </c>
      <c r="M23" s="6">
        <v>40</v>
      </c>
      <c r="N23" s="7">
        <v>10</v>
      </c>
    </row>
    <row r="24" spans="3:14" x14ac:dyDescent="0.2">
      <c r="C24" s="5">
        <v>220</v>
      </c>
      <c r="D24" s="6">
        <v>213</v>
      </c>
      <c r="E24" s="6">
        <v>213</v>
      </c>
      <c r="F24" s="6">
        <v>199</v>
      </c>
      <c r="G24" s="6">
        <v>225</v>
      </c>
      <c r="H24" s="6" t="s">
        <v>11</v>
      </c>
      <c r="I24" s="6">
        <f t="shared" si="0"/>
        <v>214</v>
      </c>
      <c r="J24" s="6" t="s">
        <v>12</v>
      </c>
      <c r="K24" s="6" t="s">
        <v>13</v>
      </c>
      <c r="L24" s="6" t="s">
        <v>14</v>
      </c>
      <c r="M24" s="6">
        <v>40</v>
      </c>
      <c r="N24" s="7">
        <v>20</v>
      </c>
    </row>
    <row r="25" spans="3:14" x14ac:dyDescent="0.2">
      <c r="C25" s="5" t="s">
        <v>42</v>
      </c>
      <c r="D25" s="6">
        <v>213</v>
      </c>
      <c r="E25" s="6">
        <v>235</v>
      </c>
      <c r="F25" s="6" t="s">
        <v>43</v>
      </c>
      <c r="G25" s="6">
        <v>230</v>
      </c>
      <c r="H25" s="6" t="s">
        <v>11</v>
      </c>
      <c r="I25" s="6">
        <f t="shared" si="0"/>
        <v>226</v>
      </c>
      <c r="J25" s="6" t="s">
        <v>12</v>
      </c>
      <c r="K25" s="6" t="s">
        <v>13</v>
      </c>
      <c r="L25" s="6" t="s">
        <v>14</v>
      </c>
      <c r="M25" s="6">
        <v>40</v>
      </c>
      <c r="N25" s="7">
        <v>30</v>
      </c>
    </row>
    <row r="26" spans="3:14" ht="17" thickBot="1" x14ac:dyDescent="0.25">
      <c r="C26" s="8">
        <v>210</v>
      </c>
      <c r="D26" s="9">
        <v>212</v>
      </c>
      <c r="E26" s="9">
        <v>171</v>
      </c>
      <c r="F26" s="9">
        <v>193</v>
      </c>
      <c r="G26" s="9">
        <v>205</v>
      </c>
      <c r="H26" s="9" t="s">
        <v>15</v>
      </c>
      <c r="I26" s="9">
        <f t="shared" si="0"/>
        <v>198.2</v>
      </c>
      <c r="J26" s="9" t="s">
        <v>12</v>
      </c>
      <c r="K26" s="9" t="s">
        <v>13</v>
      </c>
      <c r="L26" s="9" t="s">
        <v>14</v>
      </c>
      <c r="M26" s="9">
        <v>40</v>
      </c>
      <c r="N26" s="10">
        <v>40</v>
      </c>
    </row>
    <row r="27" spans="3:14" x14ac:dyDescent="0.2">
      <c r="C27" s="2">
        <v>180</v>
      </c>
      <c r="D27" s="3">
        <v>183</v>
      </c>
      <c r="E27" s="3">
        <v>187</v>
      </c>
      <c r="F27" s="3">
        <v>190</v>
      </c>
      <c r="G27" s="3">
        <v>187</v>
      </c>
      <c r="H27" s="3" t="s">
        <v>11</v>
      </c>
      <c r="I27" s="3">
        <f t="shared" si="0"/>
        <v>185.4</v>
      </c>
      <c r="J27" s="3" t="s">
        <v>18</v>
      </c>
      <c r="K27" s="3" t="s">
        <v>13</v>
      </c>
      <c r="L27" s="3" t="s">
        <v>19</v>
      </c>
      <c r="M27" s="3">
        <v>0</v>
      </c>
      <c r="N27" s="4">
        <v>0</v>
      </c>
    </row>
    <row r="28" spans="3:14" x14ac:dyDescent="0.2">
      <c r="C28" s="5">
        <v>175</v>
      </c>
      <c r="D28" s="6">
        <v>182</v>
      </c>
      <c r="E28" s="6">
        <v>181</v>
      </c>
      <c r="F28" s="6">
        <v>182</v>
      </c>
      <c r="G28" s="6">
        <v>180</v>
      </c>
      <c r="H28" s="6" t="s">
        <v>11</v>
      </c>
      <c r="I28" s="6">
        <f t="shared" si="0"/>
        <v>180</v>
      </c>
      <c r="J28" s="6" t="s">
        <v>18</v>
      </c>
      <c r="K28" s="6" t="s">
        <v>13</v>
      </c>
      <c r="L28" s="6" t="s">
        <v>19</v>
      </c>
      <c r="M28" s="6">
        <v>0</v>
      </c>
      <c r="N28" s="7">
        <v>10</v>
      </c>
    </row>
    <row r="29" spans="3:14" x14ac:dyDescent="0.2">
      <c r="C29" s="5">
        <v>170</v>
      </c>
      <c r="D29" s="6">
        <v>170</v>
      </c>
      <c r="E29" s="6">
        <v>173</v>
      </c>
      <c r="F29" s="6">
        <v>170</v>
      </c>
      <c r="G29" s="6">
        <v>171</v>
      </c>
      <c r="H29" s="6" t="s">
        <v>11</v>
      </c>
      <c r="I29" s="6">
        <f t="shared" si="0"/>
        <v>170.8</v>
      </c>
      <c r="J29" s="6" t="s">
        <v>18</v>
      </c>
      <c r="K29" s="6" t="s">
        <v>13</v>
      </c>
      <c r="L29" s="6" t="s">
        <v>19</v>
      </c>
      <c r="M29" s="6">
        <v>0</v>
      </c>
      <c r="N29" s="7">
        <v>20</v>
      </c>
    </row>
    <row r="30" spans="3:14" x14ac:dyDescent="0.2">
      <c r="C30" s="5">
        <v>168</v>
      </c>
      <c r="D30" s="6">
        <v>173</v>
      </c>
      <c r="E30" s="6">
        <v>175</v>
      </c>
      <c r="F30" s="6">
        <v>170</v>
      </c>
      <c r="G30" s="6">
        <v>171</v>
      </c>
      <c r="H30" s="6" t="s">
        <v>11</v>
      </c>
      <c r="I30" s="6">
        <f t="shared" si="0"/>
        <v>171.4</v>
      </c>
      <c r="J30" s="6" t="s">
        <v>18</v>
      </c>
      <c r="K30" s="6" t="s">
        <v>13</v>
      </c>
      <c r="L30" s="6" t="s">
        <v>19</v>
      </c>
      <c r="M30" s="6">
        <v>0</v>
      </c>
      <c r="N30" s="7">
        <v>30</v>
      </c>
    </row>
    <row r="31" spans="3:14" x14ac:dyDescent="0.2">
      <c r="C31" s="5">
        <v>178</v>
      </c>
      <c r="D31" s="6">
        <v>176</v>
      </c>
      <c r="E31" s="6">
        <v>175</v>
      </c>
      <c r="F31" s="6" t="s">
        <v>24</v>
      </c>
      <c r="G31" s="6">
        <v>179</v>
      </c>
      <c r="H31" s="6" t="s">
        <v>11</v>
      </c>
      <c r="I31" s="6">
        <f t="shared" si="0"/>
        <v>177</v>
      </c>
      <c r="J31" s="6" t="s">
        <v>18</v>
      </c>
      <c r="K31" s="6" t="s">
        <v>13</v>
      </c>
      <c r="L31" s="6" t="s">
        <v>19</v>
      </c>
      <c r="M31" s="6">
        <v>0</v>
      </c>
      <c r="N31" s="7">
        <v>40</v>
      </c>
    </row>
    <row r="32" spans="3:14" x14ac:dyDescent="0.2">
      <c r="C32" s="5">
        <v>177</v>
      </c>
      <c r="D32" s="6">
        <v>185</v>
      </c>
      <c r="E32" s="6">
        <v>185</v>
      </c>
      <c r="F32" s="6">
        <v>186</v>
      </c>
      <c r="G32" s="6">
        <v>188</v>
      </c>
      <c r="H32" s="6" t="s">
        <v>11</v>
      </c>
      <c r="I32" s="6">
        <f t="shared" si="0"/>
        <v>184.2</v>
      </c>
      <c r="J32" s="6" t="s">
        <v>18</v>
      </c>
      <c r="K32" s="6" t="s">
        <v>13</v>
      </c>
      <c r="L32" s="6" t="s">
        <v>19</v>
      </c>
      <c r="M32" s="6">
        <v>10</v>
      </c>
      <c r="N32" s="7">
        <v>0</v>
      </c>
    </row>
    <row r="33" spans="3:14" x14ac:dyDescent="0.2">
      <c r="C33" s="5">
        <v>176</v>
      </c>
      <c r="D33" s="6">
        <v>179</v>
      </c>
      <c r="E33" s="6">
        <v>178</v>
      </c>
      <c r="F33" s="6">
        <v>176</v>
      </c>
      <c r="G33" s="6">
        <v>182</v>
      </c>
      <c r="H33" s="6" t="s">
        <v>11</v>
      </c>
      <c r="I33" s="6">
        <f t="shared" si="0"/>
        <v>178.2</v>
      </c>
      <c r="J33" s="6" t="s">
        <v>18</v>
      </c>
      <c r="K33" s="6" t="s">
        <v>13</v>
      </c>
      <c r="L33" s="6" t="s">
        <v>19</v>
      </c>
      <c r="M33" s="6">
        <v>10</v>
      </c>
      <c r="N33" s="7">
        <v>10</v>
      </c>
    </row>
    <row r="34" spans="3:14" x14ac:dyDescent="0.2">
      <c r="C34" s="5">
        <v>179</v>
      </c>
      <c r="D34" s="6">
        <v>178</v>
      </c>
      <c r="E34" s="6">
        <v>175</v>
      </c>
      <c r="F34" s="6">
        <v>177</v>
      </c>
      <c r="G34" s="6">
        <v>179</v>
      </c>
      <c r="H34" s="6" t="s">
        <v>11</v>
      </c>
      <c r="I34" s="6">
        <f t="shared" si="0"/>
        <v>177.6</v>
      </c>
      <c r="J34" s="6" t="s">
        <v>18</v>
      </c>
      <c r="K34" s="6" t="s">
        <v>13</v>
      </c>
      <c r="L34" s="6" t="s">
        <v>19</v>
      </c>
      <c r="M34" s="6">
        <v>10</v>
      </c>
      <c r="N34" s="7">
        <v>20</v>
      </c>
    </row>
    <row r="35" spans="3:14" x14ac:dyDescent="0.2">
      <c r="C35" s="5">
        <v>179</v>
      </c>
      <c r="D35" s="6">
        <v>177</v>
      </c>
      <c r="E35" s="6">
        <v>178</v>
      </c>
      <c r="F35" s="6">
        <v>179</v>
      </c>
      <c r="G35" s="6">
        <v>179</v>
      </c>
      <c r="H35" s="6" t="s">
        <v>11</v>
      </c>
      <c r="I35" s="6">
        <f t="shared" si="0"/>
        <v>178.4</v>
      </c>
      <c r="J35" s="6" t="s">
        <v>18</v>
      </c>
      <c r="K35" s="6" t="s">
        <v>13</v>
      </c>
      <c r="L35" s="6" t="s">
        <v>19</v>
      </c>
      <c r="M35" s="6">
        <v>10</v>
      </c>
      <c r="N35" s="7">
        <v>30</v>
      </c>
    </row>
    <row r="36" spans="3:14" x14ac:dyDescent="0.2">
      <c r="C36" s="5">
        <v>177</v>
      </c>
      <c r="D36" s="6">
        <v>175</v>
      </c>
      <c r="E36" s="6">
        <v>176</v>
      </c>
      <c r="F36" s="6">
        <v>180</v>
      </c>
      <c r="G36" s="6">
        <v>178</v>
      </c>
      <c r="H36" s="6" t="s">
        <v>11</v>
      </c>
      <c r="I36" s="6">
        <f t="shared" si="0"/>
        <v>177.2</v>
      </c>
      <c r="J36" s="6" t="s">
        <v>18</v>
      </c>
      <c r="K36" s="6" t="s">
        <v>13</v>
      </c>
      <c r="L36" s="6" t="s">
        <v>19</v>
      </c>
      <c r="M36" s="6">
        <v>10</v>
      </c>
      <c r="N36" s="7">
        <v>40</v>
      </c>
    </row>
    <row r="37" spans="3:14" x14ac:dyDescent="0.2">
      <c r="C37" s="5">
        <v>191</v>
      </c>
      <c r="D37" s="6">
        <v>200</v>
      </c>
      <c r="E37" s="6" t="s">
        <v>25</v>
      </c>
      <c r="F37" s="6">
        <v>175</v>
      </c>
      <c r="G37" s="6">
        <v>197</v>
      </c>
      <c r="H37" s="6" t="s">
        <v>11</v>
      </c>
      <c r="I37" s="6">
        <f t="shared" si="0"/>
        <v>190.75</v>
      </c>
      <c r="J37" s="6" t="s">
        <v>18</v>
      </c>
      <c r="K37" s="6" t="s">
        <v>13</v>
      </c>
      <c r="L37" s="6" t="s">
        <v>19</v>
      </c>
      <c r="M37" s="6">
        <v>20</v>
      </c>
      <c r="N37" s="7">
        <v>0</v>
      </c>
    </row>
    <row r="38" spans="3:14" x14ac:dyDescent="0.2">
      <c r="C38" s="5">
        <v>191</v>
      </c>
      <c r="D38" s="6">
        <v>181</v>
      </c>
      <c r="E38" s="6">
        <v>186</v>
      </c>
      <c r="F38" s="6">
        <v>195</v>
      </c>
      <c r="G38" s="6">
        <v>183</v>
      </c>
      <c r="H38" s="6" t="s">
        <v>11</v>
      </c>
      <c r="I38" s="6">
        <f t="shared" si="0"/>
        <v>187.2</v>
      </c>
      <c r="J38" s="6" t="s">
        <v>18</v>
      </c>
      <c r="K38" s="6" t="s">
        <v>13</v>
      </c>
      <c r="L38" s="6" t="s">
        <v>19</v>
      </c>
      <c r="M38" s="6">
        <v>20</v>
      </c>
      <c r="N38" s="7">
        <v>10</v>
      </c>
    </row>
    <row r="39" spans="3:14" x14ac:dyDescent="0.2">
      <c r="C39" s="5"/>
      <c r="D39" s="6">
        <v>185</v>
      </c>
      <c r="E39" s="6">
        <v>189</v>
      </c>
      <c r="F39" s="6">
        <v>178</v>
      </c>
      <c r="G39" s="6">
        <v>181</v>
      </c>
      <c r="H39" s="6" t="s">
        <v>11</v>
      </c>
      <c r="I39" s="6">
        <f t="shared" si="0"/>
        <v>183.25</v>
      </c>
      <c r="J39" s="6" t="s">
        <v>18</v>
      </c>
      <c r="K39" s="6" t="s">
        <v>13</v>
      </c>
      <c r="L39" s="6" t="s">
        <v>19</v>
      </c>
      <c r="M39" s="6">
        <v>20</v>
      </c>
      <c r="N39" s="7">
        <v>20</v>
      </c>
    </row>
    <row r="40" spans="3:14" x14ac:dyDescent="0.2">
      <c r="C40" s="5" t="s">
        <v>26</v>
      </c>
      <c r="D40" s="6">
        <v>179</v>
      </c>
      <c r="E40" s="6">
        <v>186</v>
      </c>
      <c r="F40" s="6">
        <v>190</v>
      </c>
      <c r="G40" s="6">
        <v>184</v>
      </c>
      <c r="H40" s="6" t="s">
        <v>11</v>
      </c>
      <c r="I40" s="6">
        <f t="shared" si="0"/>
        <v>184.75</v>
      </c>
      <c r="J40" s="6" t="s">
        <v>18</v>
      </c>
      <c r="K40" s="6" t="s">
        <v>13</v>
      </c>
      <c r="L40" s="6" t="s">
        <v>19</v>
      </c>
      <c r="M40" s="6">
        <v>20</v>
      </c>
      <c r="N40" s="7">
        <v>30</v>
      </c>
    </row>
    <row r="41" spans="3:14" x14ac:dyDescent="0.2">
      <c r="C41" s="5">
        <v>185</v>
      </c>
      <c r="D41" s="6">
        <v>208</v>
      </c>
      <c r="E41" s="6">
        <v>180</v>
      </c>
      <c r="F41" s="6">
        <v>188</v>
      </c>
      <c r="G41" s="6">
        <v>180</v>
      </c>
      <c r="H41" s="6" t="s">
        <v>11</v>
      </c>
      <c r="I41" s="6">
        <f t="shared" si="0"/>
        <v>188.2</v>
      </c>
      <c r="J41" s="6" t="s">
        <v>18</v>
      </c>
      <c r="K41" s="6" t="s">
        <v>13</v>
      </c>
      <c r="L41" s="6" t="s">
        <v>19</v>
      </c>
      <c r="M41" s="6">
        <v>20</v>
      </c>
      <c r="N41" s="7">
        <v>40</v>
      </c>
    </row>
    <row r="42" spans="3:14" x14ac:dyDescent="0.2">
      <c r="C42" s="5">
        <v>190</v>
      </c>
      <c r="D42" s="6" t="s">
        <v>27</v>
      </c>
      <c r="E42" s="6">
        <v>194</v>
      </c>
      <c r="F42" s="6">
        <v>189</v>
      </c>
      <c r="G42" s="6">
        <v>181</v>
      </c>
      <c r="H42" s="6" t="s">
        <v>11</v>
      </c>
      <c r="I42" s="6">
        <f t="shared" si="0"/>
        <v>188.5</v>
      </c>
      <c r="J42" s="6" t="s">
        <v>18</v>
      </c>
      <c r="K42" s="6" t="s">
        <v>13</v>
      </c>
      <c r="L42" s="6" t="s">
        <v>19</v>
      </c>
      <c r="M42" s="6">
        <v>30</v>
      </c>
      <c r="N42" s="7">
        <v>0</v>
      </c>
    </row>
    <row r="43" spans="3:14" x14ac:dyDescent="0.2">
      <c r="C43" s="5">
        <v>181</v>
      </c>
      <c r="D43" s="6">
        <v>186</v>
      </c>
      <c r="E43" s="6">
        <v>185</v>
      </c>
      <c r="F43" s="6">
        <v>179</v>
      </c>
      <c r="G43" s="6">
        <v>185</v>
      </c>
      <c r="H43" s="6" t="s">
        <v>11</v>
      </c>
      <c r="I43" s="6">
        <f t="shared" si="0"/>
        <v>183.2</v>
      </c>
      <c r="J43" s="6" t="s">
        <v>18</v>
      </c>
      <c r="K43" s="6" t="s">
        <v>13</v>
      </c>
      <c r="L43" s="6" t="s">
        <v>19</v>
      </c>
      <c r="M43" s="6">
        <v>30</v>
      </c>
      <c r="N43" s="7">
        <v>10</v>
      </c>
    </row>
    <row r="44" spans="3:14" x14ac:dyDescent="0.2">
      <c r="C44" s="5">
        <v>174</v>
      </c>
      <c r="D44" s="6">
        <v>178</v>
      </c>
      <c r="E44" s="6">
        <v>176</v>
      </c>
      <c r="F44" s="6">
        <v>175</v>
      </c>
      <c r="G44" s="6">
        <v>176</v>
      </c>
      <c r="H44" s="6" t="s">
        <v>11</v>
      </c>
      <c r="I44" s="6">
        <f t="shared" si="0"/>
        <v>175.8</v>
      </c>
      <c r="J44" s="6" t="s">
        <v>18</v>
      </c>
      <c r="K44" s="6" t="s">
        <v>13</v>
      </c>
      <c r="L44" s="6" t="s">
        <v>19</v>
      </c>
      <c r="M44" s="6">
        <v>30</v>
      </c>
      <c r="N44" s="7">
        <v>20</v>
      </c>
    </row>
    <row r="45" spans="3:14" x14ac:dyDescent="0.2">
      <c r="C45" s="5">
        <v>170</v>
      </c>
      <c r="D45" s="6">
        <v>169</v>
      </c>
      <c r="E45" s="6">
        <v>170</v>
      </c>
      <c r="F45" s="6">
        <v>173</v>
      </c>
      <c r="G45" s="6">
        <v>175</v>
      </c>
      <c r="H45" s="6" t="s">
        <v>11</v>
      </c>
      <c r="I45" s="6">
        <f t="shared" si="0"/>
        <v>171.4</v>
      </c>
      <c r="J45" s="6" t="s">
        <v>18</v>
      </c>
      <c r="K45" s="6" t="s">
        <v>13</v>
      </c>
      <c r="L45" s="6" t="s">
        <v>19</v>
      </c>
      <c r="M45" s="6">
        <v>30</v>
      </c>
      <c r="N45" s="7">
        <v>30</v>
      </c>
    </row>
    <row r="46" spans="3:14" x14ac:dyDescent="0.2">
      <c r="C46" s="5">
        <v>176</v>
      </c>
      <c r="D46" s="6">
        <v>185</v>
      </c>
      <c r="E46" s="6">
        <v>176</v>
      </c>
      <c r="F46" s="6">
        <v>177</v>
      </c>
      <c r="G46" s="6">
        <v>181</v>
      </c>
      <c r="H46" s="6" t="s">
        <v>11</v>
      </c>
      <c r="I46" s="6">
        <f t="shared" si="0"/>
        <v>179</v>
      </c>
      <c r="J46" s="6" t="s">
        <v>18</v>
      </c>
      <c r="K46" s="6" t="s">
        <v>13</v>
      </c>
      <c r="L46" s="6" t="s">
        <v>19</v>
      </c>
      <c r="M46" s="6">
        <v>30</v>
      </c>
      <c r="N46" s="7">
        <v>40</v>
      </c>
    </row>
    <row r="47" spans="3:14" x14ac:dyDescent="0.2">
      <c r="C47" s="5">
        <v>180</v>
      </c>
      <c r="D47" s="6">
        <v>181</v>
      </c>
      <c r="E47" s="6">
        <v>175</v>
      </c>
      <c r="F47" s="6">
        <v>186</v>
      </c>
      <c r="G47" s="6">
        <v>189</v>
      </c>
      <c r="H47" s="6" t="s">
        <v>11</v>
      </c>
      <c r="I47" s="6">
        <f t="shared" si="0"/>
        <v>182.2</v>
      </c>
      <c r="J47" s="6" t="s">
        <v>18</v>
      </c>
      <c r="K47" s="6" t="s">
        <v>13</v>
      </c>
      <c r="L47" s="6" t="s">
        <v>19</v>
      </c>
      <c r="M47" s="6">
        <v>40</v>
      </c>
      <c r="N47" s="7">
        <v>0</v>
      </c>
    </row>
    <row r="48" spans="3:14" x14ac:dyDescent="0.2">
      <c r="C48" s="5" t="s">
        <v>28</v>
      </c>
      <c r="D48" s="6">
        <v>183</v>
      </c>
      <c r="E48" s="6">
        <v>177</v>
      </c>
      <c r="F48" s="6" t="s">
        <v>29</v>
      </c>
      <c r="G48" s="6">
        <v>185</v>
      </c>
      <c r="H48" s="6" t="s">
        <v>11</v>
      </c>
      <c r="I48" s="6">
        <f t="shared" si="0"/>
        <v>181.66666666666666</v>
      </c>
      <c r="J48" s="6" t="s">
        <v>18</v>
      </c>
      <c r="K48" s="6" t="s">
        <v>13</v>
      </c>
      <c r="L48" s="6" t="s">
        <v>19</v>
      </c>
      <c r="M48" s="6">
        <v>40</v>
      </c>
      <c r="N48" s="7">
        <v>10</v>
      </c>
    </row>
    <row r="49" spans="3:14" x14ac:dyDescent="0.2">
      <c r="C49" s="5">
        <v>175</v>
      </c>
      <c r="D49" s="6">
        <v>176</v>
      </c>
      <c r="E49" s="6">
        <v>174</v>
      </c>
      <c r="F49" s="6">
        <v>174</v>
      </c>
      <c r="G49" s="6">
        <v>178</v>
      </c>
      <c r="H49" s="6" t="s">
        <v>11</v>
      </c>
      <c r="I49" s="6">
        <f t="shared" si="0"/>
        <v>175.4</v>
      </c>
      <c r="J49" s="6" t="s">
        <v>18</v>
      </c>
      <c r="K49" s="6" t="s">
        <v>13</v>
      </c>
      <c r="L49" s="6" t="s">
        <v>19</v>
      </c>
      <c r="M49" s="6">
        <v>40</v>
      </c>
      <c r="N49" s="7">
        <v>20</v>
      </c>
    </row>
    <row r="50" spans="3:14" x14ac:dyDescent="0.2">
      <c r="C50" s="5">
        <v>183</v>
      </c>
      <c r="D50" s="6">
        <v>188</v>
      </c>
      <c r="E50" s="6">
        <v>181</v>
      </c>
      <c r="F50" s="6" t="s">
        <v>29</v>
      </c>
      <c r="G50" s="6">
        <v>186</v>
      </c>
      <c r="H50" s="6" t="s">
        <v>11</v>
      </c>
      <c r="I50" s="6">
        <f t="shared" si="0"/>
        <v>184.5</v>
      </c>
      <c r="J50" s="6" t="s">
        <v>18</v>
      </c>
      <c r="K50" s="6" t="s">
        <v>13</v>
      </c>
      <c r="L50" s="6" t="s">
        <v>19</v>
      </c>
      <c r="M50" s="6">
        <v>40</v>
      </c>
      <c r="N50" s="7">
        <v>30</v>
      </c>
    </row>
    <row r="51" spans="3:14" ht="17" thickBot="1" x14ac:dyDescent="0.25">
      <c r="C51" s="8">
        <v>186</v>
      </c>
      <c r="D51" s="9">
        <v>189</v>
      </c>
      <c r="E51" s="9">
        <v>181</v>
      </c>
      <c r="F51" s="9">
        <v>186</v>
      </c>
      <c r="G51" s="9">
        <v>190</v>
      </c>
      <c r="H51" s="6" t="s">
        <v>11</v>
      </c>
      <c r="I51" s="9">
        <f t="shared" si="0"/>
        <v>186.4</v>
      </c>
      <c r="J51" s="9" t="s">
        <v>18</v>
      </c>
      <c r="K51" s="9" t="s">
        <v>13</v>
      </c>
      <c r="L51" s="9" t="s">
        <v>19</v>
      </c>
      <c r="M51" s="9">
        <v>40</v>
      </c>
      <c r="N51" s="10">
        <v>40</v>
      </c>
    </row>
    <row r="52" spans="3:14" x14ac:dyDescent="0.2">
      <c r="C52" s="2">
        <v>106</v>
      </c>
      <c r="D52" s="3">
        <v>109</v>
      </c>
      <c r="E52" s="3">
        <v>100</v>
      </c>
      <c r="F52" s="3">
        <v>104</v>
      </c>
      <c r="G52" s="3">
        <v>100</v>
      </c>
      <c r="H52" s="3" t="s">
        <v>20</v>
      </c>
      <c r="I52" s="3">
        <f t="shared" si="0"/>
        <v>103.8</v>
      </c>
      <c r="J52" s="3" t="s">
        <v>21</v>
      </c>
      <c r="K52" s="3" t="s">
        <v>22</v>
      </c>
      <c r="L52" s="3" t="s">
        <v>23</v>
      </c>
      <c r="M52" s="3">
        <v>0</v>
      </c>
      <c r="N52" s="4">
        <v>0</v>
      </c>
    </row>
    <row r="53" spans="3:14" x14ac:dyDescent="0.2">
      <c r="C53" s="5">
        <v>95</v>
      </c>
      <c r="D53" s="6">
        <v>89</v>
      </c>
      <c r="E53" s="6">
        <v>89</v>
      </c>
      <c r="F53" s="6">
        <v>85</v>
      </c>
      <c r="G53" s="6">
        <v>93</v>
      </c>
      <c r="H53" s="6" t="s">
        <v>20</v>
      </c>
      <c r="I53" s="6">
        <f t="shared" si="0"/>
        <v>90.2</v>
      </c>
      <c r="J53" s="6" t="s">
        <v>21</v>
      </c>
      <c r="K53" s="6" t="s">
        <v>22</v>
      </c>
      <c r="L53" s="6" t="s">
        <v>23</v>
      </c>
      <c r="M53" s="6">
        <v>0</v>
      </c>
      <c r="N53" s="7">
        <v>10</v>
      </c>
    </row>
    <row r="54" spans="3:14" x14ac:dyDescent="0.2">
      <c r="C54" s="5">
        <v>103</v>
      </c>
      <c r="D54" s="6">
        <v>116</v>
      </c>
      <c r="E54" s="6">
        <v>107</v>
      </c>
      <c r="F54" s="6">
        <v>105</v>
      </c>
      <c r="G54" s="6">
        <v>112</v>
      </c>
      <c r="H54" s="6" t="s">
        <v>30</v>
      </c>
      <c r="I54" s="6">
        <f t="shared" si="0"/>
        <v>108.6</v>
      </c>
      <c r="J54" s="6" t="s">
        <v>21</v>
      </c>
      <c r="K54" s="6" t="s">
        <v>22</v>
      </c>
      <c r="L54" s="6" t="s">
        <v>23</v>
      </c>
      <c r="M54" s="6">
        <v>0</v>
      </c>
      <c r="N54" s="7">
        <v>20</v>
      </c>
    </row>
    <row r="55" spans="3:14" x14ac:dyDescent="0.2">
      <c r="C55" s="5" t="s">
        <v>36</v>
      </c>
      <c r="D55" s="6">
        <v>87</v>
      </c>
      <c r="E55" s="6">
        <v>91</v>
      </c>
      <c r="F55" s="6">
        <v>101</v>
      </c>
      <c r="G55" s="6" t="s">
        <v>37</v>
      </c>
      <c r="H55" s="6" t="s">
        <v>20</v>
      </c>
      <c r="I55" s="6">
        <f t="shared" si="0"/>
        <v>93</v>
      </c>
      <c r="J55" s="6" t="s">
        <v>21</v>
      </c>
      <c r="K55" s="6" t="s">
        <v>22</v>
      </c>
      <c r="L55" s="6" t="s">
        <v>23</v>
      </c>
      <c r="M55" s="6">
        <v>0</v>
      </c>
      <c r="N55" s="7">
        <v>30</v>
      </c>
    </row>
    <row r="56" spans="3:14" x14ac:dyDescent="0.2">
      <c r="C56" s="5">
        <v>105</v>
      </c>
      <c r="D56" s="6">
        <v>100</v>
      </c>
      <c r="E56" s="6">
        <v>112</v>
      </c>
      <c r="F56" s="6">
        <v>101</v>
      </c>
      <c r="G56" s="6">
        <v>105</v>
      </c>
      <c r="H56" s="6" t="s">
        <v>20</v>
      </c>
      <c r="I56" s="6">
        <f t="shared" si="0"/>
        <v>104.6</v>
      </c>
      <c r="J56" s="6" t="s">
        <v>21</v>
      </c>
      <c r="K56" s="6" t="s">
        <v>22</v>
      </c>
      <c r="L56" s="6" t="s">
        <v>23</v>
      </c>
      <c r="M56" s="6">
        <v>0</v>
      </c>
      <c r="N56" s="7">
        <v>40</v>
      </c>
    </row>
    <row r="57" spans="3:14" x14ac:dyDescent="0.2">
      <c r="C57" s="5">
        <v>107</v>
      </c>
      <c r="D57" s="6">
        <v>96</v>
      </c>
      <c r="E57" s="6">
        <v>89</v>
      </c>
      <c r="F57" s="6">
        <v>96</v>
      </c>
      <c r="G57" s="6">
        <v>107</v>
      </c>
      <c r="H57" s="6" t="s">
        <v>11</v>
      </c>
      <c r="I57" s="6">
        <f t="shared" si="0"/>
        <v>99</v>
      </c>
      <c r="J57" s="6" t="s">
        <v>21</v>
      </c>
      <c r="K57" s="6" t="s">
        <v>22</v>
      </c>
      <c r="L57" s="6" t="s">
        <v>23</v>
      </c>
      <c r="M57" s="6">
        <v>10</v>
      </c>
      <c r="N57" s="7">
        <v>0</v>
      </c>
    </row>
    <row r="58" spans="3:14" x14ac:dyDescent="0.2">
      <c r="C58" s="5">
        <v>111</v>
      </c>
      <c r="D58" s="6">
        <v>108</v>
      </c>
      <c r="E58" s="6">
        <v>108</v>
      </c>
      <c r="F58" s="6">
        <v>106</v>
      </c>
      <c r="G58" s="6">
        <v>98</v>
      </c>
      <c r="H58" s="6" t="s">
        <v>11</v>
      </c>
      <c r="I58" s="6">
        <f t="shared" si="0"/>
        <v>106.2</v>
      </c>
      <c r="J58" s="6" t="s">
        <v>21</v>
      </c>
      <c r="K58" s="6" t="s">
        <v>22</v>
      </c>
      <c r="L58" s="6" t="s">
        <v>23</v>
      </c>
      <c r="M58" s="6">
        <v>10</v>
      </c>
      <c r="N58" s="7">
        <v>10</v>
      </c>
    </row>
    <row r="59" spans="3:14" x14ac:dyDescent="0.2">
      <c r="C59" s="5">
        <v>105</v>
      </c>
      <c r="D59" s="6">
        <v>106</v>
      </c>
      <c r="E59" s="6">
        <v>99</v>
      </c>
      <c r="F59" s="6">
        <v>98</v>
      </c>
      <c r="G59" s="6">
        <v>103</v>
      </c>
      <c r="H59" s="6" t="s">
        <v>11</v>
      </c>
      <c r="I59" s="6">
        <f t="shared" si="0"/>
        <v>102.2</v>
      </c>
      <c r="J59" s="6" t="s">
        <v>21</v>
      </c>
      <c r="K59" s="6" t="s">
        <v>22</v>
      </c>
      <c r="L59" s="6" t="s">
        <v>23</v>
      </c>
      <c r="M59" s="6">
        <v>10</v>
      </c>
      <c r="N59" s="7">
        <v>20</v>
      </c>
    </row>
    <row r="60" spans="3:14" x14ac:dyDescent="0.2">
      <c r="C60" s="5">
        <v>106</v>
      </c>
      <c r="D60" s="6">
        <v>107</v>
      </c>
      <c r="E60" s="6">
        <v>106</v>
      </c>
      <c r="F60" s="6">
        <v>101</v>
      </c>
      <c r="G60" s="6">
        <v>105</v>
      </c>
      <c r="H60" s="6" t="s">
        <v>20</v>
      </c>
      <c r="I60" s="6">
        <f t="shared" si="0"/>
        <v>105</v>
      </c>
      <c r="J60" s="6" t="s">
        <v>21</v>
      </c>
      <c r="K60" s="6" t="s">
        <v>22</v>
      </c>
      <c r="L60" s="6" t="s">
        <v>23</v>
      </c>
      <c r="M60" s="6">
        <v>10</v>
      </c>
      <c r="N60" s="7">
        <v>30</v>
      </c>
    </row>
    <row r="61" spans="3:14" x14ac:dyDescent="0.2">
      <c r="C61" s="5">
        <v>104</v>
      </c>
      <c r="D61" s="6">
        <v>97</v>
      </c>
      <c r="E61" s="6">
        <v>105</v>
      </c>
      <c r="F61" s="6">
        <v>98</v>
      </c>
      <c r="G61" s="6">
        <v>106</v>
      </c>
      <c r="H61" s="6" t="s">
        <v>20</v>
      </c>
      <c r="I61" s="6">
        <f t="shared" si="0"/>
        <v>102</v>
      </c>
      <c r="J61" s="6" t="s">
        <v>21</v>
      </c>
      <c r="K61" s="6" t="s">
        <v>22</v>
      </c>
      <c r="L61" s="6" t="s">
        <v>23</v>
      </c>
      <c r="M61" s="6">
        <v>10</v>
      </c>
      <c r="N61" s="7">
        <v>40</v>
      </c>
    </row>
    <row r="62" spans="3:14" x14ac:dyDescent="0.2">
      <c r="C62" s="5">
        <v>65</v>
      </c>
      <c r="D62" s="6">
        <v>90</v>
      </c>
      <c r="E62" s="6">
        <v>76</v>
      </c>
      <c r="F62" s="6">
        <v>90</v>
      </c>
      <c r="G62" s="6">
        <v>85</v>
      </c>
      <c r="H62" s="6" t="s">
        <v>20</v>
      </c>
      <c r="I62" s="6">
        <f t="shared" si="0"/>
        <v>81.2</v>
      </c>
      <c r="J62" s="6" t="s">
        <v>21</v>
      </c>
      <c r="K62" s="6" t="s">
        <v>22</v>
      </c>
      <c r="L62" s="6" t="s">
        <v>23</v>
      </c>
      <c r="M62" s="6">
        <v>20</v>
      </c>
      <c r="N62" s="7">
        <v>0</v>
      </c>
    </row>
    <row r="63" spans="3:14" x14ac:dyDescent="0.2">
      <c r="C63" s="5" t="s">
        <v>31</v>
      </c>
      <c r="D63" s="6" t="s">
        <v>32</v>
      </c>
      <c r="E63" s="6" t="s">
        <v>33</v>
      </c>
      <c r="F63" s="6" t="s">
        <v>34</v>
      </c>
      <c r="G63" s="6" t="s">
        <v>34</v>
      </c>
      <c r="H63" s="6" t="s">
        <v>16</v>
      </c>
      <c r="I63" s="6"/>
      <c r="J63" s="6" t="s">
        <v>21</v>
      </c>
      <c r="K63" s="6" t="s">
        <v>22</v>
      </c>
      <c r="L63" s="6" t="s">
        <v>23</v>
      </c>
      <c r="M63" s="6">
        <v>20</v>
      </c>
      <c r="N63" s="7">
        <v>10</v>
      </c>
    </row>
    <row r="64" spans="3:14" x14ac:dyDescent="0.2">
      <c r="C64" s="5">
        <v>87</v>
      </c>
      <c r="D64" s="6">
        <v>79</v>
      </c>
      <c r="E64" s="6" t="s">
        <v>33</v>
      </c>
      <c r="F64" s="6">
        <v>89</v>
      </c>
      <c r="G64" s="6">
        <v>90</v>
      </c>
      <c r="H64" s="6" t="s">
        <v>11</v>
      </c>
      <c r="I64" s="6">
        <f t="shared" si="0"/>
        <v>86.25</v>
      </c>
      <c r="J64" s="6" t="s">
        <v>21</v>
      </c>
      <c r="K64" s="6" t="s">
        <v>22</v>
      </c>
      <c r="L64" s="6" t="s">
        <v>23</v>
      </c>
      <c r="M64" s="6">
        <v>20</v>
      </c>
      <c r="N64" s="7">
        <v>20</v>
      </c>
    </row>
    <row r="65" spans="3:14" x14ac:dyDescent="0.2">
      <c r="C65" s="5">
        <v>70</v>
      </c>
      <c r="D65" s="6">
        <v>69</v>
      </c>
      <c r="E65" s="6">
        <v>75</v>
      </c>
      <c r="F65" s="6" t="s">
        <v>35</v>
      </c>
      <c r="G65" s="6">
        <v>80</v>
      </c>
      <c r="H65" s="6" t="s">
        <v>20</v>
      </c>
      <c r="I65" s="6">
        <f t="shared" si="0"/>
        <v>73.5</v>
      </c>
      <c r="J65" s="6" t="s">
        <v>21</v>
      </c>
      <c r="K65" s="6" t="s">
        <v>22</v>
      </c>
      <c r="L65" s="6" t="s">
        <v>23</v>
      </c>
      <c r="M65" s="6">
        <v>20</v>
      </c>
      <c r="N65" s="7">
        <v>30</v>
      </c>
    </row>
    <row r="66" spans="3:14" x14ac:dyDescent="0.2">
      <c r="C66" s="5">
        <v>75</v>
      </c>
      <c r="D66" s="6">
        <v>76</v>
      </c>
      <c r="E66" s="6">
        <v>30</v>
      </c>
      <c r="F66" s="6">
        <v>76</v>
      </c>
      <c r="G66" s="6">
        <v>70</v>
      </c>
      <c r="H66" s="6" t="s">
        <v>20</v>
      </c>
      <c r="I66" s="6">
        <f t="shared" si="0"/>
        <v>65.400000000000006</v>
      </c>
      <c r="J66" s="6" t="s">
        <v>21</v>
      </c>
      <c r="K66" s="6" t="s">
        <v>22</v>
      </c>
      <c r="L66" s="6" t="s">
        <v>23</v>
      </c>
      <c r="M66" s="6">
        <v>20</v>
      </c>
      <c r="N66" s="7">
        <v>40</v>
      </c>
    </row>
    <row r="67" spans="3:14" x14ac:dyDescent="0.2">
      <c r="C67" s="5">
        <v>115</v>
      </c>
      <c r="D67" s="6" t="s">
        <v>38</v>
      </c>
      <c r="E67" s="6">
        <v>113</v>
      </c>
      <c r="F67" s="6" t="s">
        <v>39</v>
      </c>
      <c r="G67" s="6">
        <v>117</v>
      </c>
      <c r="H67" s="6" t="s">
        <v>20</v>
      </c>
      <c r="I67" s="6">
        <f t="shared" ref="I67:I76" si="1">AVERAGE(C67:G67)</f>
        <v>115</v>
      </c>
      <c r="J67" s="6" t="s">
        <v>21</v>
      </c>
      <c r="K67" s="6" t="s">
        <v>22</v>
      </c>
      <c r="L67" s="6" t="s">
        <v>23</v>
      </c>
      <c r="M67" s="6">
        <v>30</v>
      </c>
      <c r="N67" s="7">
        <v>0</v>
      </c>
    </row>
    <row r="68" spans="3:14" x14ac:dyDescent="0.2">
      <c r="C68" s="5">
        <v>101</v>
      </c>
      <c r="D68" s="6">
        <v>113</v>
      </c>
      <c r="E68" s="6">
        <v>134</v>
      </c>
      <c r="F68" s="6">
        <v>126</v>
      </c>
      <c r="G68" s="6">
        <v>122</v>
      </c>
      <c r="H68" s="6" t="s">
        <v>11</v>
      </c>
      <c r="I68" s="6">
        <f t="shared" si="1"/>
        <v>119.2</v>
      </c>
      <c r="J68" s="6" t="s">
        <v>21</v>
      </c>
      <c r="K68" s="6" t="s">
        <v>22</v>
      </c>
      <c r="L68" s="6" t="s">
        <v>23</v>
      </c>
      <c r="M68" s="6">
        <v>30</v>
      </c>
      <c r="N68" s="7">
        <v>10</v>
      </c>
    </row>
    <row r="69" spans="3:14" x14ac:dyDescent="0.2">
      <c r="C69" s="5">
        <v>98</v>
      </c>
      <c r="D69" s="6">
        <v>96</v>
      </c>
      <c r="E69" s="6">
        <v>101</v>
      </c>
      <c r="F69" s="6">
        <v>96</v>
      </c>
      <c r="G69" s="6">
        <v>100</v>
      </c>
      <c r="H69" s="6" t="s">
        <v>20</v>
      </c>
      <c r="I69" s="6">
        <f t="shared" si="1"/>
        <v>98.2</v>
      </c>
      <c r="J69" s="6" t="s">
        <v>21</v>
      </c>
      <c r="K69" s="6" t="s">
        <v>22</v>
      </c>
      <c r="L69" s="6" t="s">
        <v>23</v>
      </c>
      <c r="M69" s="6">
        <v>30</v>
      </c>
      <c r="N69" s="7">
        <v>20</v>
      </c>
    </row>
    <row r="70" spans="3:14" x14ac:dyDescent="0.2">
      <c r="C70" s="5">
        <v>51</v>
      </c>
      <c r="D70" s="6">
        <v>65</v>
      </c>
      <c r="E70" s="6" t="s">
        <v>33</v>
      </c>
      <c r="F70" s="6" t="s">
        <v>40</v>
      </c>
      <c r="G70" s="6" t="s">
        <v>41</v>
      </c>
      <c r="H70" s="6" t="s">
        <v>20</v>
      </c>
      <c r="I70" s="6">
        <f t="shared" si="1"/>
        <v>58</v>
      </c>
      <c r="J70" s="6" t="s">
        <v>21</v>
      </c>
      <c r="K70" s="6" t="s">
        <v>22</v>
      </c>
      <c r="L70" s="6" t="s">
        <v>23</v>
      </c>
      <c r="M70" s="6">
        <v>30</v>
      </c>
      <c r="N70" s="7">
        <v>30</v>
      </c>
    </row>
    <row r="71" spans="3:14" x14ac:dyDescent="0.2">
      <c r="C71" s="5">
        <v>80</v>
      </c>
      <c r="D71" s="6">
        <v>77</v>
      </c>
      <c r="E71" s="6">
        <v>80</v>
      </c>
      <c r="F71" s="6">
        <v>85</v>
      </c>
      <c r="G71" s="6">
        <v>77</v>
      </c>
      <c r="H71" s="6" t="s">
        <v>20</v>
      </c>
      <c r="I71" s="6">
        <f t="shared" si="1"/>
        <v>79.8</v>
      </c>
      <c r="J71" s="6" t="s">
        <v>21</v>
      </c>
      <c r="K71" s="6" t="s">
        <v>22</v>
      </c>
      <c r="L71" s="6" t="s">
        <v>23</v>
      </c>
      <c r="M71" s="6">
        <v>30</v>
      </c>
      <c r="N71" s="7">
        <v>40</v>
      </c>
    </row>
    <row r="72" spans="3:14" x14ac:dyDescent="0.2">
      <c r="C72" s="5">
        <v>117</v>
      </c>
      <c r="D72" s="6">
        <v>127</v>
      </c>
      <c r="E72" s="6">
        <v>131</v>
      </c>
      <c r="F72" s="6" t="s">
        <v>38</v>
      </c>
      <c r="G72" s="6">
        <v>130</v>
      </c>
      <c r="H72" s="6" t="s">
        <v>16</v>
      </c>
      <c r="I72" s="6">
        <f t="shared" si="1"/>
        <v>126.25</v>
      </c>
      <c r="J72" s="6" t="s">
        <v>21</v>
      </c>
      <c r="K72" s="6" t="s">
        <v>22</v>
      </c>
      <c r="L72" s="6" t="s">
        <v>23</v>
      </c>
      <c r="M72" s="6">
        <v>40</v>
      </c>
      <c r="N72" s="7">
        <v>0</v>
      </c>
    </row>
    <row r="73" spans="3:14" x14ac:dyDescent="0.2">
      <c r="C73" s="5">
        <v>102</v>
      </c>
      <c r="D73" s="6">
        <v>87</v>
      </c>
      <c r="E73" s="6">
        <v>115</v>
      </c>
      <c r="F73" s="6">
        <v>102</v>
      </c>
      <c r="G73" s="6">
        <v>87</v>
      </c>
      <c r="H73" s="6" t="s">
        <v>20</v>
      </c>
      <c r="I73" s="6">
        <f t="shared" si="1"/>
        <v>98.6</v>
      </c>
      <c r="J73" s="6" t="s">
        <v>21</v>
      </c>
      <c r="K73" s="6" t="s">
        <v>22</v>
      </c>
      <c r="L73" s="6" t="s">
        <v>23</v>
      </c>
      <c r="M73" s="6">
        <v>40</v>
      </c>
      <c r="N73" s="7">
        <v>10</v>
      </c>
    </row>
    <row r="74" spans="3:14" x14ac:dyDescent="0.2">
      <c r="C74" s="5">
        <v>70</v>
      </c>
      <c r="D74" s="6">
        <v>90</v>
      </c>
      <c r="E74" s="6">
        <v>96</v>
      </c>
      <c r="F74" s="6">
        <v>87</v>
      </c>
      <c r="G74" s="6">
        <v>87</v>
      </c>
      <c r="H74" s="6" t="s">
        <v>20</v>
      </c>
      <c r="I74" s="6">
        <f t="shared" si="1"/>
        <v>86</v>
      </c>
      <c r="J74" s="6" t="s">
        <v>21</v>
      </c>
      <c r="K74" s="6" t="s">
        <v>22</v>
      </c>
      <c r="L74" s="6" t="s">
        <v>23</v>
      </c>
      <c r="M74" s="6">
        <v>40</v>
      </c>
      <c r="N74" s="7">
        <v>20</v>
      </c>
    </row>
    <row r="75" spans="3:14" x14ac:dyDescent="0.2">
      <c r="C75" s="5">
        <v>100</v>
      </c>
      <c r="D75" s="6">
        <v>103</v>
      </c>
      <c r="E75" s="6">
        <v>104</v>
      </c>
      <c r="F75" s="6" t="s">
        <v>39</v>
      </c>
      <c r="G75" s="6">
        <v>100</v>
      </c>
      <c r="H75" s="6" t="s">
        <v>20</v>
      </c>
      <c r="I75" s="6">
        <f t="shared" si="1"/>
        <v>101.75</v>
      </c>
      <c r="J75" s="6" t="s">
        <v>21</v>
      </c>
      <c r="K75" s="6" t="s">
        <v>22</v>
      </c>
      <c r="L75" s="6" t="s">
        <v>23</v>
      </c>
      <c r="M75" s="6">
        <v>40</v>
      </c>
      <c r="N75" s="7">
        <v>30</v>
      </c>
    </row>
    <row r="76" spans="3:14" ht="17" thickBot="1" x14ac:dyDescent="0.25">
      <c r="C76" s="8">
        <v>99</v>
      </c>
      <c r="D76" s="9" t="s">
        <v>38</v>
      </c>
      <c r="E76" s="9">
        <v>102</v>
      </c>
      <c r="F76" s="9">
        <v>96</v>
      </c>
      <c r="G76" s="9">
        <v>105</v>
      </c>
      <c r="H76" s="9" t="s">
        <v>20</v>
      </c>
      <c r="I76" s="9">
        <f t="shared" si="1"/>
        <v>100.5</v>
      </c>
      <c r="J76" s="9" t="s">
        <v>21</v>
      </c>
      <c r="K76" s="9" t="s">
        <v>22</v>
      </c>
      <c r="L76" s="9" t="s">
        <v>23</v>
      </c>
      <c r="M76" s="9">
        <v>40</v>
      </c>
      <c r="N76" s="1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Feb 2019</vt:lpstr>
      <vt:lpstr>Depths at weather stations </vt:lpstr>
      <vt:lpstr>Notes</vt:lpstr>
      <vt:lpstr>Dat_Feb_24_2019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2019-03-06T02:01:53Z</dcterms:created>
  <dcterms:modified xsi:type="dcterms:W3CDTF">2019-03-08T21:37:37Z</dcterms:modified>
</cp:coreProperties>
</file>