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KiCost" sheetId="1" state="visible" r:id="rId2"/>
  </sheets>
  <definedNames>
    <definedName function="false" hidden="false" name="BoardQty" vbProcedure="false">KiCost!$G$1</definedName>
    <definedName function="false" hidden="false" name="digikey_part_data" vbProcedure="false">KiCost!$H$5:$M$167</definedName>
    <definedName function="false" hidden="false" name="global_part_data" vbProcedure="false">KiCost!$A$5:$G$167</definedName>
    <definedName function="false" hidden="false" name="mouser_part_data" vbProcedure="false">KiCost!$N$5:$S$167</definedName>
    <definedName function="false" hidden="false" name="newark_part_data" vbProcedure="false">KiCost!$T$5:$Y$167</definedName>
    <definedName function="false" hidden="false" name="TotalCost" vbProcedure="false">KiCost!$G$2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6" authorId="0">
      <text>
        <r>
          <rPr>
            <sz val="8"/>
            <color rgb="FF000000"/>
            <rFont val="Tahoma"/>
            <family val="2"/>
            <charset val="1"/>
          </rPr>
          <t>Schematic identifier for each part.</t>
        </r>
      </text>
    </comment>
    <comment ref="B6" authorId="0">
      <text>
        <r>
          <rPr>
            <sz val="8"/>
            <color rgb="FF000000"/>
            <rFont val="Tahoma"/>
            <family val="2"/>
            <charset val="1"/>
          </rPr>
          <t>Value of each part.</t>
        </r>
      </text>
    </comment>
    <comment ref="C6" authorId="0">
      <text>
        <r>
          <rPr>
            <sz val="8"/>
            <color rgb="FF000000"/>
            <rFont val="Tahoma"/>
            <family val="2"/>
            <charset val="1"/>
          </rPr>
          <t>Manufacturer of each part.</t>
        </r>
      </text>
    </comment>
    <comment ref="D6" authorId="0">
      <text>
        <r>
          <rPr>
            <sz val="8"/>
            <color rgb="FF000000"/>
            <rFont val="Tahoma"/>
            <family val="2"/>
            <charset val="1"/>
          </rPr>
          <t>Manufacturer number for each part.</t>
        </r>
      </text>
    </comment>
    <comment ref="E6" authorId="0">
      <text>
        <r>
          <rPr>
            <sz val="8"/>
            <color rgb="FF000000"/>
            <rFont val="Tahoma"/>
            <family val="2"/>
            <charset val="1"/>
          </rPr>
          <t>Total number of each part needed to assemble the board.</t>
        </r>
      </text>
    </comment>
    <comment ref="F6" authorId="0">
      <text>
        <r>
          <rPr>
            <sz val="8"/>
            <color rgb="FF000000"/>
            <rFont val="Tahoma"/>
            <family val="2"/>
            <charset val="1"/>
          </rPr>
          <t>Minimum unit price for each part across all distributors.</t>
        </r>
      </text>
    </comment>
    <comment ref="G6" authorId="0">
      <text>
        <r>
          <rPr>
            <sz val="8"/>
            <color rgb="FF000000"/>
            <rFont val="Tahoma"/>
            <family val="2"/>
            <charset val="1"/>
          </rPr>
          <t>Minimum extended price for each part across all distributors.</t>
        </r>
      </text>
    </comment>
    <comment ref="H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I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J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K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L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M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  <comment ref="N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O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P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Q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R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S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  <comment ref="T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U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V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W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X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Y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</commentList>
</comments>
</file>

<file path=xl/sharedStrings.xml><?xml version="1.0" encoding="utf-8"?>
<sst xmlns="http://schemas.openxmlformats.org/spreadsheetml/2006/main" count="1292" uniqueCount="666">
  <si>
    <t>Board Qty:</t>
  </si>
  <si>
    <t>BOM File CIAA-PIC</t>
  </si>
  <si>
    <t>Total Cost:</t>
  </si>
  <si>
    <t>Unit Cost:</t>
  </si>
  <si>
    <t>Global Part Info</t>
  </si>
  <si>
    <t>Digi-Key</t>
  </si>
  <si>
    <t>Mouser</t>
  </si>
  <si>
    <t>Newark</t>
  </si>
  <si>
    <t>Refs</t>
  </si>
  <si>
    <t>Value</t>
  </si>
  <si>
    <t>Manf</t>
  </si>
  <si>
    <t>Manf#</t>
  </si>
  <si>
    <t>Qty</t>
  </si>
  <si>
    <t>Unit$</t>
  </si>
  <si>
    <t>Ext$</t>
  </si>
  <si>
    <t>Avail</t>
  </si>
  <si>
    <t>Purch</t>
  </si>
  <si>
    <t>Cat#</t>
  </si>
  <si>
    <t>Doc</t>
  </si>
  <si>
    <t>R73-R79,R114</t>
  </si>
  <si>
    <t>4.7k</t>
  </si>
  <si>
    <t>RC0603JR-074K7L</t>
  </si>
  <si>
    <t>311-4.7KGRCT-ND</t>
  </si>
  <si>
    <t>Link</t>
  </si>
  <si>
    <t>603-RC0603JR-074K7L</t>
  </si>
  <si>
    <t>68R0188</t>
  </si>
  <si>
    <t>U6</t>
  </si>
  <si>
    <t>ST3232E</t>
  </si>
  <si>
    <t>ST3232ECTR</t>
  </si>
  <si>
    <t>497-6538-1-ND</t>
  </si>
  <si>
    <t>U24</t>
  </si>
  <si>
    <t>23A1024</t>
  </si>
  <si>
    <t>23A1024-I/SN</t>
  </si>
  <si>
    <t>23A1024-I/SN-ND</t>
  </si>
  <si>
    <t>579-23A1024-I/SN</t>
  </si>
  <si>
    <t>45W1398</t>
  </si>
  <si>
    <t>U19</t>
  </si>
  <si>
    <t>93C46</t>
  </si>
  <si>
    <t>93C46B-I/SN</t>
  </si>
  <si>
    <t>93C46B-I/SN-ND</t>
  </si>
  <si>
    <t>579-93C46B-I/SN</t>
  </si>
  <si>
    <t>12C2023</t>
  </si>
  <si>
    <t>U11</t>
  </si>
  <si>
    <t>MCP6024</t>
  </si>
  <si>
    <t>MCP6024-E/ST</t>
  </si>
  <si>
    <t>MCP6024-E/ST-ND</t>
  </si>
  <si>
    <t>579-MCP6024-E/ST</t>
  </si>
  <si>
    <t>91R1262</t>
  </si>
  <si>
    <t>C17</t>
  </si>
  <si>
    <t>330uF</t>
  </si>
  <si>
    <t>UCW1C331MNL1GS</t>
  </si>
  <si>
    <t>493-9415-1-ND</t>
  </si>
  <si>
    <t>647-UCW1C331MNL1GS</t>
  </si>
  <si>
    <t>U1</t>
  </si>
  <si>
    <t>LAN_8740</t>
  </si>
  <si>
    <t>LAN8740A-EN</t>
  </si>
  <si>
    <t>LAN8740A-EN-ND</t>
  </si>
  <si>
    <t>579-LAN8740A-EN</t>
  </si>
  <si>
    <t>99W8860</t>
  </si>
  <si>
    <t>R40</t>
  </si>
  <si>
    <t>100 / 1/2W</t>
  </si>
  <si>
    <t>CR2010-JW-101ELF</t>
  </si>
  <si>
    <t>CR2010-JW-101ELFCT-ND</t>
  </si>
  <si>
    <t>652-CR2010-JW-101ELF</t>
  </si>
  <si>
    <t>C31,C68,C78</t>
  </si>
  <si>
    <t>10uF</t>
  </si>
  <si>
    <t>T491A106K006AT7280</t>
  </si>
  <si>
    <t>399-3683-1-ND</t>
  </si>
  <si>
    <t>80-T491A106K0067280</t>
  </si>
  <si>
    <t>C18</t>
  </si>
  <si>
    <t>T491A106K006AT</t>
  </si>
  <si>
    <t>80-T491A106K006</t>
  </si>
  <si>
    <t>57K1634</t>
  </si>
  <si>
    <t>R64,R143,R146,R153,R154,R156,R161,R163</t>
  </si>
  <si>
    <t>2.2k</t>
  </si>
  <si>
    <t>311-2.2KGRCT-ND</t>
  </si>
  <si>
    <t>603-RC0603JR-072K2L</t>
  </si>
  <si>
    <t>R99,R100</t>
  </si>
  <si>
    <t>RC0603JR-072K2L</t>
  </si>
  <si>
    <t>98K7303</t>
  </si>
  <si>
    <t>U4</t>
  </si>
  <si>
    <t>NCP1117ST33T3G</t>
  </si>
  <si>
    <t>NCP1117ST33T3GOSCT-ND</t>
  </si>
  <si>
    <t>863-NCP1117ST33T3G</t>
  </si>
  <si>
    <t>67H7013</t>
  </si>
  <si>
    <t>FB7,FB14</t>
  </si>
  <si>
    <t>BLM18KG221SN1</t>
  </si>
  <si>
    <t>BLM18KG221SN1D</t>
  </si>
  <si>
    <t>490-5255-1-ND</t>
  </si>
  <si>
    <t>81-BLM18KG221SN1D</t>
  </si>
  <si>
    <t>55R1510</t>
  </si>
  <si>
    <t>FB11,FB15</t>
  </si>
  <si>
    <t>Q2-Q5</t>
  </si>
  <si>
    <t>FQT13N06L</t>
  </si>
  <si>
    <t>FQT13N06LTF</t>
  </si>
  <si>
    <t>FQT13N06LTFCT-ND</t>
  </si>
  <si>
    <t>512-FQT13N06LTF</t>
  </si>
  <si>
    <t>31Y1561</t>
  </si>
  <si>
    <t>R80</t>
  </si>
  <si>
    <t>33k</t>
  </si>
  <si>
    <t>ERA-3AEB333V</t>
  </si>
  <si>
    <t>P33KDBCT-ND</t>
  </si>
  <si>
    <t>667-ERA-3AEB333V</t>
  </si>
  <si>
    <t>08N2119</t>
  </si>
  <si>
    <t>C7,C38,C40,C44,C92</t>
  </si>
  <si>
    <t>470pF</t>
  </si>
  <si>
    <t>C0603C471K5RACTU</t>
  </si>
  <si>
    <t>399-1075-1-ND</t>
  </si>
  <si>
    <t>80-C0603C471K5R</t>
  </si>
  <si>
    <t>30C5318</t>
  </si>
  <si>
    <t>C95,C96</t>
  </si>
  <si>
    <t>2700pf</t>
  </si>
  <si>
    <t>CL10B272KB8SFNC</t>
  </si>
  <si>
    <t>1276-2023-1-ND</t>
  </si>
  <si>
    <t>JP7,JP9,JP11,JP13</t>
  </si>
  <si>
    <t>JUMPER</t>
  </si>
  <si>
    <t>U2</t>
  </si>
  <si>
    <t>SI502</t>
  </si>
  <si>
    <t>502AAA-ADAG</t>
  </si>
  <si>
    <t>L1</t>
  </si>
  <si>
    <t>BK1608HS220-T</t>
  </si>
  <si>
    <t>MH1608-221Y</t>
  </si>
  <si>
    <t>MH1608-221YCT-ND</t>
  </si>
  <si>
    <t>652-MH1608-221Y</t>
  </si>
  <si>
    <t>C5,C9</t>
  </si>
  <si>
    <t>1uF</t>
  </si>
  <si>
    <t>C0603C105K9PACTU</t>
  </si>
  <si>
    <t>399-7848-1-ND</t>
  </si>
  <si>
    <t>80-C0603C105K9P</t>
  </si>
  <si>
    <t>R10-R12</t>
  </si>
  <si>
    <t>22</t>
  </si>
  <si>
    <t>RC0603JR-0722RL</t>
  </si>
  <si>
    <t>311-22GRCT-ND</t>
  </si>
  <si>
    <t>603-RC0603JR-0722RL</t>
  </si>
  <si>
    <t>68R0168</t>
  </si>
  <si>
    <t>TH10</t>
  </si>
  <si>
    <t>MF-USMF005-2</t>
  </si>
  <si>
    <t>MF-USMF005-2CT-ND</t>
  </si>
  <si>
    <t>652-MF-USMF005-2</t>
  </si>
  <si>
    <t>75K7706</t>
  </si>
  <si>
    <t>J3</t>
  </si>
  <si>
    <t>DB9</t>
  </si>
  <si>
    <t>182-009-113R561</t>
  </si>
  <si>
    <t>NOR1354-ND</t>
  </si>
  <si>
    <t>636-182-009-113R561</t>
  </si>
  <si>
    <t>47X3644</t>
  </si>
  <si>
    <t>R51,R54,R57,R60</t>
  </si>
  <si>
    <t>100</t>
  </si>
  <si>
    <t>RC0603JR-07100RL</t>
  </si>
  <si>
    <t>311-100GRCT-ND</t>
  </si>
  <si>
    <t>603-RC0603JR-07100RL</t>
  </si>
  <si>
    <t>26M6737</t>
  </si>
  <si>
    <t>R32,R39</t>
  </si>
  <si>
    <t>390</t>
  </si>
  <si>
    <t>RC0603JR-07390R</t>
  </si>
  <si>
    <t>311-390GRCT-ND</t>
  </si>
  <si>
    <t>68R0187</t>
  </si>
  <si>
    <t>R84,R96,R145</t>
  </si>
  <si>
    <t>270</t>
  </si>
  <si>
    <t>RC0603JR-07270RL</t>
  </si>
  <si>
    <t>311-270GRCT-ND</t>
  </si>
  <si>
    <t>603-RC0603JR-07270RL</t>
  </si>
  <si>
    <t>68R0174</t>
  </si>
  <si>
    <t>R17,R18</t>
  </si>
  <si>
    <t>F4-F6</t>
  </si>
  <si>
    <t>FIDUCIAL</t>
  </si>
  <si>
    <t>R33,R38</t>
  </si>
  <si>
    <t>100K</t>
  </si>
  <si>
    <t>RC0603JR-07100KL</t>
  </si>
  <si>
    <t>311-100KGRCT-ND</t>
  </si>
  <si>
    <t>603-RC0603JR-07100KL</t>
  </si>
  <si>
    <t>R23</t>
  </si>
  <si>
    <t>0</t>
  </si>
  <si>
    <t>RC0603JR-070RL</t>
  </si>
  <si>
    <t>311-0.0GRCT-ND</t>
  </si>
  <si>
    <t>603-RC0603JR-070RL</t>
  </si>
  <si>
    <t>68R0136</t>
  </si>
  <si>
    <t>C80</t>
  </si>
  <si>
    <t>3.3uF</t>
  </si>
  <si>
    <t>C0603C335M9PACTU</t>
  </si>
  <si>
    <t>399-5502-1-ND</t>
  </si>
  <si>
    <t>80-C0603C335M9P</t>
  </si>
  <si>
    <t>14N2174</t>
  </si>
  <si>
    <t>C16</t>
  </si>
  <si>
    <t>470uF</t>
  </si>
  <si>
    <t>UCL1V471MNL1GS</t>
  </si>
  <si>
    <t>493-3961-1-ND</t>
  </si>
  <si>
    <t>647-UCL1V471MNL1GS</t>
  </si>
  <si>
    <t>84R9019</t>
  </si>
  <si>
    <t>P14</t>
  </si>
  <si>
    <t>SPI</t>
  </si>
  <si>
    <t>D4</t>
  </si>
  <si>
    <t>LED red</t>
  </si>
  <si>
    <t>QTLP600C7TR</t>
  </si>
  <si>
    <t>1080-1400-1-ND</t>
  </si>
  <si>
    <t>638-QTLP600C7</t>
  </si>
  <si>
    <t>C97</t>
  </si>
  <si>
    <t>5600pf</t>
  </si>
  <si>
    <t>CL10B562KB8SFNC</t>
  </si>
  <si>
    <t>1276-2092-1-ND</t>
  </si>
  <si>
    <t>06R5033</t>
  </si>
  <si>
    <t>R50,R52,R56,R58,R59,R63,R82,R121,R122,R125-R127,R130</t>
  </si>
  <si>
    <t>15k</t>
  </si>
  <si>
    <t>RG1608P-153-B-T5</t>
  </si>
  <si>
    <t>RG16P15.0KBCT-ND</t>
  </si>
  <si>
    <t>754-RG1608P-153-B-T5</t>
  </si>
  <si>
    <t>C82</t>
  </si>
  <si>
    <t>10nf</t>
  </si>
  <si>
    <t>C0603C103K5RACTU</t>
  </si>
  <si>
    <t>399-1091-1-ND</t>
  </si>
  <si>
    <t>80-C0603C103K5R</t>
  </si>
  <si>
    <t>30C5334</t>
  </si>
  <si>
    <t>R83</t>
  </si>
  <si>
    <t>24.9</t>
  </si>
  <si>
    <t>ERA-3AEB2491V</t>
  </si>
  <si>
    <t>P2.49KDBCT-ND</t>
  </si>
  <si>
    <t>667-ERA-3AEB2491V</t>
  </si>
  <si>
    <t>53W8341</t>
  </si>
  <si>
    <t>P6</t>
  </si>
  <si>
    <t>CONN_4X2</t>
  </si>
  <si>
    <t>R98</t>
  </si>
  <si>
    <t>1k</t>
  </si>
  <si>
    <t>RC0603JR-071KL</t>
  </si>
  <si>
    <t>311-1.0KGRCT-ND</t>
  </si>
  <si>
    <t>603-RC0603JR-071KL</t>
  </si>
  <si>
    <t>68R0137</t>
  </si>
  <si>
    <t>R22,R110</t>
  </si>
  <si>
    <t>D3</t>
  </si>
  <si>
    <t>B540C-13-F</t>
  </si>
  <si>
    <t>B540C-FDICT-ND</t>
  </si>
  <si>
    <t>621-B540C-F</t>
  </si>
  <si>
    <t>12T1472</t>
  </si>
  <si>
    <t>C84</t>
  </si>
  <si>
    <t>3300pf</t>
  </si>
  <si>
    <t>GRM033R71E331KA01D</t>
  </si>
  <si>
    <t>490-3178-1-ND</t>
  </si>
  <si>
    <t>81-GRM033R71E331KA1D</t>
  </si>
  <si>
    <t>R107</t>
  </si>
  <si>
    <t>ERJ-8GEYJ222V</t>
  </si>
  <si>
    <t>P2.2KECT-ND</t>
  </si>
  <si>
    <t>667-ERJ-8GEYJ222V</t>
  </si>
  <si>
    <t>65T8919</t>
  </si>
  <si>
    <t>R109</t>
  </si>
  <si>
    <t>10K</t>
  </si>
  <si>
    <t>RC0603JR-0710KL</t>
  </si>
  <si>
    <t>311-10KGRCT-ND</t>
  </si>
  <si>
    <t>603-RC0603JR-0710KL</t>
  </si>
  <si>
    <t>R90,R101-R103</t>
  </si>
  <si>
    <t>SW1</t>
  </si>
  <si>
    <t>SW_PUSH_4</t>
  </si>
  <si>
    <t>FSM2JSMAATR</t>
  </si>
  <si>
    <t>450-1792-1-ND</t>
  </si>
  <si>
    <t>506-FSM2JSMAATR</t>
  </si>
  <si>
    <t>C8,C60</t>
  </si>
  <si>
    <t>R150</t>
  </si>
  <si>
    <t>8.45k</t>
  </si>
  <si>
    <t>ERJ-3EKF8451V</t>
  </si>
  <si>
    <t>P8.45KHCT-ND</t>
  </si>
  <si>
    <t>667-ERJ-3EKF8451V</t>
  </si>
  <si>
    <t>65T8533</t>
  </si>
  <si>
    <t>D25</t>
  </si>
  <si>
    <t>LED green</t>
  </si>
  <si>
    <t>LTST-C191KGKT</t>
  </si>
  <si>
    <t>160-1446-1-ND</t>
  </si>
  <si>
    <t>859-LTST-C191KGKT</t>
  </si>
  <si>
    <t>12X8125</t>
  </si>
  <si>
    <t>D6-D8</t>
  </si>
  <si>
    <t>PSD12C</t>
  </si>
  <si>
    <t>P6SMB12CAT3G</t>
  </si>
  <si>
    <t>P6SMB12CAT3GOSCT-ND</t>
  </si>
  <si>
    <t>863-P6SMB12CAT3G</t>
  </si>
  <si>
    <t>09R9693</t>
  </si>
  <si>
    <t>R105</t>
  </si>
  <si>
    <t>2.49k</t>
  </si>
  <si>
    <t>U14</t>
  </si>
  <si>
    <t>TXB0108</t>
  </si>
  <si>
    <t>TXB0108PWR</t>
  </si>
  <si>
    <t>296-21527-1-ND</t>
  </si>
  <si>
    <t>595-TXB0108PWR</t>
  </si>
  <si>
    <t>27M1151</t>
  </si>
  <si>
    <t>C22-C27,C29,C30</t>
  </si>
  <si>
    <t>100nF</t>
  </si>
  <si>
    <t>C0603C104K5RACTU</t>
  </si>
  <si>
    <t>399-5089-1-ND</t>
  </si>
  <si>
    <t>80-C0603C104K5R</t>
  </si>
  <si>
    <t>97H5226</t>
  </si>
  <si>
    <t>R104</t>
  </si>
  <si>
    <t>2.2K</t>
  </si>
  <si>
    <t>R97</t>
  </si>
  <si>
    <t>12K</t>
  </si>
  <si>
    <t>RC0603FR-0712K1L</t>
  </si>
  <si>
    <t>311-12.1KHRCT-ND</t>
  </si>
  <si>
    <t>603-RC0603FR-0712K1L</t>
  </si>
  <si>
    <t>66R2021</t>
  </si>
  <si>
    <t>ZA14</t>
  </si>
  <si>
    <t>SMAZ5V6</t>
  </si>
  <si>
    <t>MMSZ5V6T1G</t>
  </si>
  <si>
    <t>MMSZ5V6T1GOSCT-ND</t>
  </si>
  <si>
    <t>863-MMSZ5V6T1G</t>
  </si>
  <si>
    <t>45J1588</t>
  </si>
  <si>
    <t>R35</t>
  </si>
  <si>
    <t>220</t>
  </si>
  <si>
    <t>RC0603JR-07220RL</t>
  </si>
  <si>
    <t>311-220GRCT-ND</t>
  </si>
  <si>
    <t>603-RC0603JR-07220RL</t>
  </si>
  <si>
    <t>68R0170</t>
  </si>
  <si>
    <t>C36,C42,C91,C93</t>
  </si>
  <si>
    <t>1nF</t>
  </si>
  <si>
    <t>C0603C102K5RACTU</t>
  </si>
  <si>
    <t>399-1082-1-ND</t>
  </si>
  <si>
    <t>80-C0603C102K5R</t>
  </si>
  <si>
    <t>51B220</t>
  </si>
  <si>
    <t>R93,R94</t>
  </si>
  <si>
    <t>15K</t>
  </si>
  <si>
    <t>P4</t>
  </si>
  <si>
    <t>CONN_6</t>
  </si>
  <si>
    <t>R149</t>
  </si>
  <si>
    <t>19.1k</t>
  </si>
  <si>
    <t>RC0603FR-0719K1L</t>
  </si>
  <si>
    <t>311-19.1KHRCT-ND</t>
  </si>
  <si>
    <t>603-RC0603FR-0719K1L</t>
  </si>
  <si>
    <t>D2</t>
  </si>
  <si>
    <t>RS3J-E3/57T</t>
  </si>
  <si>
    <t>MURS360T3G</t>
  </si>
  <si>
    <t>863-MURS360T3G</t>
  </si>
  <si>
    <t>88H4945</t>
  </si>
  <si>
    <t>D1,D5</t>
  </si>
  <si>
    <t>PMEG3020EH</t>
  </si>
  <si>
    <t>PMEG3020EH,115</t>
  </si>
  <si>
    <t>568-4129-1-ND</t>
  </si>
  <si>
    <t>771-PMEG3020EH-T/R</t>
  </si>
  <si>
    <t>75R0878</t>
  </si>
  <si>
    <t>U3</t>
  </si>
  <si>
    <t>LM2596-5.0</t>
  </si>
  <si>
    <t>LM2596SX-5.0/NOPB</t>
  </si>
  <si>
    <t>LM2596SX-5.0/NOPBCT-ND</t>
  </si>
  <si>
    <t>926-LM2596SX-5.0NOPB</t>
  </si>
  <si>
    <t>41K3848</t>
  </si>
  <si>
    <t>U21</t>
  </si>
  <si>
    <t>MCP6022</t>
  </si>
  <si>
    <t>MCP6022T-I/SN</t>
  </si>
  <si>
    <t>MCP6022T-I/SNCT-ND</t>
  </si>
  <si>
    <t>579-MCP6022T-I/SN</t>
  </si>
  <si>
    <t>U25</t>
  </si>
  <si>
    <t>TC25L5I32K7680</t>
  </si>
  <si>
    <t>CTX1183CT-ND</t>
  </si>
  <si>
    <t>774-TC25L5I32K7680</t>
  </si>
  <si>
    <t>R1</t>
  </si>
  <si>
    <t>1k5</t>
  </si>
  <si>
    <t>311-1.5KGRCT-ND</t>
  </si>
  <si>
    <t>603-RC0603JR-071K5L</t>
  </si>
  <si>
    <t>U8</t>
  </si>
  <si>
    <t>PESD1CAN</t>
  </si>
  <si>
    <t>PESD1CAN,215</t>
  </si>
  <si>
    <t>568-4032-1-ND</t>
  </si>
  <si>
    <t>771-PESD1CAN-T/R</t>
  </si>
  <si>
    <t>75R4742</t>
  </si>
  <si>
    <t>U13</t>
  </si>
  <si>
    <t>24AA025E48</t>
  </si>
  <si>
    <t>24AA025E48T-I/SN</t>
  </si>
  <si>
    <t>24AA025E48T-I/SNCT-ND</t>
  </si>
  <si>
    <t>579-24AA025E48T-I/SN</t>
  </si>
  <si>
    <t>R53,R61,R123,R128</t>
  </si>
  <si>
    <t>4.7</t>
  </si>
  <si>
    <t>U20</t>
  </si>
  <si>
    <t>SST26VF064BA</t>
  </si>
  <si>
    <t>SST26VF064BAT-104I/SM</t>
  </si>
  <si>
    <t>TH6</t>
  </si>
  <si>
    <t>PTS12066V100</t>
  </si>
  <si>
    <t>283-3142-1-ND</t>
  </si>
  <si>
    <t>504-PTS12066V100</t>
  </si>
  <si>
    <t>TH5,TH7</t>
  </si>
  <si>
    <t>MF-USMF110-2</t>
  </si>
  <si>
    <t>MF-USMF110-2CT-ND</t>
  </si>
  <si>
    <t>652-MF-USMF110-2</t>
  </si>
  <si>
    <t>61J7437</t>
  </si>
  <si>
    <t>JP1-JP6</t>
  </si>
  <si>
    <t>JUMPER-2</t>
  </si>
  <si>
    <t>TH3</t>
  </si>
  <si>
    <t>C100,C102-C104</t>
  </si>
  <si>
    <t>IC1,IC2</t>
  </si>
  <si>
    <t>PS2805-4</t>
  </si>
  <si>
    <t>PS2805C-4-A</t>
  </si>
  <si>
    <t>PS2805C-4-A-ND</t>
  </si>
  <si>
    <t>551-PS2805C-4-A</t>
  </si>
  <si>
    <t>H1-H4</t>
  </si>
  <si>
    <t>4mm</t>
  </si>
  <si>
    <t>R2</t>
  </si>
  <si>
    <t>4k7 1%</t>
  </si>
  <si>
    <t>RC0603FR-074K7L</t>
  </si>
  <si>
    <t>311-4.70KHRCT-ND</t>
  </si>
  <si>
    <t>603-RC0603FR-074K7L</t>
  </si>
  <si>
    <t>68R0092</t>
  </si>
  <si>
    <t>R31,R81,R91,R95,R139</t>
  </si>
  <si>
    <t>J7</t>
  </si>
  <si>
    <t>ZX62-AB-5PA</t>
  </si>
  <si>
    <t>ZX62-B-5PA(11</t>
  </si>
  <si>
    <t>J6</t>
  </si>
  <si>
    <t>ZX62-AB-5PA(11)</t>
  </si>
  <si>
    <t>51X1932</t>
  </si>
  <si>
    <t>R55,R62,R124,R129</t>
  </si>
  <si>
    <t>237</t>
  </si>
  <si>
    <t>ERA-3AEB2370V</t>
  </si>
  <si>
    <t>P237DBCT-ND</t>
  </si>
  <si>
    <t>667-ERA-3AEB2370V</t>
  </si>
  <si>
    <t>D47,D49</t>
  </si>
  <si>
    <t>LED</t>
  </si>
  <si>
    <t>C64</t>
  </si>
  <si>
    <t>100nf</t>
  </si>
  <si>
    <t>CBR02C120F3GAC</t>
  </si>
  <si>
    <t>399-8604-1-ND</t>
  </si>
  <si>
    <t>80-CBR02C120F3GAC</t>
  </si>
  <si>
    <t>U7</t>
  </si>
  <si>
    <t>VP231</t>
  </si>
  <si>
    <t>SN65HVD230DR</t>
  </si>
  <si>
    <t>296-11654-1-ND</t>
  </si>
  <si>
    <t>595-SN65HVD230DR</t>
  </si>
  <si>
    <t>75C7745</t>
  </si>
  <si>
    <t>U23,U27-U29</t>
  </si>
  <si>
    <t>MCP1416</t>
  </si>
  <si>
    <t>MCP1416T-E/OT</t>
  </si>
  <si>
    <t>MCP1416T-E/OTCT-ND</t>
  </si>
  <si>
    <t>579-MCP1416T-E/OT</t>
  </si>
  <si>
    <t>04R7655</t>
  </si>
  <si>
    <t>U26</t>
  </si>
  <si>
    <t>MCP9700</t>
  </si>
  <si>
    <t>MCP9700AT-E/TT</t>
  </si>
  <si>
    <t>579-MCP9700AT-E/TT</t>
  </si>
  <si>
    <t>84R5199</t>
  </si>
  <si>
    <t>ZA1</t>
  </si>
  <si>
    <t>P6SMB33CA</t>
  </si>
  <si>
    <t>P6SMB33CA-E3/52</t>
  </si>
  <si>
    <t>625-P6SMB33CA-E3/52</t>
  </si>
  <si>
    <t>C21,C28</t>
  </si>
  <si>
    <t>10uF/6V3</t>
  </si>
  <si>
    <t>U12</t>
  </si>
  <si>
    <t>24AA1025</t>
  </si>
  <si>
    <t>24AA1025T-I/SN</t>
  </si>
  <si>
    <t>24AA1025T-I/SNCT-ND</t>
  </si>
  <si>
    <t>579-24AA1025T-I/SN</t>
  </si>
  <si>
    <t>86W6591</t>
  </si>
  <si>
    <t>Q14</t>
  </si>
  <si>
    <t>BC817-40</t>
  </si>
  <si>
    <t>BC817-40LT3G</t>
  </si>
  <si>
    <t>BC817-40LT1GOSCT-ND</t>
  </si>
  <si>
    <t>863-BC817-40LT3G</t>
  </si>
  <si>
    <t>81Y5861</t>
  </si>
  <si>
    <t>R85</t>
  </si>
  <si>
    <t>10k</t>
  </si>
  <si>
    <t>R48,R49</t>
  </si>
  <si>
    <t>R15,R16,R92</t>
  </si>
  <si>
    <t>D9-D12,D46</t>
  </si>
  <si>
    <t>BAV199</t>
  </si>
  <si>
    <t>BAV199LT1G</t>
  </si>
  <si>
    <t>BAV199LT1GOSCT-ND</t>
  </si>
  <si>
    <t>863-BAV199LT1G</t>
  </si>
  <si>
    <t>98H0500</t>
  </si>
  <si>
    <t>R117-R120</t>
  </si>
  <si>
    <t>R65-R72</t>
  </si>
  <si>
    <t>3.3k</t>
  </si>
  <si>
    <t>ERJ-8GEYJ332V</t>
  </si>
  <si>
    <t>P3.3KECT-ND</t>
  </si>
  <si>
    <t>667-ERJ-8GEYJ332V</t>
  </si>
  <si>
    <t>65T8932</t>
  </si>
  <si>
    <t>TH4</t>
  </si>
  <si>
    <t>C34</t>
  </si>
  <si>
    <t>C1</t>
  </si>
  <si>
    <t>R34,R36,R37,R41,R47</t>
  </si>
  <si>
    <t>4K7</t>
  </si>
  <si>
    <t>R25</t>
  </si>
  <si>
    <t>1M</t>
  </si>
  <si>
    <t>RC0603FR-0749R9L</t>
  </si>
  <si>
    <t>311-49.9HRCT-ND</t>
  </si>
  <si>
    <t>603-RC0603FR-0749R9L</t>
  </si>
  <si>
    <t>68R0100</t>
  </si>
  <si>
    <t>U9</t>
  </si>
  <si>
    <t>PRTR5V0U2X</t>
  </si>
  <si>
    <t>PRTR5V0U2X,215</t>
  </si>
  <si>
    <t>568-4140-1-ND</t>
  </si>
  <si>
    <t>771-PRTR5V0U2X-T/R</t>
  </si>
  <si>
    <t>75R4845</t>
  </si>
  <si>
    <t>TR1,TR2</t>
  </si>
  <si>
    <t>DLW21HN900SQ2</t>
  </si>
  <si>
    <t>SRF2012-900Y</t>
  </si>
  <si>
    <t>652-SRF2012-900Y</t>
  </si>
  <si>
    <t>54W0027</t>
  </si>
  <si>
    <t>R44</t>
  </si>
  <si>
    <t>270R</t>
  </si>
  <si>
    <t>D48</t>
  </si>
  <si>
    <t>U18</t>
  </si>
  <si>
    <t>LM358</t>
  </si>
  <si>
    <t>LM358DG</t>
  </si>
  <si>
    <t>LM358DGOS-ND</t>
  </si>
  <si>
    <t>863-LM358DG</t>
  </si>
  <si>
    <t>45J0748</t>
  </si>
  <si>
    <t>R3-R6</t>
  </si>
  <si>
    <t>50</t>
  </si>
  <si>
    <t>J11,J14,J17-J19</t>
  </si>
  <si>
    <t>TB_1X2</t>
  </si>
  <si>
    <t>OSTTC022162</t>
  </si>
  <si>
    <t>ED2609-ND</t>
  </si>
  <si>
    <t>18M9779</t>
  </si>
  <si>
    <t>P1</t>
  </si>
  <si>
    <t>CONN_6X2</t>
  </si>
  <si>
    <t>C79,C81</t>
  </si>
  <si>
    <t>12p</t>
  </si>
  <si>
    <t>06031A120CAT2A</t>
  </si>
  <si>
    <t>581-06031A120CAT2A</t>
  </si>
  <si>
    <t>Q1</t>
  </si>
  <si>
    <t>PBSS5240XF</t>
  </si>
  <si>
    <t>568-10522-1-ND</t>
  </si>
  <si>
    <t>771-PBSS5240XF</t>
  </si>
  <si>
    <t>C10</t>
  </si>
  <si>
    <t>22nF</t>
  </si>
  <si>
    <t>U10</t>
  </si>
  <si>
    <t>MIC2025-2YM</t>
  </si>
  <si>
    <t>576-1058-ND</t>
  </si>
  <si>
    <t>998-MIC2025-2YM</t>
  </si>
  <si>
    <t>67J0256</t>
  </si>
  <si>
    <t>U5</t>
  </si>
  <si>
    <t>MAX3072</t>
  </si>
  <si>
    <t>SN65176BDR</t>
  </si>
  <si>
    <t>296-14636-1-ND</t>
  </si>
  <si>
    <t>595-SN65176BDR</t>
  </si>
  <si>
    <t>85X7159</t>
  </si>
  <si>
    <t>R19</t>
  </si>
  <si>
    <t>12.1k 1%</t>
  </si>
  <si>
    <t>JP8,JP10,JP12,JP14,JP16</t>
  </si>
  <si>
    <t>JUMPER3</t>
  </si>
  <si>
    <t>U17</t>
  </si>
  <si>
    <t>FT2232H</t>
  </si>
  <si>
    <t>FT2232HL-REEL</t>
  </si>
  <si>
    <t>768-1024-1-ND</t>
  </si>
  <si>
    <t>895-FT2232HL</t>
  </si>
  <si>
    <t>80P4235</t>
  </si>
  <si>
    <t>Q6,Q7,Q11,Q12</t>
  </si>
  <si>
    <t>NDS7002A</t>
  </si>
  <si>
    <t>NDS7002ACT-ND</t>
  </si>
  <si>
    <t>512-NDS7002A</t>
  </si>
  <si>
    <t>58K9482</t>
  </si>
  <si>
    <t>C11-C14</t>
  </si>
  <si>
    <t>12pF</t>
  </si>
  <si>
    <t>U15</t>
  </si>
  <si>
    <t>FA-238V</t>
  </si>
  <si>
    <t>FA-238V 12.0000MB-W3</t>
  </si>
  <si>
    <t>SER3683CT-ND</t>
  </si>
  <si>
    <t>732-FA-238V12MB-W3</t>
  </si>
  <si>
    <t>GS6</t>
  </si>
  <si>
    <t>GS3</t>
  </si>
  <si>
    <t>TH1</t>
  </si>
  <si>
    <t>PTS18126V300</t>
  </si>
  <si>
    <t>MF-SM300-2</t>
  </si>
  <si>
    <t>MF-SM300-2CT-ND</t>
  </si>
  <si>
    <t>652-MF-SM300-2</t>
  </si>
  <si>
    <t>75K7700</t>
  </si>
  <si>
    <t>R43,R46</t>
  </si>
  <si>
    <t>60</t>
  </si>
  <si>
    <t>RC0603FR-0759RL</t>
  </si>
  <si>
    <t>311-59.0HRCT-ND</t>
  </si>
  <si>
    <t>603-RC0603FR-0759RL</t>
  </si>
  <si>
    <t>42K3971</t>
  </si>
  <si>
    <t>J5</t>
  </si>
  <si>
    <t>RJ45-TRANSFO</t>
  </si>
  <si>
    <t>SI-50170-F</t>
  </si>
  <si>
    <t>380-1103-ND</t>
  </si>
  <si>
    <t>530-SI-50170-F</t>
  </si>
  <si>
    <t>R20,R113</t>
  </si>
  <si>
    <t>33</t>
  </si>
  <si>
    <t>RC0603JR-0733RL</t>
  </si>
  <si>
    <t>311-33GRCT-ND</t>
  </si>
  <si>
    <t>603-RC0603JR-0733RL</t>
  </si>
  <si>
    <t>68R0182</t>
  </si>
  <si>
    <t>R140</t>
  </si>
  <si>
    <t>FB6,FB20</t>
  </si>
  <si>
    <t>MMZ1608B601C</t>
  </si>
  <si>
    <t>MMZ1608B601CTAH0</t>
  </si>
  <si>
    <t>445-2166-1-ND</t>
  </si>
  <si>
    <t>810-MMZ1608B601CTAH0</t>
  </si>
  <si>
    <t>89R3077</t>
  </si>
  <si>
    <t>FB1,FB21</t>
  </si>
  <si>
    <t>FB2-FB5,FB8,FB9</t>
  </si>
  <si>
    <t>R21,R138,R144,R147,R155,R157,R160,R162,R164</t>
  </si>
  <si>
    <t>100k</t>
  </si>
  <si>
    <t>R106,R108,R111,R112,R115,R116,R158,R165</t>
  </si>
  <si>
    <t>U16</t>
  </si>
  <si>
    <t>PIC32MZ2048EC</t>
  </si>
  <si>
    <t>PIC32MZ2048ECH144-I/PL</t>
  </si>
  <si>
    <t>PIC32MZ2048ECH144-I/PL-ND</t>
  </si>
  <si>
    <t>579-2048ECH144-I/PL</t>
  </si>
  <si>
    <t>TH9</t>
  </si>
  <si>
    <t>MF-MSMF110-2</t>
  </si>
  <si>
    <t>MF-MSMF110-2CT-ND</t>
  </si>
  <si>
    <t>652-MF-MSMF110-2</t>
  </si>
  <si>
    <t>02J2721</t>
  </si>
  <si>
    <t>R142</t>
  </si>
  <si>
    <t>1K</t>
  </si>
  <si>
    <t>PS1,PS2</t>
  </si>
  <si>
    <t>USMF020</t>
  </si>
  <si>
    <t>MF-USMF020-2</t>
  </si>
  <si>
    <t>MF-USMF020-2CT-ND</t>
  </si>
  <si>
    <t>652-MF-USMF020-2</t>
  </si>
  <si>
    <t>88K5712</t>
  </si>
  <si>
    <t>GS3,GS4</t>
  </si>
  <si>
    <t>GS2</t>
  </si>
  <si>
    <t>C4,C15,C32,C33,C35,C37,C39,C41,C43,C46,C47,C49,C51,C53,C55,C57,C59,C61-C63,C66,C67,C69-C77,C86,C87,C90,C99</t>
  </si>
  <si>
    <t>C2,C3,C6,C19,C20,C45,C83,C89,C94,C101</t>
  </si>
  <si>
    <t>R131-R137,R159</t>
  </si>
  <si>
    <t>330</t>
  </si>
  <si>
    <t>RC0603JR-07330RL</t>
  </si>
  <si>
    <t>311-330GRCT-ND</t>
  </si>
  <si>
    <t>603-RC0603JR-07330RL</t>
  </si>
  <si>
    <t>68R0184</t>
  </si>
  <si>
    <t>K1-K4</t>
  </si>
  <si>
    <t>RELAY_TE_1461353-2</t>
  </si>
  <si>
    <t>1461353-2</t>
  </si>
  <si>
    <t>PB1652-ND</t>
  </si>
  <si>
    <t>655-1461353-2</t>
  </si>
  <si>
    <t>R7-R9,R14,R24,R86-R89</t>
  </si>
  <si>
    <t>R13</t>
  </si>
  <si>
    <t>R148</t>
  </si>
  <si>
    <t>9.3k</t>
  </si>
  <si>
    <t>RC0603FR-079K31L</t>
  </si>
  <si>
    <t>311-9.31KHRCT-ND</t>
  </si>
  <si>
    <t>603-RC0603FR-079K31L</t>
  </si>
  <si>
    <t>D27,D28,D30,D31</t>
  </si>
  <si>
    <t>LL4148</t>
  </si>
  <si>
    <t>LL4148FSCT-ND</t>
  </si>
  <si>
    <t>512-LL4148</t>
  </si>
  <si>
    <t>05W3302</t>
  </si>
  <si>
    <t>TH8</t>
  </si>
  <si>
    <t>MF-MSMF030-2</t>
  </si>
  <si>
    <t>652-MF-MSMF030-2</t>
  </si>
  <si>
    <t>02J2717</t>
  </si>
  <si>
    <t>FB12,FB13,FB17-FB19</t>
  </si>
  <si>
    <t>BLM18BD470SN1</t>
  </si>
  <si>
    <t>BLM18BD470SN1D</t>
  </si>
  <si>
    <t>490-5211-1-ND</t>
  </si>
  <si>
    <t>81-BLM18BD470SN1D</t>
  </si>
  <si>
    <t>F1-F3</t>
  </si>
  <si>
    <t>C48,C50,C52,C54,C56,C58,C85,C88,C98</t>
  </si>
  <si>
    <t>10nF</t>
  </si>
  <si>
    <t>L2</t>
  </si>
  <si>
    <t>47uH</t>
  </si>
  <si>
    <t>SRN1060-470M</t>
  </si>
  <si>
    <t>652-SRN1060-470M</t>
  </si>
  <si>
    <t>U22</t>
  </si>
  <si>
    <t>ASDMB-24.000MHZ-LC-T</t>
  </si>
  <si>
    <t>535-11728-1-ND</t>
  </si>
  <si>
    <t>815-ASDMB-24MHZ-LC</t>
  </si>
  <si>
    <t>J1,J2,J4,J8-J10,J12,J13,J15,J16</t>
  </si>
  <si>
    <t>TB_1X3</t>
  </si>
  <si>
    <t>OSTTC032162</t>
  </si>
  <si>
    <t>ED2610-ND</t>
  </si>
  <si>
    <t>19P1415</t>
  </si>
  <si>
    <t>R141</t>
  </si>
  <si>
    <t>12.4k</t>
  </si>
  <si>
    <t>RC0603FR-0712K4L</t>
  </si>
  <si>
    <t>311-12.4KHRCT-ND</t>
  </si>
  <si>
    <t>603-RC0603FR-0712K4L</t>
  </si>
  <si>
    <t>D23,D24,D34,D35</t>
  </si>
  <si>
    <t>D13-D22,D33,D36</t>
  </si>
  <si>
    <t>ZA2-ZA5</t>
  </si>
  <si>
    <t>SMBJ20CA</t>
  </si>
  <si>
    <t>P6SMB20CAT3G</t>
  </si>
  <si>
    <t>P6SMB20CAT3GOSCT-ND</t>
  </si>
  <si>
    <t>863-P6SMB20CAT3G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</si>
</sst>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3"/>
      <color rgb="FF008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8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303030"/>
        <bgColor rgb="FF333300"/>
      </patternFill>
    </fill>
    <fill>
      <patternFill patternType="solid">
        <fgColor rgb="FFCC0000"/>
        <bgColor rgb="FFFF0000"/>
      </patternFill>
    </fill>
    <fill>
      <patternFill patternType="solid">
        <fgColor rgb="FF004A85"/>
        <bgColor rgb="FF0066CC"/>
      </patternFill>
    </fill>
    <fill>
      <patternFill patternType="solid">
        <fgColor rgb="FFA2AE06"/>
        <bgColor rgb="FF808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000000"/>
        <name val="Calibri"/>
        <family val="2"/>
        <charset val="1"/>
      </font>
      <fill>
        <patternFill>
          <bgColor rgb="FF80FF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0FF80"/>
      <rgbColor rgb="FFFFFF99"/>
      <rgbColor rgb="FF99CCFF"/>
      <rgbColor rgb="FFFF99CC"/>
      <rgbColor rgb="FFCC99FF"/>
      <rgbColor rgb="FFFFCC99"/>
      <rgbColor rgb="FF3366FF"/>
      <rgbColor rgb="FF33CCCC"/>
      <rgbColor rgb="FFA2AE06"/>
      <rgbColor rgb="FFFFCC00"/>
      <rgbColor rgb="FFFF9900"/>
      <rgbColor rgb="FFFF6600"/>
      <rgbColor rgb="FF666699"/>
      <rgbColor rgb="FF969696"/>
      <rgbColor rgb="FF004A85"/>
      <rgbColor rgb="FF339966"/>
      <rgbColor rgb="FF003300"/>
      <rgbColor rgb="FF333300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digikey.com/product-detail/en/yageo/RC0603JR-074K7L/311-4.7KGRCT-ND/729732" TargetMode="External"/><Relationship Id="rId3" Type="http://schemas.openxmlformats.org/officeDocument/2006/relationships/hyperlink" Target="http://www.mouser.com/Search/Refine.aspx?Keyword=RC0603JR-074K7L%20" TargetMode="External"/><Relationship Id="rId4" Type="http://schemas.openxmlformats.org/officeDocument/2006/relationships/hyperlink" Target="http://www.newark.com/yageo/rc0603jr-074k7l/res-thick-film-4k7-5-0-1w-0603/dp/68R0188" TargetMode="External"/><Relationship Id="rId5" Type="http://schemas.openxmlformats.org/officeDocument/2006/relationships/hyperlink" Target="http://www.digikey.com/product-detail/en/stmicroelectronics/ST3232ECTR/497-6538-1-ND/1865357" TargetMode="External"/><Relationship Id="rId6" Type="http://schemas.openxmlformats.org/officeDocument/2006/relationships/hyperlink" Target="http://www.mouser.com/Search/Refine.aspx?Keyword=ST3232ECTR%20%20" TargetMode="External"/><Relationship Id="rId7" Type="http://schemas.openxmlformats.org/officeDocument/2006/relationships/hyperlink" Target="http://www.digikey.com/scripts/DkSearch/dksus.dll?WT.z_header=search_go&amp;lang=en&amp;keywords=23A1024-I%2FSN%20%20" TargetMode="External"/><Relationship Id="rId8" Type="http://schemas.openxmlformats.org/officeDocument/2006/relationships/hyperlink" Target="http://www.mouser.com/ProductDetail/Microchip-Technology/23A1024-I-SN/?qs=sGAEpiMZZMt9mBA6nIyysHsFd6bhl6EdNPbGSDCA818%3D" TargetMode="External"/><Relationship Id="rId9" Type="http://schemas.openxmlformats.org/officeDocument/2006/relationships/hyperlink" Target="http://www.newark.com/webapp/wcs/stores/servlet/Search?catalogId=15003&amp;langId=-1&amp;storeId=10194&amp;gs=true&amp;st=23A1024-I%2FSN%20%20" TargetMode="External"/><Relationship Id="rId10" Type="http://schemas.openxmlformats.org/officeDocument/2006/relationships/hyperlink" Target="http://www.digikey.com/scripts/DkSearch/dksus.dll?WT.z_header=search_go&amp;lang=en&amp;keywords=93C46B-I%2FSN%20" TargetMode="External"/><Relationship Id="rId11" Type="http://schemas.openxmlformats.org/officeDocument/2006/relationships/hyperlink" Target="http://www.mouser.com/ProductDetail/Microchip-Technology/93C46B-I-SN/?qs=sGAEpiMZZMuVhdAcoizlRTtWxdtwgs5NtsJOlwAISyU%3D" TargetMode="External"/><Relationship Id="rId12" Type="http://schemas.openxmlformats.org/officeDocument/2006/relationships/hyperlink" Target="http://www.newark.com/webapp/wcs/stores/servlet/Search?catalogId=15003&amp;langId=-1&amp;storeId=10194&amp;gs=true&amp;st=93C46B-I%2FSN%20" TargetMode="External"/><Relationship Id="rId13" Type="http://schemas.openxmlformats.org/officeDocument/2006/relationships/hyperlink" Target="http://www.digikey.com/scripts/DkSearch/dksus.dll?WT.z_header=search_go&amp;lang=en&amp;keywords=MCP6024-E%2FST%20" TargetMode="External"/><Relationship Id="rId14" Type="http://schemas.openxmlformats.org/officeDocument/2006/relationships/hyperlink" Target="http://www.mouser.com/ProductDetail/Microchip-Technology/MCP6024-E-ST/?qs=sGAEpiMZZMtCHixnSjNA6Gd4d3iEGJDLQJQlp3SyFgs%3D" TargetMode="External"/><Relationship Id="rId15" Type="http://schemas.openxmlformats.org/officeDocument/2006/relationships/hyperlink" Target="http://www.newark.com/webapp/wcs/stores/servlet/Search?catalogId=15003&amp;langId=-1&amp;storeId=10194&amp;gs=true&amp;st=MCP6024-E%2FST%20" TargetMode="External"/><Relationship Id="rId16" Type="http://schemas.openxmlformats.org/officeDocument/2006/relationships/hyperlink" Target="http://www.digikey.com/product-detail/en/nichicon/UCW1C331MNL1GS/493-9415-1-ND/3962763" TargetMode="External"/><Relationship Id="rId17" Type="http://schemas.openxmlformats.org/officeDocument/2006/relationships/hyperlink" Target="http://www.mouser.com/Search/Refine.aspx?Keyword=UCW1C331MNL1GS%20%20" TargetMode="External"/><Relationship Id="rId18" Type="http://schemas.openxmlformats.org/officeDocument/2006/relationships/hyperlink" Target="http://www.newark.com/panasonic-electronic-components/eee-1ca331up/aluminum-electrolytic-capacitor/dp/49W5048?rpsku=rel3%3AUCW1C331MNL1GS" TargetMode="External"/><Relationship Id="rId19" Type="http://schemas.openxmlformats.org/officeDocument/2006/relationships/hyperlink" Target="http://www.digikey.com/product-detail/en/microchip-technology/LAN8740A-EN/LAN8740A-EN-ND/4079780" TargetMode="External"/><Relationship Id="rId20" Type="http://schemas.openxmlformats.org/officeDocument/2006/relationships/hyperlink" Target="http://www.mouser.com/ProductDetail/Microchip-Technology/LAN8740A-EN/?qs=sGAEpiMZZMuXKgZRMPEonc54GuQPo9YqrdkbakRVpLE%3D" TargetMode="External"/><Relationship Id="rId21" Type="http://schemas.openxmlformats.org/officeDocument/2006/relationships/hyperlink" Target="http://www.newark.com/webapp/wcs/stores/servlet/Search?catalogId=15003&amp;langId=-1&amp;storeId=10194&amp;gs=true&amp;st=LAN8740A-EN%20" TargetMode="External"/><Relationship Id="rId22" Type="http://schemas.openxmlformats.org/officeDocument/2006/relationships/hyperlink" Target="http://www.digikey.com/product-detail/en/bourns-inc/CR2010-JW-101ELF/CR2010-JW-101ELFCT-ND/3741056" TargetMode="External"/><Relationship Id="rId23" Type="http://schemas.openxmlformats.org/officeDocument/2006/relationships/hyperlink" Target="http://www.mouser.com/Search/Refine.aspx?Keyword=CR2010-JW-101ELF%20%20" TargetMode="External"/><Relationship Id="rId24" Type="http://schemas.openxmlformats.org/officeDocument/2006/relationships/hyperlink" Target="http://www.newark.com/webapp/wcs/stores/servlet/Search?catalogId=15003&amp;langId=-1&amp;storeId=10194&amp;gs=true&amp;st=CR2010-JW-101ELF%20%20" TargetMode="External"/><Relationship Id="rId25" Type="http://schemas.openxmlformats.org/officeDocument/2006/relationships/hyperlink" Target="http://www.digikey.com/product-detail/en/kemet/T491A106K006AT/399-3683-1-ND/819008" TargetMode="External"/><Relationship Id="rId26" Type="http://schemas.openxmlformats.org/officeDocument/2006/relationships/hyperlink" Target="http://www.mouser.com/Search/Refine.aspx?Keyword=T491A106K006AT7280%20" TargetMode="External"/><Relationship Id="rId27" Type="http://schemas.openxmlformats.org/officeDocument/2006/relationships/hyperlink" Target="http://www.newark.com/webapp/wcs/stores/servlet/Search?catalogId=15003&amp;langId=-1&amp;storeId=10194&amp;gs=true&amp;st=T491A106K006AT7280%20" TargetMode="External"/><Relationship Id="rId28" Type="http://schemas.openxmlformats.org/officeDocument/2006/relationships/hyperlink" Target="http://www.digikey.com/product-detail/en/kemet/T491A106K006AT/399-3683-1-ND/819008" TargetMode="External"/><Relationship Id="rId29" Type="http://schemas.openxmlformats.org/officeDocument/2006/relationships/hyperlink" Target="http://www.mouser.com/ProductDetail/Kemet/T491A106K006AT/?qs=sGAEpiMZZMuEN2agSAc2pi3YT%2FgbbUQ%252bm4vqn7JlNGY%3D" TargetMode="External"/><Relationship Id="rId30" Type="http://schemas.openxmlformats.org/officeDocument/2006/relationships/hyperlink" Target="http://www.newark.com/kemet/t491a106k006at/tantalum-capacitor-10uf-6v-4-ohm/dp/57K1634" TargetMode="External"/><Relationship Id="rId31" Type="http://schemas.openxmlformats.org/officeDocument/2006/relationships/hyperlink" Target="http://www.digikey.com/scripts/DkSearch/dksus.dll?WT.z_header=search_go&amp;lang=en&amp;keywords=311-2.2KGRCT-ND%20" TargetMode="External"/><Relationship Id="rId32" Type="http://schemas.openxmlformats.org/officeDocument/2006/relationships/hyperlink" Target="http://www.mouser.com/Search/Refine.aspx?Keyword=311-2.2KGRCT-ND%20" TargetMode="External"/><Relationship Id="rId33" Type="http://schemas.openxmlformats.org/officeDocument/2006/relationships/hyperlink" Target="http://www.digikey.com/product-detail/en/yageo/RC0603JR-072K2L/311-2.2KGRCT-ND/729676" TargetMode="External"/><Relationship Id="rId34" Type="http://schemas.openxmlformats.org/officeDocument/2006/relationships/hyperlink" Target="http://www.mouser.com/Search/Refine.aspx?Keyword=RC0603JR-072K2L%20%20" TargetMode="External"/><Relationship Id="rId35" Type="http://schemas.openxmlformats.org/officeDocument/2006/relationships/hyperlink" Target="http://www.newark.com/webapp/wcs/stores/servlet/Search?catalogId=15003&amp;langId=-1&amp;storeId=10194&amp;gs=true&amp;st=RC0603JR-072K2L%20%20" TargetMode="External"/><Relationship Id="rId36" Type="http://schemas.openxmlformats.org/officeDocument/2006/relationships/hyperlink" Target="http://www.digikey.com/product-detail/en/on-semiconductor/NCP1117ST33T3G/NCP1117ST33T3GOSCT-ND/660708" TargetMode="External"/><Relationship Id="rId37" Type="http://schemas.openxmlformats.org/officeDocument/2006/relationships/hyperlink" Target="http://www.mouser.com/Search/Refine.aspx?Keyword=NCP1117ST33T3G%20" TargetMode="External"/><Relationship Id="rId38" Type="http://schemas.openxmlformats.org/officeDocument/2006/relationships/hyperlink" Target="http://www.newark.com/on-semiconductor/ncp1117st33t3g/ldo-voltage-regulator-3-3v-1a/dp/67H7013" TargetMode="External"/><Relationship Id="rId39" Type="http://schemas.openxmlformats.org/officeDocument/2006/relationships/hyperlink" Target="http://www.digikey.com/product-detail/en/murata-electronics-north-america/BLM18KG221SN1D/490-5255-1-ND/1982778" TargetMode="External"/><Relationship Id="rId40" Type="http://schemas.openxmlformats.org/officeDocument/2006/relationships/hyperlink" Target="http://www.mouser.com/Search/Refine.aspx?Keyword=BLM18KG221SN1D%20" TargetMode="External"/><Relationship Id="rId41" Type="http://schemas.openxmlformats.org/officeDocument/2006/relationships/hyperlink" Target="http://www.newark.com/webapp/wcs/stores/servlet/Search?catalogId=15003&amp;langId=-1&amp;storeId=10194&amp;gs=true&amp;st=BLM18KG221SN1D%20" TargetMode="External"/><Relationship Id="rId42" Type="http://schemas.openxmlformats.org/officeDocument/2006/relationships/hyperlink" Target="http://www.digikey.com/product-detail/en/murata-electronics-north-america/BLM18KG221SN1D/490-5255-1-ND/1982778" TargetMode="External"/><Relationship Id="rId43" Type="http://schemas.openxmlformats.org/officeDocument/2006/relationships/hyperlink" Target="http://www.mouser.com/Search/Refine.aspx?Keyword=BLM18KG221SN1D%20%20" TargetMode="External"/><Relationship Id="rId44" Type="http://schemas.openxmlformats.org/officeDocument/2006/relationships/hyperlink" Target="http://www.newark.com/webapp/wcs/stores/servlet/Search?catalogId=15003&amp;langId=-1&amp;storeId=10194&amp;gs=true&amp;st=BLM18KG221SN1D%20%20" TargetMode="External"/><Relationship Id="rId45" Type="http://schemas.openxmlformats.org/officeDocument/2006/relationships/hyperlink" Target="http://www.digikey.com/product-detail/en/fairchild-semiconductor/FQT13N06LTF/FQT13N06LTFCT-ND/3042614" TargetMode="External"/><Relationship Id="rId46" Type="http://schemas.openxmlformats.org/officeDocument/2006/relationships/hyperlink" Target="http://www.mouser.com/Search/Refine.aspx?Keyword=%20FQT13N06LTF%20" TargetMode="External"/><Relationship Id="rId47" Type="http://schemas.openxmlformats.org/officeDocument/2006/relationships/hyperlink" Target="http://www.newark.com/webapp/wcs/stores/servlet/Search?catalogId=15003&amp;langId=-1&amp;storeId=10194&amp;gs=true&amp;st=%20FQT13N06LTF%20" TargetMode="External"/><Relationship Id="rId48" Type="http://schemas.openxmlformats.org/officeDocument/2006/relationships/hyperlink" Target="http://www.digikey.com/product-detail/en/panasonic-electronic-components/ERA-3AEB333V/P33KDBCT-ND/1466088" TargetMode="External"/><Relationship Id="rId49" Type="http://schemas.openxmlformats.org/officeDocument/2006/relationships/hyperlink" Target="http://www.mouser.com/Search/Refine.aspx?Keyword=ERA-3AEB333V%20" TargetMode="External"/><Relationship Id="rId50" Type="http://schemas.openxmlformats.org/officeDocument/2006/relationships/hyperlink" Target="http://www.newark.com/panasonic-electronic-components/era-3aeb333v/res-thin-film-33k-0-1-0-1w-0603/dp/08N2119" TargetMode="External"/><Relationship Id="rId51" Type="http://schemas.openxmlformats.org/officeDocument/2006/relationships/hyperlink" Target="http://www.digikey.com/product-detail/en/kemet/C0603C471K5RACTU/399-1075-1-ND/411350" TargetMode="External"/><Relationship Id="rId52" Type="http://schemas.openxmlformats.org/officeDocument/2006/relationships/hyperlink" Target="http://www.mouser.com/ProductDetail/Kemet/C0603C471K5RACTU/?qs=sGAEpiMZZMs0AnBnWHyRQFobcAuJilQS8gEQR%2FVue9w%3D" TargetMode="External"/><Relationship Id="rId53" Type="http://schemas.openxmlformats.org/officeDocument/2006/relationships/hyperlink" Target="http://www.newark.com/kemet/c0603c471k5ractu/ceramic-capacitor-470pf-50v-x7r/dp/30C5318" TargetMode="External"/><Relationship Id="rId54" Type="http://schemas.openxmlformats.org/officeDocument/2006/relationships/hyperlink" Target="http://www.digikey.com/product-detail/en/samsung-electro-mechanics-america-inc/CL10B272KB8SFNC/1276-2023-1-ND/3890109" TargetMode="External"/><Relationship Id="rId55" Type="http://schemas.openxmlformats.org/officeDocument/2006/relationships/hyperlink" Target="http://www.digikey.com/scripts/DkSearch/dksus.dll?WT.z_header=search_go&amp;lang=en&amp;keywords=502AAA-ADAG%20" TargetMode="External"/><Relationship Id="rId56" Type="http://schemas.openxmlformats.org/officeDocument/2006/relationships/hyperlink" Target="http://www.digikey.com/product-detail/en/bourns-inc/MH1608-221Y/MH1608-221YCT-ND/3767624" TargetMode="External"/><Relationship Id="rId57" Type="http://schemas.openxmlformats.org/officeDocument/2006/relationships/hyperlink" Target="http://www.mouser.com/Search/Refine.aspx?Keyword=MH1608-221Y%20" TargetMode="External"/><Relationship Id="rId58" Type="http://schemas.openxmlformats.org/officeDocument/2006/relationships/hyperlink" Target="http://www.newark.com/webapp/wcs/stores/servlet/Search?catalogId=15003&amp;langId=-1&amp;storeId=10194&amp;gs=true&amp;st=MH1608-221Y%20" TargetMode="External"/><Relationship Id="rId59" Type="http://schemas.openxmlformats.org/officeDocument/2006/relationships/hyperlink" Target="http://www.digikey.com/product-detail/en/kemet/C0603C105K9PACTU/399-7848-1-ND/3471571" TargetMode="External"/><Relationship Id="rId60" Type="http://schemas.openxmlformats.org/officeDocument/2006/relationships/hyperlink" Target="http://www.mouser.com/ProductDetail/Kemet/C0603C105K9PACTU/?qs=sGAEpiMZZMs0AnBnWHyRQFqPnX0OlvcosbIujTgUfW4%3D" TargetMode="External"/><Relationship Id="rId61" Type="http://schemas.openxmlformats.org/officeDocument/2006/relationships/hyperlink" Target="http://www.newark.com/kemet/c0603c105k9pactu/mlcc-capacitor-1uf-6-3v-x5r-10/dp/73H4095" TargetMode="External"/><Relationship Id="rId62" Type="http://schemas.openxmlformats.org/officeDocument/2006/relationships/hyperlink" Target="http://www.digikey.com/product-detail/en/yageo/RC0603JR-0722RL/311-22GRCT-ND/729690" TargetMode="External"/><Relationship Id="rId63" Type="http://schemas.openxmlformats.org/officeDocument/2006/relationships/hyperlink" Target="http://www.mouser.com/Search/Refine.aspx?Keyword=RC0603JR-0722RL%20" TargetMode="External"/><Relationship Id="rId64" Type="http://schemas.openxmlformats.org/officeDocument/2006/relationships/hyperlink" Target="http://www.newark.com/yageo/rc0603jr-0722rl/res-thick-film-22r-5-0-1w-0603/dp/68R0168" TargetMode="External"/><Relationship Id="rId65" Type="http://schemas.openxmlformats.org/officeDocument/2006/relationships/hyperlink" Target="http://www.digikey.com/product-detail/en/bourns-inc/MF-USMF005-2/MF-USMF005-2CT-ND/1014930" TargetMode="External"/><Relationship Id="rId66" Type="http://schemas.openxmlformats.org/officeDocument/2006/relationships/hyperlink" Target="http://www.mouser.com/Search/Refine.aspx?Keyword=MF-USMF005-2%20" TargetMode="External"/><Relationship Id="rId67" Type="http://schemas.openxmlformats.org/officeDocument/2006/relationships/hyperlink" Target="http://www.newark.com/bourns/usmf005-2/fuse-ptc-reset-30v-50ma-1210/dp/75K7706" TargetMode="External"/><Relationship Id="rId68" Type="http://schemas.openxmlformats.org/officeDocument/2006/relationships/hyperlink" Target="http://www.digikey.com/scripts/DkSearch/dksus.dll?WT.z_header=search_go&amp;lang=en&amp;keywords=182-009-113R561%20%20" TargetMode="External"/><Relationship Id="rId69" Type="http://schemas.openxmlformats.org/officeDocument/2006/relationships/hyperlink" Target="http://www.mouser.com/Search/Refine.aspx?Keyword=182-009-113R561%20%20" TargetMode="External"/><Relationship Id="rId70" Type="http://schemas.openxmlformats.org/officeDocument/2006/relationships/hyperlink" Target="http://www.newark.com/webapp/wcs/stores/servlet/Search?catalogId=15003&amp;langId=-1&amp;storeId=10194&amp;gs=true&amp;st=182-009-113R561%20%20" TargetMode="External"/><Relationship Id="rId71" Type="http://schemas.openxmlformats.org/officeDocument/2006/relationships/hyperlink" Target="http://www.digikey.com/product-detail/en/yageo/RC0603JR-07100RL/311-100GRCT-ND/729644" TargetMode="External"/><Relationship Id="rId72" Type="http://schemas.openxmlformats.org/officeDocument/2006/relationships/hyperlink" Target="http://www.mouser.com/Search/Refine.aspx?Keyword=RC0603JR-07100RL%20" TargetMode="External"/><Relationship Id="rId73" Type="http://schemas.openxmlformats.org/officeDocument/2006/relationships/hyperlink" Target="http://www.newark.com/webapp/wcs/stores/servlet/Search?catalogId=15003&amp;langId=-1&amp;storeId=10194&amp;gs=true&amp;st=RC0603JR-07100RL%20" TargetMode="External"/><Relationship Id="rId74" Type="http://schemas.openxmlformats.org/officeDocument/2006/relationships/hyperlink" Target="http://www.digikey.com/product-detail/en/yageo/RC0603JR-07390RL/311-390GRCT-ND/729724" TargetMode="External"/><Relationship Id="rId75" Type="http://schemas.openxmlformats.org/officeDocument/2006/relationships/hyperlink" Target="http://www.mouser.com/ProductDetail/Yageo/RC0603JR-07390RS/?qs=sGAEpiMZZMu61qfTUdNhGwCu8n0o5PqhxqUpqOMWBIYC%2Fnc53SSL6Q%3D%3D" TargetMode="External"/><Relationship Id="rId76" Type="http://schemas.openxmlformats.org/officeDocument/2006/relationships/hyperlink" Target="http://www.newark.com/yageo/rc0603jr-07390rl/res-thick-film-390r-5-0-1w-0603/dp/68R0187" TargetMode="External"/><Relationship Id="rId77" Type="http://schemas.openxmlformats.org/officeDocument/2006/relationships/hyperlink" Target="http://www.digikey.com/product-detail/en/yageo/RC0603JR-07270RL/311-270GRCT-ND/729696" TargetMode="External"/><Relationship Id="rId78" Type="http://schemas.openxmlformats.org/officeDocument/2006/relationships/hyperlink" Target="http://www.mouser.com/Search/Refine.aspx?Keyword=RC0603JR-07270RL%20%20" TargetMode="External"/><Relationship Id="rId79" Type="http://schemas.openxmlformats.org/officeDocument/2006/relationships/hyperlink" Target="http://www.newark.com/yageo/rc0603jr-07270rl/res-thick-film-270r-5-0-1w-0603/dp/68R0174" TargetMode="External"/><Relationship Id="rId80" Type="http://schemas.openxmlformats.org/officeDocument/2006/relationships/hyperlink" Target="http://www.digikey.com/product-detail/en/yageo/RC0603JR-07270RL/311-270GRCT-ND/729696" TargetMode="External"/><Relationship Id="rId81" Type="http://schemas.openxmlformats.org/officeDocument/2006/relationships/hyperlink" Target="http://www.mouser.com/Search/Refine.aspx?Keyword=RC0603JR-07270RL%20" TargetMode="External"/><Relationship Id="rId82" Type="http://schemas.openxmlformats.org/officeDocument/2006/relationships/hyperlink" Target="http://www.newark.com/yageo/rc0603jr-07270rl/res-thick-film-270r-5-0-1w-0603/dp/68R0174" TargetMode="External"/><Relationship Id="rId83" Type="http://schemas.openxmlformats.org/officeDocument/2006/relationships/hyperlink" Target="http://www.digikey.com/product-detail/en/yageo/RC0603JR-07100KL/311-100KGRCT-ND/729645" TargetMode="External"/><Relationship Id="rId84" Type="http://schemas.openxmlformats.org/officeDocument/2006/relationships/hyperlink" Target="http://www.mouser.com/Search/Refine.aspx?Keyword=RC0603JR-07100KL%20" TargetMode="External"/><Relationship Id="rId85" Type="http://schemas.openxmlformats.org/officeDocument/2006/relationships/hyperlink" Target="http://www.newark.com/yageo/rc0603jr-07100kl/res-thick-film-100k-5-0-1w-0603/dp/68R0147" TargetMode="External"/><Relationship Id="rId86" Type="http://schemas.openxmlformats.org/officeDocument/2006/relationships/hyperlink" Target="http://www.digikey.com/product-detail/en/yageo/RC0603JR-070RL/311-0.0GRCT-ND/729622" TargetMode="External"/><Relationship Id="rId87" Type="http://schemas.openxmlformats.org/officeDocument/2006/relationships/hyperlink" Target="http://www.mouser.com/Search/Refine.aspx?Keyword=RC0603JR-070RL%20" TargetMode="External"/><Relationship Id="rId88" Type="http://schemas.openxmlformats.org/officeDocument/2006/relationships/hyperlink" Target="http://www.newark.com/yageo/rc0603jr-070rl/res-thick-film-0r-0-1w-0603/dp/68R0136" TargetMode="External"/><Relationship Id="rId89" Type="http://schemas.openxmlformats.org/officeDocument/2006/relationships/hyperlink" Target="http://www.digikey.com/product-detail/en/kemet/C0603C335M9PACTU/399-5502-1-ND/1950680" TargetMode="External"/><Relationship Id="rId90" Type="http://schemas.openxmlformats.org/officeDocument/2006/relationships/hyperlink" Target="http://www.mouser.com/Search/Refine.aspx?Keyword=C0603C335M9PACTU%20" TargetMode="External"/><Relationship Id="rId91" Type="http://schemas.openxmlformats.org/officeDocument/2006/relationships/hyperlink" Target="http://www.newark.com/webapp/wcs/stores/servlet/Search?catalogId=15003&amp;langId=-1&amp;storeId=10194&amp;gs=true&amp;st=C0603C335M9PACTU%20" TargetMode="External"/><Relationship Id="rId92" Type="http://schemas.openxmlformats.org/officeDocument/2006/relationships/hyperlink" Target="http://www.digikey.com/product-detail/en/nichicon/UCL1V471MNL1GS/493-3961-1-ND/2300388" TargetMode="External"/><Relationship Id="rId93" Type="http://schemas.openxmlformats.org/officeDocument/2006/relationships/hyperlink" Target="http://www.mouser.com/Search/Refine.aspx?Keyword=UCL1V471MNL1GS%20" TargetMode="External"/><Relationship Id="rId94" Type="http://schemas.openxmlformats.org/officeDocument/2006/relationships/hyperlink" Target="http://www.newark.com/nichicon/ucl1v471mnl1gs/aluminum-electrolytic-capacitor/dp/84R9019" TargetMode="External"/><Relationship Id="rId95" Type="http://schemas.openxmlformats.org/officeDocument/2006/relationships/hyperlink" Target="http://www.digikey.com/product-detail/en/everlight-electronics-co-ltd/QTLP600C7TR/1080-1400-1-ND/2676134" TargetMode="External"/><Relationship Id="rId96" Type="http://schemas.openxmlformats.org/officeDocument/2006/relationships/hyperlink" Target="http://www.mouser.com/ProductDetail/Everlight/QTLP600C7TR/?qs=sGAEpiMZZMseGfSY3csMkWdJa7STmGtdQU9lBBFgFGA%3D" TargetMode="External"/><Relationship Id="rId97" Type="http://schemas.openxmlformats.org/officeDocument/2006/relationships/hyperlink" Target="http://www.digikey.com/product-detail/en/samsung-electro-mechanics-america-inc/CL10B562KB8SFNC/1276-2092-1-ND/3890178" TargetMode="External"/><Relationship Id="rId98" Type="http://schemas.openxmlformats.org/officeDocument/2006/relationships/hyperlink" Target="http://www.newark.com/multicomp/mc0603b562k500ct/ceramic-capacitor-5600pf-50v-x7r/dp/06R5033?iscrfnonsku=true" TargetMode="External"/><Relationship Id="rId99" Type="http://schemas.openxmlformats.org/officeDocument/2006/relationships/hyperlink" Target="http://www.digikey.com/product-detail/en/susumu/RG1608P-153-B-T5/RG16P15.0KBCT-ND/1240871" TargetMode="External"/><Relationship Id="rId100" Type="http://schemas.openxmlformats.org/officeDocument/2006/relationships/hyperlink" Target="http://www.mouser.com/Search/Refine.aspx?Keyword=RG1608P-153-B-T5%20" TargetMode="External"/><Relationship Id="rId101" Type="http://schemas.openxmlformats.org/officeDocument/2006/relationships/hyperlink" Target="http://www.newark.com/webapp/wcs/stores/servlet/Search?catalogId=15003&amp;langId=-1&amp;storeId=10194&amp;gs=true&amp;st=RG1608P-153-B-T5%20" TargetMode="External"/><Relationship Id="rId102" Type="http://schemas.openxmlformats.org/officeDocument/2006/relationships/hyperlink" Target="http://www.digikey.com/product-detail/en/kemet/C0603C103K5RACTU/399-1091-1-ND/411366" TargetMode="External"/><Relationship Id="rId103" Type="http://schemas.openxmlformats.org/officeDocument/2006/relationships/hyperlink" Target="http://www.mouser.com/ProductDetail/Kemet/C0603C103K5RACTU/?qs=sGAEpiMZZMs0AnBnWHyRQJxdEn2F2BG1%2FBzHVE3ZwKE%3D" TargetMode="External"/><Relationship Id="rId104" Type="http://schemas.openxmlformats.org/officeDocument/2006/relationships/hyperlink" Target="http://www.newark.com/kemet/c0603c103k5ractu/ceramic-capacitor-0-01uf-50v-x7r/dp/30C5334" TargetMode="External"/><Relationship Id="rId105" Type="http://schemas.openxmlformats.org/officeDocument/2006/relationships/hyperlink" Target="http://www.digikey.com/product-detail/en/panasonic-electronic-components/ERA-3AEB2491V/P2.49KDBCT-ND/3075884" TargetMode="External"/><Relationship Id="rId106" Type="http://schemas.openxmlformats.org/officeDocument/2006/relationships/hyperlink" Target="http://www.mouser.com/Search/Refine.aspx?Keyword=ERA-3AEB2491V%20%20" TargetMode="External"/><Relationship Id="rId107" Type="http://schemas.openxmlformats.org/officeDocument/2006/relationships/hyperlink" Target="http://www.newark.com/panasonic-electronic-components/era-3aeb2491v/res-metal-film-2k49-0-1-0-1w-0603/dp/53W8341" TargetMode="External"/><Relationship Id="rId108" Type="http://schemas.openxmlformats.org/officeDocument/2006/relationships/hyperlink" Target="http://www.digikey.com/product-detail/en/yageo/RC0603JR-071KL/311-1.0KGRCT-ND/729624" TargetMode="External"/><Relationship Id="rId109" Type="http://schemas.openxmlformats.org/officeDocument/2006/relationships/hyperlink" Target="http://www.mouser.com/Search/Refine.aspx?Keyword=RC0603JR-071KL%20%20" TargetMode="External"/><Relationship Id="rId110" Type="http://schemas.openxmlformats.org/officeDocument/2006/relationships/hyperlink" Target="http://www.newark.com/yageo/rc0603jr-071kl/res-thick-film-1k-5-0-1w-0603/dp/68R0137" TargetMode="External"/><Relationship Id="rId111" Type="http://schemas.openxmlformats.org/officeDocument/2006/relationships/hyperlink" Target="http://www.digikey.com/product-detail/en/yageo/RC0603JR-071KL/311-1.0KGRCT-ND/729624" TargetMode="External"/><Relationship Id="rId112" Type="http://schemas.openxmlformats.org/officeDocument/2006/relationships/hyperlink" Target="http://www.mouser.com/Search/Refine.aspx?Keyword=RC0603JR-071KL%20" TargetMode="External"/><Relationship Id="rId113" Type="http://schemas.openxmlformats.org/officeDocument/2006/relationships/hyperlink" Target="http://www.newark.com/yageo/rc0603jr-071kl/res-thick-film-1k-5-0-1w-0603/dp/68R0137" TargetMode="External"/><Relationship Id="rId114" Type="http://schemas.openxmlformats.org/officeDocument/2006/relationships/hyperlink" Target="http://www.digikey.com/product-detail/en/diodes-incorporated/B540C-13-F/B540C-FDICT-ND/768814" TargetMode="External"/><Relationship Id="rId115" Type="http://schemas.openxmlformats.org/officeDocument/2006/relationships/hyperlink" Target="http://www.mouser.com/Search/Refine.aspx?Keyword=B540C-13-F%20%20" TargetMode="External"/><Relationship Id="rId116" Type="http://schemas.openxmlformats.org/officeDocument/2006/relationships/hyperlink" Target="http://www.newark.com/diodes-inc/b540c-13-f/schottky-diode-5a-40v-smc/dp/12T1472" TargetMode="External"/><Relationship Id="rId117" Type="http://schemas.openxmlformats.org/officeDocument/2006/relationships/hyperlink" Target="http://www.digikey.com/product-detail/en/murata-electronics-north-america/GRM033R71E331KA01D/490-3178-1-ND/702719" TargetMode="External"/><Relationship Id="rId118" Type="http://schemas.openxmlformats.org/officeDocument/2006/relationships/hyperlink" Target="http://www.mouser.com/Search/Refine.aspx?Keyword=GRM033R71E331KA01D%20" TargetMode="External"/><Relationship Id="rId119" Type="http://schemas.openxmlformats.org/officeDocument/2006/relationships/hyperlink" Target="http://www.newark.com/webapp/wcs/stores/servlet/Search?catalogId=15003&amp;langId=-1&amp;storeId=10194&amp;gs=true&amp;st=GRM033R71E331KA01D%20" TargetMode="External"/><Relationship Id="rId120" Type="http://schemas.openxmlformats.org/officeDocument/2006/relationships/hyperlink" Target="http://www.digikey.com/product-detail/en/panasonic-electronic-components/ERJ-8GEYJ222V/P2.2KECT-ND/203296" TargetMode="External"/><Relationship Id="rId121" Type="http://schemas.openxmlformats.org/officeDocument/2006/relationships/hyperlink" Target="http://www.mouser.com/Search/Refine.aspx?Keyword=ERJ-8GEYJ222V%20%20" TargetMode="External"/><Relationship Id="rId122" Type="http://schemas.openxmlformats.org/officeDocument/2006/relationships/hyperlink" Target="http://www.newark.com/panasonic-electronic-components/erj-8geyj222v/res-thick-film-2k2-5-0-25w-1206/dp/65T8919" TargetMode="External"/><Relationship Id="rId123" Type="http://schemas.openxmlformats.org/officeDocument/2006/relationships/hyperlink" Target="http://www.digikey.com/product-detail/en/yageo/RC0603JR-0710KL/311-10KGRCT-ND/729647" TargetMode="External"/><Relationship Id="rId124" Type="http://schemas.openxmlformats.org/officeDocument/2006/relationships/hyperlink" Target="http://www.mouser.com/Search/Refine.aspx?Keyword=RC0603JR-0710KL%20" TargetMode="External"/><Relationship Id="rId125" Type="http://schemas.openxmlformats.org/officeDocument/2006/relationships/hyperlink" Target="http://www.newark.com/yageo/rc0603jr-0710kl/res-thick-film-10k-5-0-1w-0603/dp/68R0144" TargetMode="External"/><Relationship Id="rId126" Type="http://schemas.openxmlformats.org/officeDocument/2006/relationships/hyperlink" Target="http://www.digikey.com/product-detail/en/yageo/RC0603JR-0710KL/311-10KGRCT-ND/729647" TargetMode="External"/><Relationship Id="rId127" Type="http://schemas.openxmlformats.org/officeDocument/2006/relationships/hyperlink" Target="http://www.mouser.com/Search/Refine.aspx?Keyword=RC0603JR-0710KL%20%20" TargetMode="External"/><Relationship Id="rId128" Type="http://schemas.openxmlformats.org/officeDocument/2006/relationships/hyperlink" Target="http://www.newark.com/yageo/rc0603jr-0710kl/res-thick-film-10k-5-0-1w-0603/dp/68R0144" TargetMode="External"/><Relationship Id="rId129" Type="http://schemas.openxmlformats.org/officeDocument/2006/relationships/hyperlink" Target="http://www.digikey.com/product-detail/en/te-connectivity-alcoswitch-switches/FSM2JSMAATR/450-1792-1-ND/3503931" TargetMode="External"/><Relationship Id="rId130" Type="http://schemas.openxmlformats.org/officeDocument/2006/relationships/hyperlink" Target="http://www.mouser.com/Search/Refine.aspx?Keyword=FSM2JSMAATR%20" TargetMode="External"/><Relationship Id="rId131" Type="http://schemas.openxmlformats.org/officeDocument/2006/relationships/hyperlink" Target="http://www.newark.com/webapp/wcs/stores/servlet/Search?catalogId=15003&amp;langId=-1&amp;storeId=10194&amp;gs=true&amp;st=FSM2JSMAATR%20" TargetMode="External"/><Relationship Id="rId132" Type="http://schemas.openxmlformats.org/officeDocument/2006/relationships/hyperlink" Target="http://www.digikey.com/product-detail/en/kemet/C0603C105K9PACTU/399-7848-1-ND/3471571" TargetMode="External"/><Relationship Id="rId133" Type="http://schemas.openxmlformats.org/officeDocument/2006/relationships/hyperlink" Target="http://www.mouser.com/ProductDetail/Kemet/C0603C105K9PACTU/?qs=sGAEpiMZZMs0AnBnWHyRQFqPnX0OlvcosbIujTgUfW4%3D" TargetMode="External"/><Relationship Id="rId134" Type="http://schemas.openxmlformats.org/officeDocument/2006/relationships/hyperlink" Target="http://www.newark.com/kemet/c0603c105k9pactu/mlcc-capacitor-1uf-6-3v-x5r-10/dp/73H4095" TargetMode="External"/><Relationship Id="rId135" Type="http://schemas.openxmlformats.org/officeDocument/2006/relationships/hyperlink" Target="http://www.digikey.com/product-detail/en/panasonic-electronic-components/ERJ-3EKF8451V/P8.45KHCT-ND/198516" TargetMode="External"/><Relationship Id="rId136" Type="http://schemas.openxmlformats.org/officeDocument/2006/relationships/hyperlink" Target="http://www.mouser.com/Search/Refine.aspx?Keyword=ERJ-3EKF8451V%20%20" TargetMode="External"/><Relationship Id="rId137" Type="http://schemas.openxmlformats.org/officeDocument/2006/relationships/hyperlink" Target="http://www.newark.com/panasonic-electronic-components/erj-3ekf8451v/res-thick-film-8k45-1-0-1w-0603/dp/65T8533" TargetMode="External"/><Relationship Id="rId138" Type="http://schemas.openxmlformats.org/officeDocument/2006/relationships/hyperlink" Target="http://www.digikey.com/product-detail/en/lite-on-inc/LTST-C191KGKT/160-1446-1-ND/386834" TargetMode="External"/><Relationship Id="rId139" Type="http://schemas.openxmlformats.org/officeDocument/2006/relationships/hyperlink" Target="http://www.mouser.com/Search/Refine.aspx?Keyword=LTST-C191KGKT%20" TargetMode="External"/><Relationship Id="rId140" Type="http://schemas.openxmlformats.org/officeDocument/2006/relationships/hyperlink" Target="http://www.newark.com/webapp/wcs/stores/servlet/Search?catalogId=15003&amp;langId=-1&amp;storeId=10194&amp;gs=true&amp;st=LTST-C191KGKT%20" TargetMode="External"/><Relationship Id="rId141" Type="http://schemas.openxmlformats.org/officeDocument/2006/relationships/hyperlink" Target="http://www.digikey.com/product-detail/en/on-semiconductor/P6SMB12CAT3G/P6SMB12CAT3GOSCT-ND/1967278" TargetMode="External"/><Relationship Id="rId142" Type="http://schemas.openxmlformats.org/officeDocument/2006/relationships/hyperlink" Target="http://www.mouser.com/ProductDetail/ON-Semiconductor/P6SMB12CAT3G/?qs=sGAEpiMZZMtqO%252bWUGLBzeL0IHlZqTEbU" TargetMode="External"/><Relationship Id="rId143" Type="http://schemas.openxmlformats.org/officeDocument/2006/relationships/hyperlink" Target="http://www.newark.com/on-semiconductor/p6smb12cat3g/tvs-diode-600w-12v-403a/dp/09R9693" TargetMode="External"/><Relationship Id="rId144" Type="http://schemas.openxmlformats.org/officeDocument/2006/relationships/hyperlink" Target="http://www.digikey.com/product-detail/en/panasonic-electronic-components/ERA-3AEB2491V/P2.49KDBCT-ND/3075884" TargetMode="External"/><Relationship Id="rId145" Type="http://schemas.openxmlformats.org/officeDocument/2006/relationships/hyperlink" Target="http://www.mouser.com/Search/Refine.aspx?Keyword=ERA-3AEB2491V%20%20" TargetMode="External"/><Relationship Id="rId146" Type="http://schemas.openxmlformats.org/officeDocument/2006/relationships/hyperlink" Target="http://www.newark.com/panasonic-electronic-components/era-3aeb2491v/res-metal-film-2k49-0-1-0-1w-0603/dp/53W8341" TargetMode="External"/><Relationship Id="rId147" Type="http://schemas.openxmlformats.org/officeDocument/2006/relationships/hyperlink" Target="http://www.digikey.com/product-detail/en/texas-instruments/TXB0108PWR/296-21527-1-ND/1305700" TargetMode="External"/><Relationship Id="rId148" Type="http://schemas.openxmlformats.org/officeDocument/2006/relationships/hyperlink" Target="http://www.mouser.com/ProductDetail/Texas-Instruments/TXB0108PWR/?qs=sGAEpiMZZMupTq4AYuRvQKKOVTxKvBsp" TargetMode="External"/><Relationship Id="rId149" Type="http://schemas.openxmlformats.org/officeDocument/2006/relationships/hyperlink" Target="http://www.newark.com/texas-instruments/txb0108pwr/8-bit-voltage-level-xlator-tssop/dp/27M1151" TargetMode="External"/><Relationship Id="rId150" Type="http://schemas.openxmlformats.org/officeDocument/2006/relationships/hyperlink" Target="http://www.digikey.com/product-detail/en/kemet/C0603C104K5RACTU/399-5089-1-ND/1465623" TargetMode="External"/><Relationship Id="rId151" Type="http://schemas.openxmlformats.org/officeDocument/2006/relationships/hyperlink" Target="http://www.mouser.com/ProductDetail/Kemet/C0603C104K5RACTU/?qs=sGAEpiMZZMs0AnBnWHyRQFqPnX0OlvcoBpdXUg31zDw%3D" TargetMode="External"/><Relationship Id="rId152" Type="http://schemas.openxmlformats.org/officeDocument/2006/relationships/hyperlink" Target="http://www.newark.com/kemet/c0603c104k5ractu/ceramic-capacitor-0-1uf-50v-x7r/dp/97H5226" TargetMode="External"/><Relationship Id="rId153" Type="http://schemas.openxmlformats.org/officeDocument/2006/relationships/hyperlink" Target="http://www.digikey.com/product-detail/en/yageo/RC0603JR-072K2L/311-2.2KGRCT-ND/729676" TargetMode="External"/><Relationship Id="rId154" Type="http://schemas.openxmlformats.org/officeDocument/2006/relationships/hyperlink" Target="http://www.mouser.com/Search/Refine.aspx?Keyword=RC0603JR-072K2L%20%20" TargetMode="External"/><Relationship Id="rId155" Type="http://schemas.openxmlformats.org/officeDocument/2006/relationships/hyperlink" Target="http://www.newark.com/webapp/wcs/stores/servlet/Search?catalogId=15003&amp;langId=-1&amp;storeId=10194&amp;gs=true&amp;st=RC0603JR-072K2L%20%20" TargetMode="External"/><Relationship Id="rId156" Type="http://schemas.openxmlformats.org/officeDocument/2006/relationships/hyperlink" Target="http://www.digikey.com/product-detail/en/yageo/RC0603FR-0712K1L/311-12.1KHRCT-ND/729862" TargetMode="External"/><Relationship Id="rId157" Type="http://schemas.openxmlformats.org/officeDocument/2006/relationships/hyperlink" Target="http://www.mouser.com/Search/Refine.aspx?Keyword=RC0603FR-0712K1L%20" TargetMode="External"/><Relationship Id="rId158" Type="http://schemas.openxmlformats.org/officeDocument/2006/relationships/hyperlink" Target="http://www.newark.com/yageo/rc0603fr-0712k1l/res-thick-film-12k1-1-0-1w-0603/dp/66R2021" TargetMode="External"/><Relationship Id="rId159" Type="http://schemas.openxmlformats.org/officeDocument/2006/relationships/hyperlink" Target="http://www.digikey.com/product-detail/en/on-semiconductor/MMSZ5V6T1G/MMSZ5V6T1GOSCT-ND/919785" TargetMode="External"/><Relationship Id="rId160" Type="http://schemas.openxmlformats.org/officeDocument/2006/relationships/hyperlink" Target="http://www.mouser.com/ProductDetail/ON-Semiconductor/MMSZ5V6T1G/?qs=sGAEpiMZZMtQ8nqTKtFS%2FJ7m6e1KBCguUJEFd%2FP4J1Y%3D" TargetMode="External"/><Relationship Id="rId161" Type="http://schemas.openxmlformats.org/officeDocument/2006/relationships/hyperlink" Target="http://www.newark.com/on-semiconductor/mmsz5v6t1g/zener-diode-500mw-5-6v-sod-123/dp/45J1588" TargetMode="External"/><Relationship Id="rId162" Type="http://schemas.openxmlformats.org/officeDocument/2006/relationships/hyperlink" Target="http://www.digikey.com/product-detail/en/yageo/RC0603JR-07220RL/311-220GRCT-ND/729688" TargetMode="External"/><Relationship Id="rId163" Type="http://schemas.openxmlformats.org/officeDocument/2006/relationships/hyperlink" Target="http://www.mouser.com/Search/Refine.aspx?Keyword=RC0603JR-07220RL%20%20" TargetMode="External"/><Relationship Id="rId164" Type="http://schemas.openxmlformats.org/officeDocument/2006/relationships/hyperlink" Target="http://www.newark.com/yageo/rc0603jr-07220rl/res-thick-film-220r-5-0-1w-0603/dp/68R0170" TargetMode="External"/><Relationship Id="rId165" Type="http://schemas.openxmlformats.org/officeDocument/2006/relationships/hyperlink" Target="http://www.digikey.com/product-detail/en/kemet/C0603C102K5RACTU/399-1082-1-ND/411357" TargetMode="External"/><Relationship Id="rId166" Type="http://schemas.openxmlformats.org/officeDocument/2006/relationships/hyperlink" Target="http://www.mouser.com/ProductDetail/Kemet/C0603C102K5RACTU/?qs=sGAEpiMZZMs0AnBnWHyRQI7HfOv1V98Mz5yd65dk19I%3D" TargetMode="External"/><Relationship Id="rId167" Type="http://schemas.openxmlformats.org/officeDocument/2006/relationships/hyperlink" Target="http://www.newark.com/kemet/c0603c102k5ractu/ceramic-capacitor-1000pf-50v-x7r/dp/51B220" TargetMode="External"/><Relationship Id="rId168" Type="http://schemas.openxmlformats.org/officeDocument/2006/relationships/hyperlink" Target="http://www.digikey.com/product-detail/en/susumu/RG1608P-153-B-T5/RG16P15.0KBCT-ND/1240871" TargetMode="External"/><Relationship Id="rId169" Type="http://schemas.openxmlformats.org/officeDocument/2006/relationships/hyperlink" Target="http://www.mouser.com/Search/Refine.aspx?Keyword=RG1608P-153-B-T5%20%20" TargetMode="External"/><Relationship Id="rId170" Type="http://schemas.openxmlformats.org/officeDocument/2006/relationships/hyperlink" Target="http://www.newark.com/webapp/wcs/stores/servlet/Search?catalogId=15003&amp;langId=-1&amp;storeId=10194&amp;gs=true&amp;st=RG1608P-153-B-T5%20%20" TargetMode="External"/><Relationship Id="rId171" Type="http://schemas.openxmlformats.org/officeDocument/2006/relationships/hyperlink" Target="http://www.digikey.com/product-detail/en/yageo/RC0603FR-0719K1L/311-19.1KHRCT-ND/729948" TargetMode="External"/><Relationship Id="rId172" Type="http://schemas.openxmlformats.org/officeDocument/2006/relationships/hyperlink" Target="http://www.mouser.com/Search/Refine.aspx?Keyword=RC0603FR-0719K1L%20" TargetMode="External"/><Relationship Id="rId173" Type="http://schemas.openxmlformats.org/officeDocument/2006/relationships/hyperlink" Target="http://www.newark.com/webapp/wcs/stores/servlet/Search?catalogId=15003&amp;langId=-1&amp;storeId=10194&amp;gs=true&amp;st=RC0603FR-0719K1L%20" TargetMode="External"/><Relationship Id="rId174" Type="http://schemas.openxmlformats.org/officeDocument/2006/relationships/hyperlink" Target="http://www.digikey.com/product-detail/en/on-semiconductor/MURS360T3G/MURS360T3GOSCT-ND/964580" TargetMode="External"/><Relationship Id="rId175" Type="http://schemas.openxmlformats.org/officeDocument/2006/relationships/hyperlink" Target="http://www.mouser.com/Search/Refine.aspx?Keyword=%20MURS360T3G%20%20" TargetMode="External"/><Relationship Id="rId176" Type="http://schemas.openxmlformats.org/officeDocument/2006/relationships/hyperlink" Target="http://www.newark.com/on-semiconductor/murs360t3g/fast-recovery-diode-3a-600v-403/dp/88H4945" TargetMode="External"/><Relationship Id="rId177" Type="http://schemas.openxmlformats.org/officeDocument/2006/relationships/hyperlink" Target="http://www.digikey.com/product-detail/en/nxp-semiconductors/PMEG3020EH,115/568-4129-1-ND/1589944" TargetMode="External"/><Relationship Id="rId178" Type="http://schemas.openxmlformats.org/officeDocument/2006/relationships/hyperlink" Target="http://www.mouser.com/Search/Refine.aspx?Keyword=PMEG3020EH%2C115%20%20" TargetMode="External"/><Relationship Id="rId179" Type="http://schemas.openxmlformats.org/officeDocument/2006/relationships/hyperlink" Target="http://www.newark.com/nxp/pmeg3020eh-115/schottky-diode-2a-30v-sod-123f/dp/75R0878" TargetMode="External"/><Relationship Id="rId180" Type="http://schemas.openxmlformats.org/officeDocument/2006/relationships/hyperlink" Target="http://www.digikey.com/product-detail/en/texas-instruments/LM2596SX-5.0-NOPB/LM2596SX-5.0-NOPBCT-ND/3767457" TargetMode="External"/><Relationship Id="rId181" Type="http://schemas.openxmlformats.org/officeDocument/2006/relationships/hyperlink" Target="http://www.mouser.com/ProductDetail/Texas-Instruments/LM2596SX-50-NOPB/?qs=sGAEpiMZZMtitjHzVIkrqaeIqJaO9bXJKSbmn0qcy84%3D" TargetMode="External"/><Relationship Id="rId182" Type="http://schemas.openxmlformats.org/officeDocument/2006/relationships/hyperlink" Target="http://www.newark.com/texas-instruments/lm2596sx-5-0-nopb/step-down-voltage-regulator-to/dp/41K3848" TargetMode="External"/><Relationship Id="rId183" Type="http://schemas.openxmlformats.org/officeDocument/2006/relationships/hyperlink" Target="http://www.digikey.com/product-detail/en/microchip-technology/MCP6022T-I-SN/MCP6022T-I-SNCT-ND/5014121" TargetMode="External"/><Relationship Id="rId184" Type="http://schemas.openxmlformats.org/officeDocument/2006/relationships/hyperlink" Target="http://www.mouser.com/ProductDetail/Microchip-Technology/MCP6022T-I-SN/?qs=sGAEpiMZZMtCHixnSjNA6N5WMYiF%252b1misI0MopFvaX0%3D" TargetMode="External"/><Relationship Id="rId185" Type="http://schemas.openxmlformats.org/officeDocument/2006/relationships/hyperlink" Target="http://www.newark.com/webapp/wcs/stores/servlet/Search?catalogId=15003&amp;langId=-1&amp;storeId=10194&amp;gs=true&amp;st=MCP6022T-I%2FSN%20" TargetMode="External"/><Relationship Id="rId186" Type="http://schemas.openxmlformats.org/officeDocument/2006/relationships/hyperlink" Target="http://www.digikey.com/product-detail/en/cts-frequency-controls/TC25L5I32K7680/CTX1183CT-ND/3511747" TargetMode="External"/><Relationship Id="rId187" Type="http://schemas.openxmlformats.org/officeDocument/2006/relationships/hyperlink" Target="http://www.mouser.com/Search/Refine.aspx?Keyword=TC25L5I32K7680%20" TargetMode="External"/><Relationship Id="rId188" Type="http://schemas.openxmlformats.org/officeDocument/2006/relationships/hyperlink" Target="http://www.digikey.com/scripts/DkSearch/dksus.dll?WT.z_header=search_go&amp;lang=en&amp;keywords=311-1.5KGRCT-ND%20" TargetMode="External"/><Relationship Id="rId189" Type="http://schemas.openxmlformats.org/officeDocument/2006/relationships/hyperlink" Target="http://www.mouser.com/Search/Refine.aspx?Keyword=311-1.5KGRCT-ND%20" TargetMode="External"/><Relationship Id="rId190" Type="http://schemas.openxmlformats.org/officeDocument/2006/relationships/hyperlink" Target="http://www.digikey.com/product-detail/en/nxp-semiconductors/PESD1CAN,215/568-4032-1-ND/1530822" TargetMode="External"/><Relationship Id="rId191" Type="http://schemas.openxmlformats.org/officeDocument/2006/relationships/hyperlink" Target="http://www.mouser.com/Search/Refine.aspx?Keyword=PESD1CAN%2C215%20%20" TargetMode="External"/><Relationship Id="rId192" Type="http://schemas.openxmlformats.org/officeDocument/2006/relationships/hyperlink" Target="http://www.newark.com/nxp/pesd1can-215/diode-esd-24v-sot-23/dp/75R4742" TargetMode="External"/><Relationship Id="rId193" Type="http://schemas.openxmlformats.org/officeDocument/2006/relationships/hyperlink" Target="http://www.digikey.com/product-detail/en/microchip-technology/24AA025E48T-I-SN/24AA025E48T-I-SNCT-ND/5147216" TargetMode="External"/><Relationship Id="rId194" Type="http://schemas.openxmlformats.org/officeDocument/2006/relationships/hyperlink" Target="http://www.mouser.com/ProductDetail/Microchip-Technology/24AA025E48T-I-SN/?qs=sGAEpiMZZMuVhdAcoizlRWIBzfnbrkyfQG1xjvq6sAA%3D" TargetMode="External"/><Relationship Id="rId195" Type="http://schemas.openxmlformats.org/officeDocument/2006/relationships/hyperlink" Target="http://www.newark.com/webapp/wcs/stores/servlet/Search?catalogId=15003&amp;langId=-1&amp;storeId=10194&amp;gs=true&amp;st=24AA025E48T-I%2FSN%20" TargetMode="External"/><Relationship Id="rId196" Type="http://schemas.openxmlformats.org/officeDocument/2006/relationships/hyperlink" Target="http://www.digikey.com/product-detail/en/yageo/RC0603JR-074K7L/311-4.7KGRCT-ND/729732" TargetMode="External"/><Relationship Id="rId197" Type="http://schemas.openxmlformats.org/officeDocument/2006/relationships/hyperlink" Target="http://www.mouser.com/Search/Refine.aspx?Keyword=RC0603JR-074K7L%20" TargetMode="External"/><Relationship Id="rId198" Type="http://schemas.openxmlformats.org/officeDocument/2006/relationships/hyperlink" Target="http://www.newark.com/yageo/rc0603jr-074k7l/res-thick-film-4k7-5-0-1w-0603/dp/68R0188" TargetMode="External"/><Relationship Id="rId199" Type="http://schemas.openxmlformats.org/officeDocument/2006/relationships/hyperlink" Target="http://www.digikey.com/scripts/DkSearch/dksus.dll?WT.z_header=search_go&amp;lang=en&amp;keywords=SST26VF064BAT-104I%2FSM%20" TargetMode="External"/><Relationship Id="rId200" Type="http://schemas.openxmlformats.org/officeDocument/2006/relationships/hyperlink" Target="http://www.mouser.com/Search/Refine.aspx?Keyword=SST26VF064BAT-104I%2FSM%20" TargetMode="External"/><Relationship Id="rId201" Type="http://schemas.openxmlformats.org/officeDocument/2006/relationships/hyperlink" Target="http://www.newark.com/webapp/wcs/stores/servlet/Search?catalogId=15003&amp;langId=-1&amp;storeId=10194&amp;gs=true&amp;st=SST26VF064BAT-104I%2FSM%20" TargetMode="External"/><Relationship Id="rId202" Type="http://schemas.openxmlformats.org/officeDocument/2006/relationships/hyperlink" Target="http://www.digikey.com/product-detail/en/eaton/PTS12066V100/283-3142-1-ND/2639174" TargetMode="External"/><Relationship Id="rId203" Type="http://schemas.openxmlformats.org/officeDocument/2006/relationships/hyperlink" Target="http://www.mouser.com/Search/Refine.aspx?Keyword=PTS12066V100%20" TargetMode="External"/><Relationship Id="rId204" Type="http://schemas.openxmlformats.org/officeDocument/2006/relationships/hyperlink" Target="http://www.newark.com/webapp/wcs/stores/servlet/Search?catalogId=15003&amp;langId=-1&amp;storeId=10194&amp;gs=true&amp;st=PTS12066V100%20" TargetMode="External"/><Relationship Id="rId205" Type="http://schemas.openxmlformats.org/officeDocument/2006/relationships/hyperlink" Target="http://www.digikey.com/product-detail/en/bourns-inc/MF-USMF110-2/MF-USMF110-2CT-ND/1014924" TargetMode="External"/><Relationship Id="rId206" Type="http://schemas.openxmlformats.org/officeDocument/2006/relationships/hyperlink" Target="http://www.mouser.com/Search/Refine.aspx?Keyword=MF-USMF110-2%20" TargetMode="External"/><Relationship Id="rId207" Type="http://schemas.openxmlformats.org/officeDocument/2006/relationships/hyperlink" Target="http://www.newark.com/webapp/wcs/stores/servlet/Search?catalogId=15003&amp;langId=-1&amp;storeId=10194&amp;gs=true&amp;st=MF-USMF110-2%20" TargetMode="External"/><Relationship Id="rId208" Type="http://schemas.openxmlformats.org/officeDocument/2006/relationships/hyperlink" Target="http://www.digikey.com/product-detail/en/bourns-inc/MF-USMF110-2/MF-USMF110-2CT-ND/1014924" TargetMode="External"/><Relationship Id="rId209" Type="http://schemas.openxmlformats.org/officeDocument/2006/relationships/hyperlink" Target="http://www.mouser.com/Search/Refine.aspx?Keyword=MF-USMF110-2%20" TargetMode="External"/><Relationship Id="rId210" Type="http://schemas.openxmlformats.org/officeDocument/2006/relationships/hyperlink" Target="http://www.newark.com/webapp/wcs/stores/servlet/Search?catalogId=15003&amp;langId=-1&amp;storeId=10194&amp;gs=true&amp;st=MF-USMF110-2%20" TargetMode="External"/><Relationship Id="rId211" Type="http://schemas.openxmlformats.org/officeDocument/2006/relationships/hyperlink" Target="http://www.digikey.com/product-detail/en/kemet/C0603C105K9PACTU/399-7848-1-ND/3471571" TargetMode="External"/><Relationship Id="rId212" Type="http://schemas.openxmlformats.org/officeDocument/2006/relationships/hyperlink" Target="http://www.mouser.com/ProductDetail/Kemet/C0603C105K9PACTU/?qs=sGAEpiMZZMs0AnBnWHyRQFqPnX0OlvcosbIujTgUfW4%3D" TargetMode="External"/><Relationship Id="rId213" Type="http://schemas.openxmlformats.org/officeDocument/2006/relationships/hyperlink" Target="http://www.newark.com/kemet/c0603c105k9pactu/mlcc-capacitor-1uf-6-3v-x5r-10/dp/73H4095" TargetMode="External"/><Relationship Id="rId214" Type="http://schemas.openxmlformats.org/officeDocument/2006/relationships/hyperlink" Target="http://www.digikey.com/scripts/DkSearch/dksus.dll?WT.z_header=search_go&amp;lang=en&amp;keywords=PS2805C-4-A%20" TargetMode="External"/><Relationship Id="rId215" Type="http://schemas.openxmlformats.org/officeDocument/2006/relationships/hyperlink" Target="http://www.mouser.com/Search/Refine.aspx?Keyword=PS2805C-4-A%20" TargetMode="External"/><Relationship Id="rId216" Type="http://schemas.openxmlformats.org/officeDocument/2006/relationships/hyperlink" Target="http://www.digikey.com/product-detail/en/yageo/RC0603FR-074K7L/311-4.70KHRCT-ND/730159" TargetMode="External"/><Relationship Id="rId217" Type="http://schemas.openxmlformats.org/officeDocument/2006/relationships/hyperlink" Target="http://www.mouser.com/Search/Refine.aspx?Keyword=RC0603FR-074K7L%20" TargetMode="External"/><Relationship Id="rId218" Type="http://schemas.openxmlformats.org/officeDocument/2006/relationships/hyperlink" Target="http://www.newark.com/yageo/rc0603fr-074k7l/res-thick-film-4k7-1-0-1w-0603/dp/68R0092" TargetMode="External"/><Relationship Id="rId219" Type="http://schemas.openxmlformats.org/officeDocument/2006/relationships/hyperlink" Target="http://www.digikey.com/product-detail/en/yageo/RC0603FR-074K7L/311-4.70KHRCT-ND/730159" TargetMode="External"/><Relationship Id="rId220" Type="http://schemas.openxmlformats.org/officeDocument/2006/relationships/hyperlink" Target="http://www.mouser.com/Search/Refine.aspx?Keyword=RC0603FR-074K7L%20%20" TargetMode="External"/><Relationship Id="rId221" Type="http://schemas.openxmlformats.org/officeDocument/2006/relationships/hyperlink" Target="http://www.newark.com/yageo/rc0603fr-074k7l/res-thick-film-4k7-1-0-1w-0603/dp/68R0092" TargetMode="External"/><Relationship Id="rId222" Type="http://schemas.openxmlformats.org/officeDocument/2006/relationships/hyperlink" Target="http://www.digikey.com/product-detail/en/hirose-electric-co-ltd/ZX62-B-5PA(11)/H11634TR-ND/1993367" TargetMode="External"/><Relationship Id="rId223" Type="http://schemas.openxmlformats.org/officeDocument/2006/relationships/hyperlink" Target="http://www.mouser.com/Search/Refine.aspx?Keyword=ZX62-B-5PA%2811%20" TargetMode="External"/><Relationship Id="rId224" Type="http://schemas.openxmlformats.org/officeDocument/2006/relationships/hyperlink" Target="http://www.digikey.com/product-detail/en/hirose-electric-co-ltd/ZX62-AB-5PA(11)/H11635TR-ND/1993368" TargetMode="External"/><Relationship Id="rId225" Type="http://schemas.openxmlformats.org/officeDocument/2006/relationships/hyperlink" Target="http://www.mouser.com/Search/Refine.aspx?Keyword=ZX62-AB-5PA%2811%29%20" TargetMode="External"/><Relationship Id="rId226" Type="http://schemas.openxmlformats.org/officeDocument/2006/relationships/hyperlink" Target="http://www.newark.com/te-connectivity-amp/1981584-1/micro-usb-2-0-type-ab-receptacle/dp/51X1932?rpsku=rel3%3AZX62AB5PA11" TargetMode="External"/><Relationship Id="rId227" Type="http://schemas.openxmlformats.org/officeDocument/2006/relationships/hyperlink" Target="http://www.digikey.com/product-detail/en/panasonic-electronic-components/ERA-3AEB2370V/P237DBCT-ND/3075875" TargetMode="External"/><Relationship Id="rId228" Type="http://schemas.openxmlformats.org/officeDocument/2006/relationships/hyperlink" Target="http://www.mouser.com/Search/Refine.aspx?Keyword=ERA-3AEB2370V%20%20" TargetMode="External"/><Relationship Id="rId229" Type="http://schemas.openxmlformats.org/officeDocument/2006/relationships/hyperlink" Target="http://www.newark.com/webapp/wcs/stores/servlet/Search?catalogId=15003&amp;langId=-1&amp;storeId=10194&amp;gs=true&amp;st=ERA-3AEB2370V%20%20" TargetMode="External"/><Relationship Id="rId230" Type="http://schemas.openxmlformats.org/officeDocument/2006/relationships/hyperlink" Target="http://www.digikey.com/product-detail/en/everlight-electronics-co-ltd/QTLP600C7TR/1080-1400-1-ND/2676134" TargetMode="External"/><Relationship Id="rId231" Type="http://schemas.openxmlformats.org/officeDocument/2006/relationships/hyperlink" Target="http://www.mouser.com/ProductDetail/Everlight/QTLP600C7TR/?qs=sGAEpiMZZMseGfSY3csMkWdJa7STmGtdQU9lBBFgFGA%3D" TargetMode="External"/><Relationship Id="rId232" Type="http://schemas.openxmlformats.org/officeDocument/2006/relationships/hyperlink" Target="http://www.digikey.com/product-detail/en/kemet/CBR02C120F3GAC/399-8604-1-ND/3479361" TargetMode="External"/><Relationship Id="rId233" Type="http://schemas.openxmlformats.org/officeDocument/2006/relationships/hyperlink" Target="http://www.mouser.com/Search/Refine.aspx?Keyword=CBR02C120F3GAC%20%20" TargetMode="External"/><Relationship Id="rId234" Type="http://schemas.openxmlformats.org/officeDocument/2006/relationships/hyperlink" Target="http://www.newark.com/webapp/wcs/stores/servlet/Search?catalogId=15003&amp;langId=-1&amp;storeId=10194&amp;gs=true&amp;st=CBR02C120F3GAC%20%20" TargetMode="External"/><Relationship Id="rId235" Type="http://schemas.openxmlformats.org/officeDocument/2006/relationships/hyperlink" Target="http://www.digikey.com/product-detail/en/texas-instruments/SN65HVD230DR/296-11654-1-ND/404366" TargetMode="External"/><Relationship Id="rId236" Type="http://schemas.openxmlformats.org/officeDocument/2006/relationships/hyperlink" Target="http://www.mouser.com/ProductDetail/Texas-Instruments/SN65HVD230DR/?qs=sGAEpiMZZMsGqoCZrYwANjBlzIePRaFK7xRpWdT7xXg%3D" TargetMode="External"/><Relationship Id="rId237" Type="http://schemas.openxmlformats.org/officeDocument/2006/relationships/hyperlink" Target="http://www.newark.com/texas-instruments/sn65hvd230dr/can-transceiver-1mbps-1-1-3-3v/dp/75C7745" TargetMode="External"/><Relationship Id="rId238" Type="http://schemas.openxmlformats.org/officeDocument/2006/relationships/hyperlink" Target="http://www.digikey.com/product-detail/en/microchip-technology/MCP1416T-E-OT/MCP1416T-E-OTCT-ND/1963940" TargetMode="External"/><Relationship Id="rId239" Type="http://schemas.openxmlformats.org/officeDocument/2006/relationships/hyperlink" Target="http://www.mouser.com/Search/Refine.aspx?Keyword=MCP1416T-E%2FOT%20%20" TargetMode="External"/><Relationship Id="rId240" Type="http://schemas.openxmlformats.org/officeDocument/2006/relationships/hyperlink" Target="http://www.newark.com/microchip/mcp1416t-e-ot/ic-mosfet-driver-non-inv-sot23/dp/04R7655" TargetMode="External"/><Relationship Id="rId241" Type="http://schemas.openxmlformats.org/officeDocument/2006/relationships/hyperlink" Target="http://www.digikey.com/product-detail/en/microchip-technology/MCP9700AT-E-TT/MCP9700AT-E-TTCT-ND/3622388" TargetMode="External"/><Relationship Id="rId242" Type="http://schemas.openxmlformats.org/officeDocument/2006/relationships/hyperlink" Target="http://www.mouser.com/Search/Refine.aspx?Keyword=MCP9700AT-E%2FTT%20" TargetMode="External"/><Relationship Id="rId243" Type="http://schemas.openxmlformats.org/officeDocument/2006/relationships/hyperlink" Target="http://www.newark.com/microchip/mcp9700at-e-tt/linear-active-thermistor-2-c-sot/dp/84R5199" TargetMode="External"/><Relationship Id="rId244" Type="http://schemas.openxmlformats.org/officeDocument/2006/relationships/hyperlink" Target="http://www.digikey.com/product-detail/en/vishay-semiconductor-diodes-division/P6SMB33CA-E3-52/P6SMB33CA-E3-52GICT-ND/3306509" TargetMode="External"/><Relationship Id="rId245" Type="http://schemas.openxmlformats.org/officeDocument/2006/relationships/hyperlink" Target="http://www.mouser.com/ProductDetail/Vishay-Semiconductors/P6SMB33CA-E3-52/?qs=sGAEpiMZZMuNo3spt1BaV%252bLr%252b0awzgKwR1NxedDqFHM%3D" TargetMode="External"/><Relationship Id="rId246" Type="http://schemas.openxmlformats.org/officeDocument/2006/relationships/hyperlink" Target="http://www.newark.com/webapp/wcs/stores/servlet/Search?catalogId=15003&amp;langId=-1&amp;storeId=10194&amp;gs=true&amp;st=P6SMB33CA-E3%2F52%20" TargetMode="External"/><Relationship Id="rId247" Type="http://schemas.openxmlformats.org/officeDocument/2006/relationships/hyperlink" Target="http://www.digikey.com/product-detail/en/kemet/T491A106K006AT/399-3683-1-ND/819008" TargetMode="External"/><Relationship Id="rId248" Type="http://schemas.openxmlformats.org/officeDocument/2006/relationships/hyperlink" Target="http://www.mouser.com/Search/Refine.aspx?Keyword=T491A106K006AT7280%20" TargetMode="External"/><Relationship Id="rId249" Type="http://schemas.openxmlformats.org/officeDocument/2006/relationships/hyperlink" Target="http://www.newark.com/webapp/wcs/stores/servlet/Search?catalogId=15003&amp;langId=-1&amp;storeId=10194&amp;gs=true&amp;st=T491A106K006AT7280%20" TargetMode="External"/><Relationship Id="rId250" Type="http://schemas.openxmlformats.org/officeDocument/2006/relationships/hyperlink" Target="http://www.digikey.com/product-detail/en/microchip-technology/24AA1025T-I-SN/24AA1025T-I-SNCT-ND/2332859" TargetMode="External"/><Relationship Id="rId251" Type="http://schemas.openxmlformats.org/officeDocument/2006/relationships/hyperlink" Target="http://www.mouser.com/ProductDetail/Microchip-Technology/24AA1025T-I-SN/?qs=sGAEpiMZZMuVhdAcoizlRcGZtnwgaap%2F3fz1DYbV73o%3D" TargetMode="External"/><Relationship Id="rId252" Type="http://schemas.openxmlformats.org/officeDocument/2006/relationships/hyperlink" Target="http://www.newark.com/microchip/24aa1025t-i-sn/serial-eeprom-1mbit-400khz-soic/dp/86W6591" TargetMode="External"/><Relationship Id="rId253" Type="http://schemas.openxmlformats.org/officeDocument/2006/relationships/hyperlink" Target="http://www.digikey.com/product-detail/en/on-semiconductor/BC817-40LT1G/BC817-40LT1GOSCT-ND/917830" TargetMode="External"/><Relationship Id="rId254" Type="http://schemas.openxmlformats.org/officeDocument/2006/relationships/hyperlink" Target="http://www.mouser.com/ProductDetail/ON-Semiconductor/BC817-40LT3G/?qs=sGAEpiMZZMutXGli8Ay4kJTaSFKHrKTHbm9mA%252b4T9u4%3D" TargetMode="External"/><Relationship Id="rId255" Type="http://schemas.openxmlformats.org/officeDocument/2006/relationships/hyperlink" Target="http://www.newark.com/on-semiconductor/bc817-40lt3g/transistor-bipol-npn-45v-sot-23/dp/81Y5861" TargetMode="External"/><Relationship Id="rId256" Type="http://schemas.openxmlformats.org/officeDocument/2006/relationships/hyperlink" Target="http://www.digikey.com/product-detail/en/yageo/RC0603JR-0710KL/311-10KGRCT-ND/729647" TargetMode="External"/><Relationship Id="rId257" Type="http://schemas.openxmlformats.org/officeDocument/2006/relationships/hyperlink" Target="http://www.mouser.com/Search/Refine.aspx?Keyword=RC0603JR-0710KL%20%20" TargetMode="External"/><Relationship Id="rId258" Type="http://schemas.openxmlformats.org/officeDocument/2006/relationships/hyperlink" Target="http://www.newark.com/yageo/rc0603jr-0710kl/res-thick-film-10k-5-0-1w-0603/dp/68R0144" TargetMode="External"/><Relationship Id="rId259" Type="http://schemas.openxmlformats.org/officeDocument/2006/relationships/hyperlink" Target="http://www.digikey.com/product-detail/en/yageo/RC0603JR-0710KL/311-10KGRCT-ND/729647" TargetMode="External"/><Relationship Id="rId260" Type="http://schemas.openxmlformats.org/officeDocument/2006/relationships/hyperlink" Target="http://www.mouser.com/Search/Refine.aspx?Keyword=RC0603JR-0710KL%20" TargetMode="External"/><Relationship Id="rId261" Type="http://schemas.openxmlformats.org/officeDocument/2006/relationships/hyperlink" Target="http://www.newark.com/yageo/rc0603jr-0710kl/res-thick-film-10k-5-0-1w-0603/dp/68R0144" TargetMode="External"/><Relationship Id="rId262" Type="http://schemas.openxmlformats.org/officeDocument/2006/relationships/hyperlink" Target="http://www.digikey.com/product-detail/en/yageo/RC0603JR-0710KL/311-10KGRCT-ND/729647" TargetMode="External"/><Relationship Id="rId263" Type="http://schemas.openxmlformats.org/officeDocument/2006/relationships/hyperlink" Target="http://www.mouser.com/Search/Refine.aspx?Keyword=%20RC0603JR-0710KL%20" TargetMode="External"/><Relationship Id="rId264" Type="http://schemas.openxmlformats.org/officeDocument/2006/relationships/hyperlink" Target="http://www.newark.com/yageo/rc0603jr-0710kl/res-thick-film-10k-5-0-1w-0603/dp/68R0144" TargetMode="External"/><Relationship Id="rId265" Type="http://schemas.openxmlformats.org/officeDocument/2006/relationships/hyperlink" Target="http://www.digikey.com/product-detail/en/on-semiconductor/BAV199LT1G/BAV199LT1GOSCT-ND/917816" TargetMode="External"/><Relationship Id="rId266" Type="http://schemas.openxmlformats.org/officeDocument/2006/relationships/hyperlink" Target="http://www.mouser.com/ProductDetail/ON-Semiconductor/BAV199LT1G/?qs=sGAEpiMZZMtoHjESLttvkpH5EyJOXmERCjB%2Fz6ikl2k%3D" TargetMode="External"/><Relationship Id="rId267" Type="http://schemas.openxmlformats.org/officeDocument/2006/relationships/hyperlink" Target="http://www.newark.com/on-semiconductor/bav199lt1g/diode-switching-70v-sot-23/dp/98H0500" TargetMode="External"/><Relationship Id="rId268" Type="http://schemas.openxmlformats.org/officeDocument/2006/relationships/hyperlink" Target="http://www.digikey.com/product-detail/en/yageo/RC0603JR-0710KL/311-10KGRCT-ND/729647" TargetMode="External"/><Relationship Id="rId269" Type="http://schemas.openxmlformats.org/officeDocument/2006/relationships/hyperlink" Target="http://www.mouser.com/Search/Refine.aspx?Keyword=RC0603JR-0710KL%20" TargetMode="External"/><Relationship Id="rId270" Type="http://schemas.openxmlformats.org/officeDocument/2006/relationships/hyperlink" Target="http://www.newark.com/yageo/rc0603jr-0710kl/res-thick-film-10k-5-0-1w-0603/dp/68R0144" TargetMode="External"/><Relationship Id="rId271" Type="http://schemas.openxmlformats.org/officeDocument/2006/relationships/hyperlink" Target="http://www.digikey.com/product-detail/en/panasonic-electronic-components/ERJ-8GEYJ332V/P3.3KECT-ND/203317" TargetMode="External"/><Relationship Id="rId272" Type="http://schemas.openxmlformats.org/officeDocument/2006/relationships/hyperlink" Target="http://www.mouser.com/Search/Refine.aspx?Keyword=%20ERJ-8GEYJ332V%20" TargetMode="External"/><Relationship Id="rId273" Type="http://schemas.openxmlformats.org/officeDocument/2006/relationships/hyperlink" Target="http://www.newark.com/panasonic-electronic-components/erj-8geyj332v/res-thick-film-3k3-5-0-25w-1206/dp/65T8932" TargetMode="External"/><Relationship Id="rId274" Type="http://schemas.openxmlformats.org/officeDocument/2006/relationships/hyperlink" Target="http://www.digikey.com/product-detail/en/bourns-inc/MF-USMF110-2/MF-USMF110-2CT-ND/1014924" TargetMode="External"/><Relationship Id="rId275" Type="http://schemas.openxmlformats.org/officeDocument/2006/relationships/hyperlink" Target="http://www.mouser.com/Search/Refine.aspx?Keyword=MF-USMF110-2%20" TargetMode="External"/><Relationship Id="rId276" Type="http://schemas.openxmlformats.org/officeDocument/2006/relationships/hyperlink" Target="http://www.newark.com/webapp/wcs/stores/servlet/Search?catalogId=15003&amp;langId=-1&amp;storeId=10194&amp;gs=true&amp;st=MF-USMF110-2%20" TargetMode="External"/><Relationship Id="rId277" Type="http://schemas.openxmlformats.org/officeDocument/2006/relationships/hyperlink" Target="http://www.digikey.com/product-detail/en/kemet/T491A106K006AT/399-3683-1-ND/819008" TargetMode="External"/><Relationship Id="rId278" Type="http://schemas.openxmlformats.org/officeDocument/2006/relationships/hyperlink" Target="http://www.mouser.com/Search/Refine.aspx?Keyword=T491A106K006AT7280%20" TargetMode="External"/><Relationship Id="rId279" Type="http://schemas.openxmlformats.org/officeDocument/2006/relationships/hyperlink" Target="http://www.newark.com/webapp/wcs/stores/servlet/Search?catalogId=15003&amp;langId=-1&amp;storeId=10194&amp;gs=true&amp;st=T491A106K006AT7280%20" TargetMode="External"/><Relationship Id="rId280" Type="http://schemas.openxmlformats.org/officeDocument/2006/relationships/hyperlink" Target="http://www.digikey.com/product-detail/en/kemet/T491A106K006AT/399-3683-1-ND/819008" TargetMode="External"/><Relationship Id="rId281" Type="http://schemas.openxmlformats.org/officeDocument/2006/relationships/hyperlink" Target="http://www.mouser.com/ProductDetail/Kemet/T491A106K006AT/?qs=sGAEpiMZZMuEN2agSAc2pi3YT%2FgbbUQ%252bm4vqn7JlNGY%3D" TargetMode="External"/><Relationship Id="rId282" Type="http://schemas.openxmlformats.org/officeDocument/2006/relationships/hyperlink" Target="http://www.newark.com/kemet/t491a106k006at/tantalum-capacitor-10uf-6v-4-ohm/dp/57K1634" TargetMode="External"/><Relationship Id="rId283" Type="http://schemas.openxmlformats.org/officeDocument/2006/relationships/hyperlink" Target="http://www.digikey.com/product-detail/en/yageo/RC0603JR-074K7L/311-4.7KGRCT-ND/729732" TargetMode="External"/><Relationship Id="rId284" Type="http://schemas.openxmlformats.org/officeDocument/2006/relationships/hyperlink" Target="http://www.mouser.com/Search/Refine.aspx?Keyword=RC0603JR-074K7L%20" TargetMode="External"/><Relationship Id="rId285" Type="http://schemas.openxmlformats.org/officeDocument/2006/relationships/hyperlink" Target="http://www.newark.com/yageo/rc0603jr-074k7l/res-thick-film-4k7-5-0-1w-0603/dp/68R0188" TargetMode="External"/><Relationship Id="rId286" Type="http://schemas.openxmlformats.org/officeDocument/2006/relationships/hyperlink" Target="http://www.digikey.com/product-detail/en/yageo/RC0603FR-0749R9L/311-49.9HRCT-ND/730211" TargetMode="External"/><Relationship Id="rId287" Type="http://schemas.openxmlformats.org/officeDocument/2006/relationships/hyperlink" Target="http://www.mouser.com/Search/Refine.aspx?Keyword=RC0603FR-0749R9L%20" TargetMode="External"/><Relationship Id="rId288" Type="http://schemas.openxmlformats.org/officeDocument/2006/relationships/hyperlink" Target="http://www.newark.com/yageo/rc0603fr-0749r9l/res-thick-film-49r9-1-0-1w-0603/dp/68R0100" TargetMode="External"/><Relationship Id="rId289" Type="http://schemas.openxmlformats.org/officeDocument/2006/relationships/hyperlink" Target="http://www.digikey.com/product-detail/en/nxp-semiconductors/PRTR5V0U2X,215/568-4140-1-ND/1589981" TargetMode="External"/><Relationship Id="rId290" Type="http://schemas.openxmlformats.org/officeDocument/2006/relationships/hyperlink" Target="http://www.mouser.com/Search/Refine.aspx?Keyword=%20PRTR5V0U2X%2C215%20" TargetMode="External"/><Relationship Id="rId291" Type="http://schemas.openxmlformats.org/officeDocument/2006/relationships/hyperlink" Target="http://www.newark.com/nxp/prtr5v0u2x-215/tvs-diode/dp/75R4845" TargetMode="External"/><Relationship Id="rId292" Type="http://schemas.openxmlformats.org/officeDocument/2006/relationships/hyperlink" Target="http://www.digikey.com/product-detail/en/bourns-inc/SRF2012-900Y/SRF2012-900YTR-ND/1969675" TargetMode="External"/><Relationship Id="rId293" Type="http://schemas.openxmlformats.org/officeDocument/2006/relationships/hyperlink" Target="http://www.mouser.com/ProductDetail/Bourns/SRF2012-900Y/?qs=sGAEpiMZZMsVJzu5wKIZCXZ%2FkI%2FGitbenzbfgpLhzUU%3D" TargetMode="External"/><Relationship Id="rId294" Type="http://schemas.openxmlformats.org/officeDocument/2006/relationships/hyperlink" Target="http://www.newark.com/webapp/wcs/stores/servlet/Search?catalogId=15003&amp;langId=-1&amp;storeId=10194&amp;gs=true&amp;st=SRF2012-900Y%20" TargetMode="External"/><Relationship Id="rId295" Type="http://schemas.openxmlformats.org/officeDocument/2006/relationships/hyperlink" Target="http://www.digikey.com/product-detail/en/yageo/RC0603JR-07270RL/311-270GRCT-ND/729696" TargetMode="External"/><Relationship Id="rId296" Type="http://schemas.openxmlformats.org/officeDocument/2006/relationships/hyperlink" Target="http://www.mouser.com/Search/Refine.aspx?Keyword=RC0603JR-07270RL%20%20" TargetMode="External"/><Relationship Id="rId297" Type="http://schemas.openxmlformats.org/officeDocument/2006/relationships/hyperlink" Target="http://www.newark.com/yageo/rc0603jr-07270rl/res-thick-film-270r-5-0-1w-0603/dp/68R0174" TargetMode="External"/><Relationship Id="rId298" Type="http://schemas.openxmlformats.org/officeDocument/2006/relationships/hyperlink" Target="http://www.digikey.com/product-detail/en/on-semiconductor/BAV199LT1G/BAV199LT1GOSCT-ND/917816" TargetMode="External"/><Relationship Id="rId299" Type="http://schemas.openxmlformats.org/officeDocument/2006/relationships/hyperlink" Target="http://www.mouser.com/ProductDetail/ON-Semiconductor/BAV199LT1G/?qs=sGAEpiMZZMtoHjESLttvkpH5EyJOXmERCjB%2Fz6ikl2k%3D" TargetMode="External"/><Relationship Id="rId300" Type="http://schemas.openxmlformats.org/officeDocument/2006/relationships/hyperlink" Target="http://www.newark.com/on-semiconductor/bav199lt1g/diode-switching-70v-sot-23/dp/98H0500" TargetMode="External"/><Relationship Id="rId301" Type="http://schemas.openxmlformats.org/officeDocument/2006/relationships/hyperlink" Target="http://www.digikey.com/product-detail/en/on-semiconductor/LM358DG/LM358DGOS-ND/1476852" TargetMode="External"/><Relationship Id="rId302" Type="http://schemas.openxmlformats.org/officeDocument/2006/relationships/hyperlink" Target="http://www.mouser.com/ProductDetail/ON-Semiconductor/LM358DG/?qs=sGAEpiMZZMtCHixnSjNA6JBn1Gc5N1er0jhXq%252bVnapU%3D" TargetMode="External"/><Relationship Id="rId303" Type="http://schemas.openxmlformats.org/officeDocument/2006/relationships/hyperlink" Target="http://www.newark.com/on-semiconductor/lm358dg/op-amp-1mhz-0-6v-us-soic-8/dp/45J0748" TargetMode="External"/><Relationship Id="rId304" Type="http://schemas.openxmlformats.org/officeDocument/2006/relationships/hyperlink" Target="http://www.digikey.com/product-detail/en/yageo/RC0603FR-0749R9L/311-49.9HRCT-ND/730211" TargetMode="External"/><Relationship Id="rId305" Type="http://schemas.openxmlformats.org/officeDocument/2006/relationships/hyperlink" Target="http://www.mouser.com/Search/Refine.aspx?Keyword=RC0603FR-0749R9L%20" TargetMode="External"/><Relationship Id="rId306" Type="http://schemas.openxmlformats.org/officeDocument/2006/relationships/hyperlink" Target="http://www.newark.com/yageo/rc0603fr-0749r9l/res-thick-film-49r9-1-0-1w-0603/dp/68R0100" TargetMode="External"/><Relationship Id="rId307" Type="http://schemas.openxmlformats.org/officeDocument/2006/relationships/hyperlink" Target="http://www.digikey.com/scripts/DkSearch/dksus.dll?WT.z_header=search_go&amp;lang=en&amp;keywords=OSTTC022162%20" TargetMode="External"/><Relationship Id="rId308" Type="http://schemas.openxmlformats.org/officeDocument/2006/relationships/hyperlink" Target="http://www.newark.com/webapp/wcs/stores/servlet/Search?catalogId=15003&amp;langId=-1&amp;storeId=10194&amp;gs=true&amp;st=OSTTC022162%20" TargetMode="External"/><Relationship Id="rId309" Type="http://schemas.openxmlformats.org/officeDocument/2006/relationships/hyperlink" Target="http://www.digikey.com/scripts/DkSearch/dksus.dll?WT.z_header=search_go&amp;lang=en&amp;keywords=%2006031A120CAT2A%20" TargetMode="External"/><Relationship Id="rId310" Type="http://schemas.openxmlformats.org/officeDocument/2006/relationships/hyperlink" Target="http://www.mouser.com/Search/Refine.aspx?Keyword=%2006031A120CAT2A%20" TargetMode="External"/><Relationship Id="rId311" Type="http://schemas.openxmlformats.org/officeDocument/2006/relationships/hyperlink" Target="http://www.digikey.com/product-detail/en/nxp-semiconductors/PBSS5240XF/568-10522-1-ND/4386107" TargetMode="External"/><Relationship Id="rId312" Type="http://schemas.openxmlformats.org/officeDocument/2006/relationships/hyperlink" Target="http://www.mouser.com/ProductDetail/NXP-Semiconductors/PBSS5240XF/?qs=sGAEpiMZZMshyDBzk1%2FWi0lhFf%252bEKMOlQJNXbleUVkI%3D" TargetMode="External"/><Relationship Id="rId313" Type="http://schemas.openxmlformats.org/officeDocument/2006/relationships/hyperlink" Target="http://www.newark.com/webapp/wcs/stores/servlet/Search?catalogId=15003&amp;langId=-1&amp;storeId=10194&amp;gs=true&amp;st=PBSS5240XF%20" TargetMode="External"/><Relationship Id="rId314" Type="http://schemas.openxmlformats.org/officeDocument/2006/relationships/hyperlink" Target="http://www.digikey.com/product-detail/en/microchip-technology/MIC2025-2YM/576-1058-ND/771527" TargetMode="External"/><Relationship Id="rId315" Type="http://schemas.openxmlformats.org/officeDocument/2006/relationships/hyperlink" Target="http://www.mouser.com/ProductDetail/Microchip-Technology-Micrel/MIC2025-2YM/?qs=sGAEpiMZZMuCmTIBzycWfNqZ9o%252bWaM6SN8gGkdG8gHU%3D" TargetMode="External"/><Relationship Id="rId316" Type="http://schemas.openxmlformats.org/officeDocument/2006/relationships/hyperlink" Target="http://www.newark.com/webapp/wcs/stores/servlet/Search?catalogId=15003&amp;langId=-1&amp;storeId=10194&amp;gs=true&amp;st=MIC2025-2YM%20%20" TargetMode="External"/><Relationship Id="rId317" Type="http://schemas.openxmlformats.org/officeDocument/2006/relationships/hyperlink" Target="http://www.digikey.com/product-detail/en/texas-instruments/SN65176BDR/296-14636-1-ND/555935" TargetMode="External"/><Relationship Id="rId318" Type="http://schemas.openxmlformats.org/officeDocument/2006/relationships/hyperlink" Target="http://www.mouser.com/ProductDetail/Texas-Instruments/SN65176BDR/?qs=sGAEpiMZZMtk5jbcouIbS5fE%2Fy7%252bBDvl%252bmEVLvxNulE%3D" TargetMode="External"/><Relationship Id="rId319" Type="http://schemas.openxmlformats.org/officeDocument/2006/relationships/hyperlink" Target="http://www.newark.com/texas-instruments/sn65176bdr/transceiver-rs485-rs422-5-25v/dp/85X7159" TargetMode="External"/><Relationship Id="rId320" Type="http://schemas.openxmlformats.org/officeDocument/2006/relationships/hyperlink" Target="http://www.digikey.com/product-detail/en/yageo/RC0603FR-0712K1L/311-12.1KHRCT-ND/729862" TargetMode="External"/><Relationship Id="rId321" Type="http://schemas.openxmlformats.org/officeDocument/2006/relationships/hyperlink" Target="http://www.mouser.com/Search/Refine.aspx?Keyword=RC0603FR-0712K1L%20%20" TargetMode="External"/><Relationship Id="rId322" Type="http://schemas.openxmlformats.org/officeDocument/2006/relationships/hyperlink" Target="http://www.newark.com/yageo/rc0603fr-0712k1l/res-thick-film-12k1-1-0-1w-0603/dp/66R2021" TargetMode="External"/><Relationship Id="rId323" Type="http://schemas.openxmlformats.org/officeDocument/2006/relationships/hyperlink" Target="http://www.digikey.com/product-detail/en/ftdi-future-technology-devices-international-ltd/FT2232HL-REEL/768-1024-1-ND/1986057" TargetMode="External"/><Relationship Id="rId324" Type="http://schemas.openxmlformats.org/officeDocument/2006/relationships/hyperlink" Target="http://www.mouser.com/ProductDetail/FTDI/FT2232HL-REEL/?qs=sGAEpiMZZMtv%252bwxsgy%2FhiB6Z76KqffMCdXZatHO4930%3D" TargetMode="External"/><Relationship Id="rId325" Type="http://schemas.openxmlformats.org/officeDocument/2006/relationships/hyperlink" Target="http://www.newark.com/webapp/wcs/stores/servlet/Search?catalogId=15003&amp;langId=-1&amp;storeId=10194&amp;gs=true&amp;st=FT2232HL-REEL%20" TargetMode="External"/><Relationship Id="rId326" Type="http://schemas.openxmlformats.org/officeDocument/2006/relationships/hyperlink" Target="http://www.digikey.com/product-detail/en/fairchild-semiconductor/NDS7002A/NDS7002ACT-ND/244296" TargetMode="External"/><Relationship Id="rId327" Type="http://schemas.openxmlformats.org/officeDocument/2006/relationships/hyperlink" Target="http://www.mouser.com/Search/Refine.aspx?Keyword=NDS7002A%20%20" TargetMode="External"/><Relationship Id="rId328" Type="http://schemas.openxmlformats.org/officeDocument/2006/relationships/hyperlink" Target="http://www.newark.com/fairchild-semiconductor/nds7002a/n-channel-mosfet-60v-280ma-sot/dp/58K9482" TargetMode="External"/><Relationship Id="rId329" Type="http://schemas.openxmlformats.org/officeDocument/2006/relationships/hyperlink" Target="http://www.digikey.com/product-detail/en/kemet/CBR02C120F3GAC/399-8604-1-ND/3479361" TargetMode="External"/><Relationship Id="rId330" Type="http://schemas.openxmlformats.org/officeDocument/2006/relationships/hyperlink" Target="http://www.mouser.com/Search/Refine.aspx?Keyword=CBR02C120F3GAC%20%20" TargetMode="External"/><Relationship Id="rId331" Type="http://schemas.openxmlformats.org/officeDocument/2006/relationships/hyperlink" Target="http://www.newark.com/webapp/wcs/stores/servlet/Search?catalogId=15003&amp;langId=-1&amp;storeId=10194&amp;gs=true&amp;st=CBR02C120F3GAC%20%20" TargetMode="External"/><Relationship Id="rId332" Type="http://schemas.openxmlformats.org/officeDocument/2006/relationships/hyperlink" Target="http://www.digikey.com/product-detail/en/epson/FA-238V-12.0000MB-W3/SER3683CT-ND/2403456" TargetMode="External"/><Relationship Id="rId333" Type="http://schemas.openxmlformats.org/officeDocument/2006/relationships/hyperlink" Target="http://www.mouser.com/Search/Refine.aspx?Keyword=FA-238V%2012.0000MB-W3%20%20" TargetMode="External"/><Relationship Id="rId334" Type="http://schemas.openxmlformats.org/officeDocument/2006/relationships/hyperlink" Target="http://www.digikey.com/product-detail/en/bourns-inc/MF-SM300-2/MF-SM300-2CT-ND/1232787" TargetMode="External"/><Relationship Id="rId335" Type="http://schemas.openxmlformats.org/officeDocument/2006/relationships/hyperlink" Target="http://www.mouser.com/ProductDetail/Bourns/MF-SM300-2/?qs=sGAEpiMZZMsxR%252bBXi4wRUEOxm%252bUrnq4%2FuMVCgBJoFLQ%3D" TargetMode="External"/><Relationship Id="rId336" Type="http://schemas.openxmlformats.org/officeDocument/2006/relationships/hyperlink" Target="http://www.newark.com/bourns/sm300-2/fuse-ptc-reset-6v-3a-smd/dp/75K7700" TargetMode="External"/><Relationship Id="rId337" Type="http://schemas.openxmlformats.org/officeDocument/2006/relationships/hyperlink" Target="http://www.digikey.com/product-detail/en/yageo/RC0603FR-0759RL/311-59.0HRCT-ND/730259" TargetMode="External"/><Relationship Id="rId338" Type="http://schemas.openxmlformats.org/officeDocument/2006/relationships/hyperlink" Target="http://www.mouser.com/Search/Refine.aspx?Keyword=RC0603FR-0759RL%20%20" TargetMode="External"/><Relationship Id="rId339" Type="http://schemas.openxmlformats.org/officeDocument/2006/relationships/hyperlink" Target="http://www.newark.com/vishay/crcw060359r0fkea/res-thick-film-59r-1-0-1w-0603/dp/42K3971" TargetMode="External"/><Relationship Id="rId340" Type="http://schemas.openxmlformats.org/officeDocument/2006/relationships/hyperlink" Target="http://www.digikey.com/scripts/DkSearch/dksus.dll?WT.z_header=search_go&amp;lang=en&amp;keywords=SI-50170-F%20" TargetMode="External"/><Relationship Id="rId341" Type="http://schemas.openxmlformats.org/officeDocument/2006/relationships/hyperlink" Target="http://www.mouser.com/Search/Refine.aspx?Keyword=SI-50170-F%20" TargetMode="External"/><Relationship Id="rId342" Type="http://schemas.openxmlformats.org/officeDocument/2006/relationships/hyperlink" Target="http://www.digikey.com/product-detail/en/yageo/RC0603JR-0733RL/311-33GRCT-ND/729718" TargetMode="External"/><Relationship Id="rId343" Type="http://schemas.openxmlformats.org/officeDocument/2006/relationships/hyperlink" Target="http://www.mouser.com/Search/Refine.aspx?Keyword=RC0603JR-0733RL%20" TargetMode="External"/><Relationship Id="rId344" Type="http://schemas.openxmlformats.org/officeDocument/2006/relationships/hyperlink" Target="http://www.newark.com/yageo/rc0603jr-0733rl/res-thick-film-33r-5-0-1w-0603/dp/68R0182" TargetMode="External"/><Relationship Id="rId345" Type="http://schemas.openxmlformats.org/officeDocument/2006/relationships/hyperlink" Target="http://www.digikey.com/product-detail/en/yageo/RC0603JR-0733RL/311-33GRCT-ND/729718" TargetMode="External"/><Relationship Id="rId346" Type="http://schemas.openxmlformats.org/officeDocument/2006/relationships/hyperlink" Target="http://www.mouser.com/Search/Refine.aspx?Keyword=RC0603JR-0733RL%20%20" TargetMode="External"/><Relationship Id="rId347" Type="http://schemas.openxmlformats.org/officeDocument/2006/relationships/hyperlink" Target="http://www.newark.com/yageo/rc0603jr-0733rl/res-thick-film-33r-5-0-1w-0603/dp/68R0182" TargetMode="External"/><Relationship Id="rId348" Type="http://schemas.openxmlformats.org/officeDocument/2006/relationships/hyperlink" Target="http://www.digikey.com/product-detail/en/tdk-corporation/MMZ1608B601CTAH0/445-2166-1-ND/765197" TargetMode="External"/><Relationship Id="rId349" Type="http://schemas.openxmlformats.org/officeDocument/2006/relationships/hyperlink" Target="http://www.mouser.com/ProductDetail/TDK/MMZ1608B601CTAH0/?qs=sGAEpiMZZMtdyQheitOmRei0BmTl6kH%252boYXBmeaeqT9qMeC6DVyHVQ%3D%3D" TargetMode="External"/><Relationship Id="rId350" Type="http://schemas.openxmlformats.org/officeDocument/2006/relationships/hyperlink" Target="http://www.newark.com/tdk/mmz1608b601ctah0/ferrite-bead-600-ohm-500ma-0603/dp/89R3077" TargetMode="External"/><Relationship Id="rId351" Type="http://schemas.openxmlformats.org/officeDocument/2006/relationships/hyperlink" Target="http://www.digikey.com/product-detail/en/tdk-corporation/MMZ1608B601CTAH0/445-2166-1-ND/765197" TargetMode="External"/><Relationship Id="rId352" Type="http://schemas.openxmlformats.org/officeDocument/2006/relationships/hyperlink" Target="http://www.mouser.com/ProductDetail/TDK/MMZ1608B601CTAH0/?qs=sGAEpiMZZMtdyQheitOmRei0BmTl6kH%252boYXBmeaeqT9qMeC6DVyHVQ%3D%3D" TargetMode="External"/><Relationship Id="rId353" Type="http://schemas.openxmlformats.org/officeDocument/2006/relationships/hyperlink" Target="http://www.newark.com/tdk/mmz1608b601ctah0/ferrite-bead-600-ohm-500ma-0603/dp/89R3077" TargetMode="External"/><Relationship Id="rId354" Type="http://schemas.openxmlformats.org/officeDocument/2006/relationships/hyperlink" Target="http://www.digikey.com/product-detail/en/tdk-corporation/MMZ1608B601CTAH0/445-2166-1-ND/765197" TargetMode="External"/><Relationship Id="rId355" Type="http://schemas.openxmlformats.org/officeDocument/2006/relationships/hyperlink" Target="http://www.mouser.com/ProductDetail/TDK/MMZ1608B601CTAH0/?qs=sGAEpiMZZMtdyQheitOmRei0BmTl6kH%252boYXBmeaeqT9qMeC6DVyHVQ%3D%3D" TargetMode="External"/><Relationship Id="rId356" Type="http://schemas.openxmlformats.org/officeDocument/2006/relationships/hyperlink" Target="http://www.newark.com/tdk/mmz1608b601ctah0/ferrite-bead-600-ohm-500ma-0603/dp/89R3077" TargetMode="External"/><Relationship Id="rId357" Type="http://schemas.openxmlformats.org/officeDocument/2006/relationships/hyperlink" Target="http://www.digikey.com/product-detail/en/yageo/RC0603JR-07100KL/311-100KGRCT-ND/729645" TargetMode="External"/><Relationship Id="rId358" Type="http://schemas.openxmlformats.org/officeDocument/2006/relationships/hyperlink" Target="http://www.mouser.com/Search/Refine.aspx?Keyword=RC0603JR-07100KL%20" TargetMode="External"/><Relationship Id="rId359" Type="http://schemas.openxmlformats.org/officeDocument/2006/relationships/hyperlink" Target="http://www.newark.com/yageo/rc0603jr-07100kl/res-thick-film-100k-5-0-1w-0603/dp/68R0147" TargetMode="External"/><Relationship Id="rId360" Type="http://schemas.openxmlformats.org/officeDocument/2006/relationships/hyperlink" Target="http://www.digikey.com/product-detail/en/yageo/RC0603JR-07100KL/311-100KGRCT-ND/729645" TargetMode="External"/><Relationship Id="rId361" Type="http://schemas.openxmlformats.org/officeDocument/2006/relationships/hyperlink" Target="http://www.mouser.com/Search/Refine.aspx?Keyword=RC0603JR-07100KL%20%20" TargetMode="External"/><Relationship Id="rId362" Type="http://schemas.openxmlformats.org/officeDocument/2006/relationships/hyperlink" Target="http://www.newark.com/yageo/rc0603jr-07100kl/res-thick-film-100k-5-0-1w-0603/dp/68R0147" TargetMode="External"/><Relationship Id="rId363" Type="http://schemas.openxmlformats.org/officeDocument/2006/relationships/hyperlink" Target="http://www.digikey.com/scripts/DkSearch/dksus.dll?WT.z_header=search_go&amp;lang=en&amp;keywords=PIC32MZ2048ECH144-I%2FPL%20" TargetMode="External"/><Relationship Id="rId364" Type="http://schemas.openxmlformats.org/officeDocument/2006/relationships/hyperlink" Target="http://www.mouser.com/Search/Refine.aspx?Keyword=PIC32MZ2048ECH144-I%2FPL%20" TargetMode="External"/><Relationship Id="rId365" Type="http://schemas.openxmlformats.org/officeDocument/2006/relationships/hyperlink" Target="http://www.newark.com/webapp/wcs/stores/servlet/Search?catalogId=15003&amp;langId=-1&amp;storeId=10194&amp;gs=true&amp;st=PIC32MZ2048ECH144-I%2FPL%20" TargetMode="External"/><Relationship Id="rId366" Type="http://schemas.openxmlformats.org/officeDocument/2006/relationships/hyperlink" Target="http://www.digikey.com/product-detail/en/bourns-inc/MF-MSMF110-2/MF-MSMF110-2CT-ND/662845" TargetMode="External"/><Relationship Id="rId367" Type="http://schemas.openxmlformats.org/officeDocument/2006/relationships/hyperlink" Target="http://www.mouser.com/ProductDetail/Bourns/MF-MSMF110-2/?qs=sGAEpiMZZMsxR%252bBXi4wRUBaq0BDiykw2jlZkO%2FKhyN8%3D" TargetMode="External"/><Relationship Id="rId368" Type="http://schemas.openxmlformats.org/officeDocument/2006/relationships/hyperlink" Target="http://www.newark.com/bourns/msmf110-2/fuse-ptc-reset-6v-1-1a-1812/dp/02J2721" TargetMode="External"/><Relationship Id="rId369" Type="http://schemas.openxmlformats.org/officeDocument/2006/relationships/hyperlink" Target="http://www.digikey.com/product-detail/en/yageo/RC0603JR-071KL/311-1.0KGRCT-ND/729624" TargetMode="External"/><Relationship Id="rId370" Type="http://schemas.openxmlformats.org/officeDocument/2006/relationships/hyperlink" Target="http://www.mouser.com/Search/Refine.aspx?Keyword=RC0603JR-071KL%20%20" TargetMode="External"/><Relationship Id="rId371" Type="http://schemas.openxmlformats.org/officeDocument/2006/relationships/hyperlink" Target="http://www.newark.com/yageo/rc0603jr-071kl/res-thick-film-1k-5-0-1w-0603/dp/68R0137" TargetMode="External"/><Relationship Id="rId372" Type="http://schemas.openxmlformats.org/officeDocument/2006/relationships/hyperlink" Target="http://www.digikey.com/product-detail/en/bourns-inc/MF-USMF020-2/MF-USMF020-2CT-ND/1014928" TargetMode="External"/><Relationship Id="rId373" Type="http://schemas.openxmlformats.org/officeDocument/2006/relationships/hyperlink" Target="http://www.mouser.com/Search/Refine.aspx?Keyword=MF-USMF020-2%20%20" TargetMode="External"/><Relationship Id="rId374" Type="http://schemas.openxmlformats.org/officeDocument/2006/relationships/hyperlink" Target="http://www.newark.com/bourns/usmf020-2/fuse-ptc-reset-30v-200ma-1210/dp/88K5712" TargetMode="External"/><Relationship Id="rId375" Type="http://schemas.openxmlformats.org/officeDocument/2006/relationships/hyperlink" Target="http://www.digikey.com/product-detail/en/kemet/C0603C104K5RACTU/399-5089-1-ND/1465623" TargetMode="External"/><Relationship Id="rId376" Type="http://schemas.openxmlformats.org/officeDocument/2006/relationships/hyperlink" Target="http://www.mouser.com/ProductDetail/Kemet/C0603C104K5RACTU/?qs=sGAEpiMZZMs0AnBnWHyRQFqPnX0OlvcoBpdXUg31zDw%3D" TargetMode="External"/><Relationship Id="rId377" Type="http://schemas.openxmlformats.org/officeDocument/2006/relationships/hyperlink" Target="http://www.newark.com/kemet/c0603c104k5ractu/ceramic-capacitor-0-1uf-50v-x7r/dp/97H5226" TargetMode="External"/><Relationship Id="rId378" Type="http://schemas.openxmlformats.org/officeDocument/2006/relationships/hyperlink" Target="http://www.digikey.com/product-detail/en/kemet/C0603C104K5RACTU/399-5089-1-ND/1465623" TargetMode="External"/><Relationship Id="rId379" Type="http://schemas.openxmlformats.org/officeDocument/2006/relationships/hyperlink" Target="http://www.mouser.com/ProductDetail/Kemet/C0603C104K5RACTU/?qs=sGAEpiMZZMs0AnBnWHyRQFqPnX0OlvcoBpdXUg31zDw%3D" TargetMode="External"/><Relationship Id="rId380" Type="http://schemas.openxmlformats.org/officeDocument/2006/relationships/hyperlink" Target="http://www.newark.com/kemet/c0603c104k5ractu/ceramic-capacitor-0-1uf-50v-x7r/dp/97H5226" TargetMode="External"/><Relationship Id="rId381" Type="http://schemas.openxmlformats.org/officeDocument/2006/relationships/hyperlink" Target="http://www.digikey.com/product-detail/en/yageo/RC0603JR-07330RL/311-330GRCT-ND/729716" TargetMode="External"/><Relationship Id="rId382" Type="http://schemas.openxmlformats.org/officeDocument/2006/relationships/hyperlink" Target="http://www.mouser.com/Search/Refine.aspx?Keyword=RC0603JR-07330RL%20" TargetMode="External"/><Relationship Id="rId383" Type="http://schemas.openxmlformats.org/officeDocument/2006/relationships/hyperlink" Target="http://www.newark.com/yageo/rc0603jr-07330rl/res-thick-film-330r-5-0-1w-0603/dp/68R0184" TargetMode="External"/><Relationship Id="rId384" Type="http://schemas.openxmlformats.org/officeDocument/2006/relationships/hyperlink" Target="http://www.digikey.com/scripts/DkSearch/dksus.dll?WT.z_header=search_go&amp;lang=en&amp;keywords=1461353-2%20" TargetMode="External"/><Relationship Id="rId385" Type="http://schemas.openxmlformats.org/officeDocument/2006/relationships/hyperlink" Target="http://www.mouser.com/Search/Refine.aspx?Keyword=1461353-2%20" TargetMode="External"/><Relationship Id="rId386" Type="http://schemas.openxmlformats.org/officeDocument/2006/relationships/hyperlink" Target="http://www.newark.com/webapp/wcs/stores/servlet/Search?catalogId=15003&amp;langId=-1&amp;storeId=10194&amp;gs=true&amp;st=1461353-2%20" TargetMode="External"/><Relationship Id="rId387" Type="http://schemas.openxmlformats.org/officeDocument/2006/relationships/hyperlink" Target="http://www.digikey.com/product-detail/en/yageo/RC0603JR-070RL/311-0.0GRCT-ND/729622" TargetMode="External"/><Relationship Id="rId388" Type="http://schemas.openxmlformats.org/officeDocument/2006/relationships/hyperlink" Target="http://www.mouser.com/Search/Refine.aspx?Keyword=RC0603JR-070RL%20" TargetMode="External"/><Relationship Id="rId389" Type="http://schemas.openxmlformats.org/officeDocument/2006/relationships/hyperlink" Target="http://www.newark.com/yageo/rc0603jr-070rl/res-thick-film-0r-0-1w-0603/dp/68R0136" TargetMode="External"/><Relationship Id="rId390" Type="http://schemas.openxmlformats.org/officeDocument/2006/relationships/hyperlink" Target="http://www.digikey.com/product-detail/en/yageo/RC0603JR-070RL/311-0.0GRCT-ND/729622" TargetMode="External"/><Relationship Id="rId391" Type="http://schemas.openxmlformats.org/officeDocument/2006/relationships/hyperlink" Target="http://www.mouser.com/Search/Refine.aspx?Keyword=%20RC0603JR-070RL%20" TargetMode="External"/><Relationship Id="rId392" Type="http://schemas.openxmlformats.org/officeDocument/2006/relationships/hyperlink" Target="http://www.newark.com/yageo/rc0603jr-070rl/res-thick-film-0r-0-1w-0603/dp/68R0136" TargetMode="External"/><Relationship Id="rId393" Type="http://schemas.openxmlformats.org/officeDocument/2006/relationships/hyperlink" Target="http://www.digikey.com/product-detail/en/yageo/RC0603FR-079K31L/311-9.31KHRCT-ND/730367" TargetMode="External"/><Relationship Id="rId394" Type="http://schemas.openxmlformats.org/officeDocument/2006/relationships/hyperlink" Target="http://www.mouser.com/Search/Refine.aspx?Keyword=RC0603FR-079K31L%20" TargetMode="External"/><Relationship Id="rId395" Type="http://schemas.openxmlformats.org/officeDocument/2006/relationships/hyperlink" Target="http://www.digikey.com/product-detail/en/fairchild-semiconductor/LL4148/LL4148FSCT-ND/1923118" TargetMode="External"/><Relationship Id="rId396" Type="http://schemas.openxmlformats.org/officeDocument/2006/relationships/hyperlink" Target="http://www.mouser.com/ProductDetail/Fairchild-Semiconductor/LL4148/?qs=sGAEpiMZZMtoHjESLttvkveAFmDTG9wNP4HmQeiQCRg%3D" TargetMode="External"/><Relationship Id="rId397" Type="http://schemas.openxmlformats.org/officeDocument/2006/relationships/hyperlink" Target="http://www.newark.com/fairchild-semiconductor/ll4148/diode-small-signal-100v-minimelf/dp/05W3302" TargetMode="External"/><Relationship Id="rId398" Type="http://schemas.openxmlformats.org/officeDocument/2006/relationships/hyperlink" Target="http://www.digikey.com/product-detail/en/bourns-inc/MF-MSMF030-2/MF-MSMF030-2CT-ND/662841" TargetMode="External"/><Relationship Id="rId399" Type="http://schemas.openxmlformats.org/officeDocument/2006/relationships/hyperlink" Target="http://www.mouser.com/Search/Refine.aspx?Keyword=MF-MSMF030-2%20%20" TargetMode="External"/><Relationship Id="rId400" Type="http://schemas.openxmlformats.org/officeDocument/2006/relationships/hyperlink" Target="http://www.newark.com/bourns/msmf030-2/fuse-ptc-reset-30v-300ma-1812/dp/02J2717" TargetMode="External"/><Relationship Id="rId401" Type="http://schemas.openxmlformats.org/officeDocument/2006/relationships/hyperlink" Target="http://www.digikey.com/product-detail/en/murata-electronics-north-america/BLM18BD470SN1D/490-5211-1-ND/1948387" TargetMode="External"/><Relationship Id="rId402" Type="http://schemas.openxmlformats.org/officeDocument/2006/relationships/hyperlink" Target="http://www.mouser.com/Search/Refine.aspx?Keyword=BLM18BD470SN1D%20" TargetMode="External"/><Relationship Id="rId403" Type="http://schemas.openxmlformats.org/officeDocument/2006/relationships/hyperlink" Target="http://www.digikey.com/product-detail/en/kemet/C0603C103K5RACTU/399-1091-1-ND/411366" TargetMode="External"/><Relationship Id="rId404" Type="http://schemas.openxmlformats.org/officeDocument/2006/relationships/hyperlink" Target="http://www.mouser.com/ProductDetail/Kemet/C0603C103K5RACTU/?qs=sGAEpiMZZMs0AnBnWHyRQJxdEn2F2BG1%2FBzHVE3ZwKE%3D" TargetMode="External"/><Relationship Id="rId405" Type="http://schemas.openxmlformats.org/officeDocument/2006/relationships/hyperlink" Target="http://www.newark.com/kemet/c0603c103k5ractu/ceramic-capacitor-0-01uf-50v-x7r/dp/30C5334" TargetMode="External"/><Relationship Id="rId406" Type="http://schemas.openxmlformats.org/officeDocument/2006/relationships/hyperlink" Target="http://www.digikey.com/product-detail/en/bourns-inc/SRN1060-470M/SRN1060-470MCT-ND/3821546" TargetMode="External"/><Relationship Id="rId407" Type="http://schemas.openxmlformats.org/officeDocument/2006/relationships/hyperlink" Target="http://www.mouser.com/Search/Refine.aspx?Keyword=SRN1060-470M%20%20" TargetMode="External"/><Relationship Id="rId408" Type="http://schemas.openxmlformats.org/officeDocument/2006/relationships/hyperlink" Target="http://www.newark.com/bourns/srn1060-470m/inductor-semi-shielded-47uh-2/dp/54W0036" TargetMode="External"/><Relationship Id="rId409" Type="http://schemas.openxmlformats.org/officeDocument/2006/relationships/hyperlink" Target="http://www.digikey.com/product-detail/en/abracon-llc/ASDMB-24.000MHZ-LC-T/535-11728-1-ND/2809937" TargetMode="External"/><Relationship Id="rId410" Type="http://schemas.openxmlformats.org/officeDocument/2006/relationships/hyperlink" Target="http://www.mouser.com/Search/Refine.aspx?Keyword=ASDMB-24.000MHZ-LC-T%20" TargetMode="External"/><Relationship Id="rId411" Type="http://schemas.openxmlformats.org/officeDocument/2006/relationships/hyperlink" Target="http://www.newark.com/webapp/wcs/stores/servlet/Search?catalogId=15003&amp;langId=-1&amp;storeId=10194&amp;gs=true&amp;st=ASDMB-24.000MHZ-LC-T%20" TargetMode="External"/><Relationship Id="rId412" Type="http://schemas.openxmlformats.org/officeDocument/2006/relationships/hyperlink" Target="http://www.digikey.com/scripts/DkSearch/dksus.dll?WT.z_header=search_go&amp;lang=en&amp;keywords=OSTTC032162%20" TargetMode="External"/><Relationship Id="rId413" Type="http://schemas.openxmlformats.org/officeDocument/2006/relationships/hyperlink" Target="http://www.newark.com/webapp/wcs/stores/servlet/Search?catalogId=15003&amp;langId=-1&amp;storeId=10194&amp;gs=true&amp;st=OSTTC032162%20" TargetMode="External"/><Relationship Id="rId414" Type="http://schemas.openxmlformats.org/officeDocument/2006/relationships/hyperlink" Target="http://www.digikey.com/product-detail/en/yageo/RC0603FR-0712K4L/311-12.4KHRCT-ND/729864" TargetMode="External"/><Relationship Id="rId415" Type="http://schemas.openxmlformats.org/officeDocument/2006/relationships/hyperlink" Target="http://www.mouser.com/Search/Refine.aspx?Keyword=RC0603FR-0712K4L%20" TargetMode="External"/><Relationship Id="rId416" Type="http://schemas.openxmlformats.org/officeDocument/2006/relationships/hyperlink" Target="http://www.digikey.com/product-detail/en/everlight-electronics-co-ltd/QTLP600C7TR/1080-1400-1-ND/2676134" TargetMode="External"/><Relationship Id="rId417" Type="http://schemas.openxmlformats.org/officeDocument/2006/relationships/hyperlink" Target="http://www.mouser.com/ProductDetail/Everlight/QTLP600C7TR/?qs=sGAEpiMZZMseGfSY3csMkWdJa7STmGtdQU9lBBFgFGA%3D" TargetMode="External"/><Relationship Id="rId418" Type="http://schemas.openxmlformats.org/officeDocument/2006/relationships/hyperlink" Target="http://www.digikey.com/product-detail/en/everlight-electronics-co-ltd/QTLP600C7TR/1080-1400-1-ND/2676134" TargetMode="External"/><Relationship Id="rId419" Type="http://schemas.openxmlformats.org/officeDocument/2006/relationships/hyperlink" Target="http://www.mouser.com/ProductDetail/Everlight/QTLP600C7TR/?qs=sGAEpiMZZMseGfSY3csMkWdJa7STmGtdQU9lBBFgFGA%3D" TargetMode="External"/><Relationship Id="rId420" Type="http://schemas.openxmlformats.org/officeDocument/2006/relationships/hyperlink" Target="http://www.digikey.com/product-detail/en/on-semiconductor/P6SMB20CAT3G/P6SMB20CAT3GOSCT-ND/3462457" TargetMode="External"/><Relationship Id="rId421" Type="http://schemas.openxmlformats.org/officeDocument/2006/relationships/hyperlink" Target="http://www.mouser.com/Search/Refine.aspx?Keyword=P6SMB20CAT3G%20" TargetMode="External"/><Relationship Id="rId422" Type="http://schemas.openxmlformats.org/officeDocument/2006/relationships/hyperlink" Target="http://www.newark.com/on-semiconductor/p6smb20cat3g/tvs-diode-600w-20v-smb/dp/10N9601" TargetMode="External"/><Relationship Id="rId42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29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9" ySplit="6" topLeftCell="J7" activePane="bottomRight" state="frozen"/>
      <selection pane="topLeft" activeCell="A1" activeCellId="0" sqref="A1"/>
      <selection pane="topRight" activeCell="J1" activeCellId="0" sqref="J1"/>
      <selection pane="bottomLeft" activeCell="A7" activeCellId="0" sqref="A7"/>
      <selection pane="bottomRight" activeCell="H3" activeCellId="0" sqref="H3"/>
    </sheetView>
  </sheetViews>
  <sheetFormatPr defaultRowHeight="13.8"/>
  <cols>
    <col collapsed="false" hidden="false" max="1" min="1" style="0" width="38.7408906882591"/>
    <col collapsed="false" hidden="false" max="2" min="2" style="0" width="16.0121457489879"/>
    <col collapsed="false" hidden="false" max="3" min="3" style="0" width="6.02024291497976"/>
    <col collapsed="false" hidden="false" max="4" min="4" style="0" width="19.1093117408907"/>
    <col collapsed="false" hidden="false" max="6" min="5" style="0" width="9.1417004048583"/>
    <col collapsed="false" hidden="false" max="7" min="7" style="0" width="15.7125506072875"/>
    <col collapsed="false" hidden="false" max="10" min="8" style="0" width="9.1417004048583"/>
    <col collapsed="false" hidden="false" max="11" min="11" style="0" width="15.7125506072875"/>
    <col collapsed="false" hidden="false" max="16" min="12" style="0" width="9.1417004048583"/>
    <col collapsed="false" hidden="false" max="17" min="17" style="0" width="15.7125506072875"/>
    <col collapsed="false" hidden="false" max="22" min="18" style="0" width="9.1417004048583"/>
    <col collapsed="false" hidden="false" max="23" min="23" style="0" width="15.7125506072875"/>
    <col collapsed="false" hidden="false" max="25" min="24" style="0" width="9.1417004048583"/>
    <col collapsed="false" hidden="false" max="1025" min="26" style="0" width="8.5748987854251"/>
  </cols>
  <sheetData>
    <row r="1" customFormat="false" ht="16.15" hidden="false" customHeight="false" outlineLevel="0" collapsed="false">
      <c r="E1" s="1"/>
      <c r="F1" s="2" t="s">
        <v>0</v>
      </c>
      <c r="G1" s="3" t="n">
        <v>5</v>
      </c>
    </row>
    <row r="2" customFormat="false" ht="16.15" hidden="false" customHeight="false" outlineLevel="0" collapsed="false">
      <c r="A2" s="4" t="s">
        <v>1</v>
      </c>
      <c r="B2" s="4"/>
      <c r="C2" s="4"/>
      <c r="D2" s="4"/>
      <c r="E2" s="1"/>
      <c r="F2" s="5" t="s">
        <v>2</v>
      </c>
      <c r="G2" s="6" t="n">
        <f aca="false">SUM(G7:G167)</f>
        <v>553.274</v>
      </c>
      <c r="K2" s="7" t="n">
        <f aca="false">SUM(K7:K167)</f>
        <v>576.1565</v>
      </c>
      <c r="Q2" s="7" t="n">
        <f aca="false">SUM(Q7:Q167)</f>
        <v>589.645</v>
      </c>
      <c r="W2" s="7" t="n">
        <f aca="false">SUM(W7:W167)</f>
        <v>410.715</v>
      </c>
    </row>
    <row r="3" customFormat="false" ht="16.15" hidden="false" customHeight="false" outlineLevel="0" collapsed="false">
      <c r="E3" s="1"/>
      <c r="F3" s="8" t="s">
        <v>3</v>
      </c>
      <c r="G3" s="9" t="n">
        <f aca="false">TotalCost/BoardQty</f>
        <v>110.6548</v>
      </c>
    </row>
    <row r="5" customFormat="false" ht="17.35" hidden="false" customHeight="false" outlineLevel="0" collapsed="false">
      <c r="A5" s="10" t="s">
        <v>4</v>
      </c>
      <c r="B5" s="10"/>
      <c r="C5" s="10"/>
      <c r="D5" s="10"/>
      <c r="E5" s="10"/>
      <c r="F5" s="10"/>
      <c r="G5" s="10"/>
      <c r="H5" s="11" t="s">
        <v>5</v>
      </c>
      <c r="I5" s="11"/>
      <c r="J5" s="11"/>
      <c r="K5" s="11"/>
      <c r="L5" s="11"/>
      <c r="M5" s="11"/>
      <c r="N5" s="12" t="s">
        <v>6</v>
      </c>
      <c r="O5" s="12"/>
      <c r="P5" s="12"/>
      <c r="Q5" s="12"/>
      <c r="R5" s="12"/>
      <c r="S5" s="12"/>
      <c r="T5" s="13" t="s">
        <v>7</v>
      </c>
      <c r="U5" s="13"/>
      <c r="V5" s="13"/>
      <c r="W5" s="13"/>
      <c r="X5" s="13"/>
      <c r="Y5" s="13"/>
    </row>
    <row r="6" customFormat="false" ht="15.65" hidden="false" customHeight="false" outlineLevel="0" collapsed="false">
      <c r="A6" s="14" t="s">
        <v>8</v>
      </c>
      <c r="B6" s="14" t="s">
        <v>9</v>
      </c>
      <c r="C6" s="14" t="s">
        <v>10</v>
      </c>
      <c r="D6" s="14" t="s">
        <v>11</v>
      </c>
      <c r="E6" s="14" t="s">
        <v>12</v>
      </c>
      <c r="F6" s="14" t="s">
        <v>13</v>
      </c>
      <c r="G6" s="14" t="s">
        <v>14</v>
      </c>
      <c r="H6" s="14" t="s">
        <v>15</v>
      </c>
      <c r="I6" s="14" t="s">
        <v>16</v>
      </c>
      <c r="J6" s="14" t="s">
        <v>13</v>
      </c>
      <c r="K6" s="14" t="s">
        <v>14</v>
      </c>
      <c r="L6" s="14" t="s">
        <v>17</v>
      </c>
      <c r="M6" s="14" t="s">
        <v>18</v>
      </c>
      <c r="N6" s="14" t="s">
        <v>15</v>
      </c>
      <c r="O6" s="14" t="s">
        <v>16</v>
      </c>
      <c r="P6" s="14" t="s">
        <v>13</v>
      </c>
      <c r="Q6" s="14" t="s">
        <v>14</v>
      </c>
      <c r="R6" s="14" t="s">
        <v>17</v>
      </c>
      <c r="S6" s="14" t="s">
        <v>18</v>
      </c>
      <c r="T6" s="14" t="s">
        <v>15</v>
      </c>
      <c r="U6" s="14" t="s">
        <v>16</v>
      </c>
      <c r="V6" s="14" t="s">
        <v>13</v>
      </c>
      <c r="W6" s="14" t="s">
        <v>14</v>
      </c>
      <c r="X6" s="14" t="s">
        <v>17</v>
      </c>
      <c r="Y6" s="14" t="s">
        <v>18</v>
      </c>
    </row>
    <row r="7" customFormat="false" ht="14.9" hidden="false" customHeight="false" outlineLevel="0" collapsed="false">
      <c r="A7" s="0" t="s">
        <v>19</v>
      </c>
      <c r="B7" s="0" t="s">
        <v>20</v>
      </c>
      <c r="D7" s="0" t="s">
        <v>21</v>
      </c>
      <c r="E7" s="0" t="n">
        <f aca="false">BoardQty*8</f>
        <v>40</v>
      </c>
      <c r="F7" s="15" t="n">
        <f aca="true">MINA(INDIRECT(ADDRESS(ROW(),COLUMN(newark_part_data)+2)),INDIRECT(ADDRESS(ROW(),COLUMN(digikey_part_data)+2)),INDIRECT(ADDRESS(ROW(),COLUMN(mouser_part_data)+2)))</f>
        <v>0.007</v>
      </c>
      <c r="G7" s="15" t="n">
        <f aca="false">IFERROR(E7*F7,"")</f>
        <v>0.28</v>
      </c>
      <c r="H7" s="0" t="n">
        <v>2501447</v>
      </c>
      <c r="J7" s="15" t="n">
        <f aca="false">IFERROR(LOOKUP(IF(I7="",E7,I7),{0,1,10,25,100,250,500,1000,2500,5000,10000,25000,50000,125000},{0,0.1,0.011,0.008,0.0044,0.00336,0.0027,0.00198,0.00172,0.00129,0.00112,0.00099,0.0009,0.00089}),"")</f>
        <v>0.008</v>
      </c>
      <c r="K7" s="15" t="n">
        <f aca="false">IFERROR(IF(I7="",E7,I7)*J7,"")</f>
        <v>0.32</v>
      </c>
      <c r="L7" s="0" t="s">
        <v>22</v>
      </c>
      <c r="M7" s="16" t="s">
        <v>23</v>
      </c>
      <c r="N7" s="0" t="n">
        <v>147081</v>
      </c>
      <c r="P7" s="15" t="n">
        <f aca="false">IFERROR(LOOKUP(IF(O7="",E7,O7),{0,1,10,100,1000,5000,50000},{0,0.099,0.008,0.003,0.002,0.002,0.001}),"")</f>
        <v>0.008</v>
      </c>
      <c r="Q7" s="15" t="n">
        <f aca="false">IFERROR(IF(O7="",E7,O7)*P7,"")</f>
        <v>0.32</v>
      </c>
      <c r="R7" s="0" t="s">
        <v>24</v>
      </c>
      <c r="S7" s="16" t="s">
        <v>23</v>
      </c>
      <c r="T7" s="0" t="n">
        <v>3635</v>
      </c>
      <c r="V7" s="15" t="n">
        <f aca="false">IFERROR(LOOKUP(IF(U7="",E7,U7),{0,1,10,25,100,250,1000},{0,0.06,0.01,0.007,0.004,0.003,0.002}),"")</f>
        <v>0.007</v>
      </c>
      <c r="W7" s="15" t="n">
        <f aca="false">IFERROR(IF(U7="",E7,U7)*V7,"")</f>
        <v>0.28</v>
      </c>
      <c r="X7" s="0" t="s">
        <v>25</v>
      </c>
      <c r="Y7" s="16" t="s">
        <v>23</v>
      </c>
    </row>
    <row r="8" customFormat="false" ht="14.9" hidden="false" customHeight="false" outlineLevel="0" collapsed="false">
      <c r="A8" s="0" t="s">
        <v>26</v>
      </c>
      <c r="B8" s="0" t="s">
        <v>27</v>
      </c>
      <c r="D8" s="0" t="s">
        <v>28</v>
      </c>
      <c r="E8" s="0" t="n">
        <f aca="false">BoardQty*1</f>
        <v>5</v>
      </c>
      <c r="F8" s="15" t="n">
        <f aca="true">MINA(INDIRECT(ADDRESS(ROW(),COLUMN(newark_part_data)+2)),INDIRECT(ADDRESS(ROW(),COLUMN(digikey_part_data)+2)),INDIRECT(ADDRESS(ROW(),COLUMN(mouser_part_data)+2)))</f>
        <v>0.97</v>
      </c>
      <c r="G8" s="15" t="n">
        <f aca="false">IFERROR(E8*F8,"")</f>
        <v>4.85</v>
      </c>
      <c r="H8" s="0" t="n">
        <v>15823</v>
      </c>
      <c r="J8" s="15" t="n">
        <f aca="false">IFERROR(LOOKUP(IF(I8="",E8,I8),{0,1,10,100,500,1000,2500,5000,12500,25000,62500},{0,0.97,0.866,0.6755,0.5586,0.44175,0.399,0.37905,0.3648,0.3534,0.342}),"")</f>
        <v>0.97</v>
      </c>
      <c r="K8" s="15" t="n">
        <f aca="false">IFERROR(IF(I8="",E8,I8)*J8,"")</f>
        <v>4.85</v>
      </c>
      <c r="L8" s="0" t="s">
        <v>29</v>
      </c>
      <c r="M8" s="16" t="s">
        <v>23</v>
      </c>
      <c r="S8" s="16" t="s">
        <v>23</v>
      </c>
    </row>
    <row r="9" customFormat="false" ht="14.9" hidden="false" customHeight="false" outlineLevel="0" collapsed="false">
      <c r="A9" s="0" t="s">
        <v>30</v>
      </c>
      <c r="B9" s="0" t="s">
        <v>31</v>
      </c>
      <c r="D9" s="0" t="s">
        <v>32</v>
      </c>
      <c r="E9" s="0" t="n">
        <f aca="false">BoardQty*1</f>
        <v>5</v>
      </c>
      <c r="F9" s="15" t="n">
        <f aca="true">MINA(INDIRECT(ADDRESS(ROW(),COLUMN(newark_part_data)+2)),INDIRECT(ADDRESS(ROW(),COLUMN(digikey_part_data)+2)),INDIRECT(ADDRESS(ROW(),COLUMN(mouser_part_data)+2)))</f>
        <v>2.1</v>
      </c>
      <c r="G9" s="15" t="n">
        <f aca="false">IFERROR(E9*F9,"")</f>
        <v>10.5</v>
      </c>
      <c r="H9" s="0" t="n">
        <v>298</v>
      </c>
      <c r="J9" s="15" t="n">
        <f aca="false">IFERROR(LOOKUP(IF(I9="",E9,I9),{0,1,25,100,3300},{0,2.1,2.02,1.94,1.94}),"")</f>
        <v>2.1</v>
      </c>
      <c r="K9" s="15" t="n">
        <f aca="false">IFERROR(IF(I9="",E9,I9)*J9,"")</f>
        <v>10.5</v>
      </c>
      <c r="L9" s="0" t="s">
        <v>33</v>
      </c>
      <c r="M9" s="16" t="s">
        <v>23</v>
      </c>
      <c r="N9" s="0" t="n">
        <v>0</v>
      </c>
      <c r="P9" s="15" t="n">
        <f aca="false">IFERROR(LOOKUP(IF(O9="",E9,O9),{0,1,10,25,100},{0,2.49,2.07,1.99,1.92}),"")</f>
        <v>2.49</v>
      </c>
      <c r="Q9" s="15" t="n">
        <f aca="false">IFERROR(IF(O9="",E9,O9)*P9,"")</f>
        <v>12.45</v>
      </c>
      <c r="R9" s="0" t="s">
        <v>34</v>
      </c>
      <c r="S9" s="16" t="s">
        <v>23</v>
      </c>
      <c r="T9" s="0" t="n">
        <v>76</v>
      </c>
      <c r="V9" s="15" t="n">
        <f aca="false">IFERROR(LOOKUP(IF(U9="",E9,U9),{0,1,10,25,50,100},{0,2.68,2.46,2.42,2.38,2.36}),"")</f>
        <v>2.68</v>
      </c>
      <c r="W9" s="15" t="n">
        <f aca="false">IFERROR(IF(U9="",E9,U9)*V9,"")</f>
        <v>13.4</v>
      </c>
      <c r="X9" s="0" t="s">
        <v>35</v>
      </c>
      <c r="Y9" s="16" t="s">
        <v>23</v>
      </c>
    </row>
    <row r="10" customFormat="false" ht="14.9" hidden="false" customHeight="false" outlineLevel="0" collapsed="false">
      <c r="A10" s="0" t="s">
        <v>36</v>
      </c>
      <c r="B10" s="0" t="s">
        <v>37</v>
      </c>
      <c r="D10" s="0" t="s">
        <v>38</v>
      </c>
      <c r="E10" s="0" t="n">
        <f aca="false">BoardQty*1</f>
        <v>5</v>
      </c>
      <c r="F10" s="15" t="n">
        <f aca="true">MINA(INDIRECT(ADDRESS(ROW(),COLUMN(newark_part_data)+2)),INDIRECT(ADDRESS(ROW(),COLUMN(digikey_part_data)+2)),INDIRECT(ADDRESS(ROW(),COLUMN(mouser_part_data)+2)))</f>
        <v>0.212</v>
      </c>
      <c r="G10" s="15" t="n">
        <f aca="false">IFERROR(E10*F10,"")</f>
        <v>1.06</v>
      </c>
      <c r="H10" s="0" t="n">
        <v>11467</v>
      </c>
      <c r="J10" s="15" t="n">
        <f aca="false">IFERROR(LOOKUP(IF(I10="",E10,I10),{0,1,25,100,3300},{0,0.22,0.21,0.2,0.2}),"")</f>
        <v>0.22</v>
      </c>
      <c r="K10" s="15" t="n">
        <f aca="false">IFERROR(IF(I10="",E10,I10)*J10,"")</f>
        <v>1.1</v>
      </c>
      <c r="L10" s="0" t="s">
        <v>39</v>
      </c>
      <c r="M10" s="16" t="s">
        <v>23</v>
      </c>
      <c r="N10" s="0" t="n">
        <v>1489</v>
      </c>
      <c r="P10" s="15" t="n">
        <f aca="false">IFERROR(LOOKUP(IF(O10="",E10,O10),{0,1,10,25,100,250},{0,0.256,0.217,0.207,0.197,0.192}),"")</f>
        <v>0.256</v>
      </c>
      <c r="Q10" s="15" t="n">
        <f aca="false">IFERROR(IF(O10="",E10,O10)*P10,"")</f>
        <v>1.28</v>
      </c>
      <c r="R10" s="0" t="s">
        <v>40</v>
      </c>
      <c r="S10" s="16" t="s">
        <v>23</v>
      </c>
      <c r="T10" s="0" t="n">
        <v>1695</v>
      </c>
      <c r="V10" s="15" t="n">
        <f aca="false">IFERROR(LOOKUP(IF(U10="",E10,U10),{0,1},{0,0.212}),"")</f>
        <v>0.212</v>
      </c>
      <c r="W10" s="15" t="n">
        <f aca="false">IFERROR(IF(U10="",E10,U10)*V10,"")</f>
        <v>1.06</v>
      </c>
      <c r="X10" s="0" t="s">
        <v>41</v>
      </c>
      <c r="Y10" s="16" t="s">
        <v>23</v>
      </c>
    </row>
    <row r="11" customFormat="false" ht="14.9" hidden="false" customHeight="false" outlineLevel="0" collapsed="false">
      <c r="A11" s="0" t="s">
        <v>42</v>
      </c>
      <c r="B11" s="0" t="s">
        <v>43</v>
      </c>
      <c r="D11" s="0" t="s">
        <v>44</v>
      </c>
      <c r="E11" s="0" t="n">
        <f aca="false">BoardQty*1</f>
        <v>5</v>
      </c>
      <c r="F11" s="15" t="n">
        <f aca="true">MINA(INDIRECT(ADDRESS(ROW(),COLUMN(newark_part_data)+2)),INDIRECT(ADDRESS(ROW(),COLUMN(digikey_part_data)+2)),INDIRECT(ADDRESS(ROW(),COLUMN(mouser_part_data)+2)))</f>
        <v>1.91</v>
      </c>
      <c r="G11" s="15" t="n">
        <f aca="false">IFERROR(E11*F11,"")</f>
        <v>9.55</v>
      </c>
      <c r="H11" s="0" t="n">
        <v>2005</v>
      </c>
      <c r="J11" s="15" t="n">
        <f aca="false">IFERROR(LOOKUP(IF(I11="",E11,I11),{0,1,25,100,2500},{0,1.91,1.59,1.44,1.44}),"")</f>
        <v>1.91</v>
      </c>
      <c r="K11" s="15" t="n">
        <f aca="false">IFERROR(IF(I11="",E11,I11)*J11,"")</f>
        <v>9.55</v>
      </c>
      <c r="L11" s="0" t="s">
        <v>45</v>
      </c>
      <c r="M11" s="16" t="s">
        <v>23</v>
      </c>
      <c r="N11" s="0" t="n">
        <v>428</v>
      </c>
      <c r="P11" s="15" t="n">
        <f aca="false">IFERROR(LOOKUP(IF(O11="",E11,O11),{0,1,10,25,100},{0,2.05,1.89,1.57,1.42}),"")</f>
        <v>2.05</v>
      </c>
      <c r="Q11" s="15" t="n">
        <f aca="false">IFERROR(IF(O11="",E11,O11)*P11,"")</f>
        <v>10.25</v>
      </c>
      <c r="R11" s="0" t="s">
        <v>46</v>
      </c>
      <c r="S11" s="16" t="s">
        <v>23</v>
      </c>
      <c r="T11" s="0" t="n">
        <v>368</v>
      </c>
      <c r="V11" s="15" t="n">
        <f aca="false">IFERROR(LOOKUP(IF(U11="",E11,U11),{0,1,10,25,50,100},{0,2.52,1.95,1.87,1.8,1.76}),"")</f>
        <v>2.52</v>
      </c>
      <c r="W11" s="15" t="n">
        <f aca="false">IFERROR(IF(U11="",E11,U11)*V11,"")</f>
        <v>12.6</v>
      </c>
      <c r="X11" s="0" t="s">
        <v>47</v>
      </c>
      <c r="Y11" s="16" t="s">
        <v>23</v>
      </c>
    </row>
    <row r="12" customFormat="false" ht="14.9" hidden="false" customHeight="false" outlineLevel="0" collapsed="false">
      <c r="A12" s="0" t="s">
        <v>48</v>
      </c>
      <c r="B12" s="0" t="s">
        <v>49</v>
      </c>
      <c r="D12" s="0" t="s">
        <v>50</v>
      </c>
      <c r="E12" s="0" t="n">
        <f aca="false">BoardQty*1</f>
        <v>5</v>
      </c>
      <c r="F12" s="15" t="n">
        <f aca="true">MINA(INDIRECT(ADDRESS(ROW(),COLUMN(newark_part_data)+2)),INDIRECT(ADDRESS(ROW(),COLUMN(digikey_part_data)+2)),INDIRECT(ADDRESS(ROW(),COLUMN(mouser_part_data)+2)))</f>
        <v>0.738</v>
      </c>
      <c r="G12" s="15" t="n">
        <f aca="false">IFERROR(E12*F12,"")</f>
        <v>3.69</v>
      </c>
      <c r="H12" s="0" t="n">
        <v>1041</v>
      </c>
      <c r="J12" s="15" t="n">
        <f aca="false">IFERROR(LOOKUP(IF(I12="",E12,I12),{0,1,10,25,50,100,250,500,1000,2500,5000,12500,25000,50000},{0,0.74,0.711,0.504,0.4244,0.3448,0.28648,0.2122,0.18037,0.16976,0.15915,0.14589,0.14324,0.13793}),"")</f>
        <v>0.74</v>
      </c>
      <c r="K12" s="15" t="n">
        <f aca="false">IFERROR(IF(I12="",E12,I12)*J12,"")</f>
        <v>3.7</v>
      </c>
      <c r="L12" s="0" t="s">
        <v>51</v>
      </c>
      <c r="M12" s="16" t="s">
        <v>23</v>
      </c>
      <c r="N12" s="0" t="n">
        <v>45</v>
      </c>
      <c r="P12" s="15" t="n">
        <f aca="false">IFERROR(LOOKUP(IF(O12="",E12,O12),{0,1,10,100,500,1000,2000,10000,25000,50000},{0,0.738,0.424,0.286,0.213,0.181,0.159,0.146,0.144,0.137}),"")</f>
        <v>0.738</v>
      </c>
      <c r="Q12" s="15" t="n">
        <f aca="false">IFERROR(IF(O12="",E12,O12)*P12,"")</f>
        <v>3.69</v>
      </c>
      <c r="R12" s="0" t="s">
        <v>52</v>
      </c>
      <c r="S12" s="16" t="s">
        <v>23</v>
      </c>
      <c r="Y12" s="16" t="s">
        <v>23</v>
      </c>
    </row>
    <row r="13" customFormat="false" ht="14.9" hidden="false" customHeight="false" outlineLevel="0" collapsed="false">
      <c r="A13" s="0" t="s">
        <v>53</v>
      </c>
      <c r="B13" s="0" t="s">
        <v>54</v>
      </c>
      <c r="D13" s="0" t="s">
        <v>55</v>
      </c>
      <c r="E13" s="0" t="n">
        <f aca="false">BoardQty*1</f>
        <v>5</v>
      </c>
      <c r="F13" s="15" t="n">
        <f aca="true">MINA(INDIRECT(ADDRESS(ROW(),COLUMN(newark_part_data)+2)),INDIRECT(ADDRESS(ROW(),COLUMN(digikey_part_data)+2)),INDIRECT(ADDRESS(ROW(),COLUMN(mouser_part_data)+2)))</f>
        <v>1.3</v>
      </c>
      <c r="G13" s="15" t="n">
        <f aca="false">IFERROR(E13*F13,"")</f>
        <v>6.5</v>
      </c>
      <c r="H13" s="0" t="n">
        <v>619</v>
      </c>
      <c r="J13" s="15" t="n">
        <f aca="false">IFERROR(LOOKUP(IF(I13="",E13,I13),{0,1,25,100,5000},{0,1.3,1.09,1.05,1.05}),"")</f>
        <v>1.3</v>
      </c>
      <c r="K13" s="15" t="n">
        <f aca="false">IFERROR(IF(I13="",E13,I13)*J13,"")</f>
        <v>6.5</v>
      </c>
      <c r="L13" s="0" t="s">
        <v>56</v>
      </c>
      <c r="M13" s="16" t="s">
        <v>23</v>
      </c>
      <c r="N13" s="0" t="n">
        <v>991</v>
      </c>
      <c r="P13" s="15" t="n">
        <f aca="false">IFERROR(LOOKUP(IF(O13="",E13,O13),{0,1,10,25,100},{0,1.54,1.29,1.07,1.06}),"")</f>
        <v>1.54</v>
      </c>
      <c r="Q13" s="15" t="n">
        <f aca="false">IFERROR(IF(O13="",E13,O13)*P13,"")</f>
        <v>7.7</v>
      </c>
      <c r="R13" s="0" t="s">
        <v>57</v>
      </c>
      <c r="S13" s="16" t="s">
        <v>23</v>
      </c>
      <c r="T13" s="0" t="n">
        <v>633</v>
      </c>
      <c r="V13" s="15" t="n">
        <f aca="false">IFERROR(LOOKUP(IF(U13="",E13,U13),{0,1,100,250,500,1000},{0,2.56,2.09,1.92,1.78,1.68}),"")</f>
        <v>2.56</v>
      </c>
      <c r="W13" s="15" t="n">
        <f aca="false">IFERROR(IF(U13="",E13,U13)*V13,"")</f>
        <v>12.8</v>
      </c>
      <c r="X13" s="0" t="s">
        <v>58</v>
      </c>
      <c r="Y13" s="16" t="s">
        <v>23</v>
      </c>
    </row>
    <row r="14" customFormat="false" ht="14.9" hidden="false" customHeight="false" outlineLevel="0" collapsed="false">
      <c r="A14" s="0" t="s">
        <v>59</v>
      </c>
      <c r="B14" s="0" t="s">
        <v>60</v>
      </c>
      <c r="D14" s="0" t="s">
        <v>61</v>
      </c>
      <c r="E14" s="0" t="n">
        <f aca="false">BoardQty*1</f>
        <v>5</v>
      </c>
      <c r="F14" s="15" t="n">
        <f aca="true">MINA(INDIRECT(ADDRESS(ROW(),COLUMN(newark_part_data)+2)),INDIRECT(ADDRESS(ROW(),COLUMN(digikey_part_data)+2)),INDIRECT(ADDRESS(ROW(),COLUMN(mouser_part_data)+2)))</f>
        <v>0.19</v>
      </c>
      <c r="G14" s="15" t="n">
        <f aca="false">IFERROR(E14*F14,"")</f>
        <v>0.95</v>
      </c>
      <c r="H14" s="0" t="n">
        <v>13479</v>
      </c>
      <c r="J14" s="15" t="n">
        <f aca="false">IFERROR(LOOKUP(IF(I14="",E14,I14),{0,1,10,25,50,100,250,500,1000,4000,8000,12000,28000,100000},{0,0.19,0.158,0.1148,0.0832,0.0617,0.04736,0.03732,0.02584,0.02393,0.02175,0.0203,0.01929,0.01849}),"")</f>
        <v>0.19</v>
      </c>
      <c r="K14" s="15" t="n">
        <f aca="false">IFERROR(IF(I14="",E14,I14)*J14,"")</f>
        <v>0.95</v>
      </c>
      <c r="L14" s="0" t="s">
        <v>62</v>
      </c>
      <c r="M14" s="16" t="s">
        <v>23</v>
      </c>
      <c r="N14" s="0" t="n">
        <v>6499</v>
      </c>
      <c r="P14" s="15" t="n">
        <f aca="false">IFERROR(LOOKUP(IF(O14="",E14,O14),{0,1,10,100,500,1000,4000,8000,24000,48000},{0,0.444,0.191,0.12,0.102,0.078,0.074,0.065,0.063,0.062}),"")</f>
        <v>0.444</v>
      </c>
      <c r="Q14" s="15" t="n">
        <f aca="false">IFERROR(IF(O14="",E14,O14)*P14,"")</f>
        <v>2.22</v>
      </c>
      <c r="R14" s="0" t="s">
        <v>63</v>
      </c>
      <c r="S14" s="16" t="s">
        <v>23</v>
      </c>
      <c r="Y14" s="16" t="s">
        <v>23</v>
      </c>
    </row>
    <row r="15" customFormat="false" ht="14.9" hidden="false" customHeight="false" outlineLevel="0" collapsed="false">
      <c r="A15" s="0" t="s">
        <v>64</v>
      </c>
      <c r="B15" s="0" t="s">
        <v>65</v>
      </c>
      <c r="D15" s="0" t="s">
        <v>66</v>
      </c>
      <c r="E15" s="0" t="n">
        <f aca="false">BoardQty*3</f>
        <v>15</v>
      </c>
      <c r="F15" s="15" t="n">
        <f aca="true">MINA(INDIRECT(ADDRESS(ROW(),COLUMN(newark_part_data)+2)),INDIRECT(ADDRESS(ROW(),COLUMN(digikey_part_data)+2)),INDIRECT(ADDRESS(ROW(),COLUMN(mouser_part_data)+2)))</f>
        <v>0.202</v>
      </c>
      <c r="G15" s="15" t="n">
        <f aca="false">IFERROR(E15*F15,"")</f>
        <v>3.03</v>
      </c>
      <c r="H15" s="0" t="n">
        <v>53495</v>
      </c>
      <c r="J15" s="15" t="n">
        <f aca="false">IFERROR(LOOKUP(IF(I15="",E15,I15),{0,1,10,50,100,250,500,1000,2000,4000,9000,10000,14000,18000,27000,50000,63000,100000,225000},{0,0.35,0.308,0.187,0.154,0.1232,0.1122,0.1012,0.0792,0.0748,0.064,0.0704,0.0682,0.062,0.06,0.0616,0.056,0.0572,0.052}),"")</f>
        <v>0.308</v>
      </c>
      <c r="K15" s="15" t="n">
        <f aca="false">IFERROR(IF(I15="",E15,I15)*J15,"")</f>
        <v>4.62</v>
      </c>
      <c r="L15" s="0" t="s">
        <v>67</v>
      </c>
      <c r="M15" s="16" t="s">
        <v>23</v>
      </c>
      <c r="N15" s="0" t="n">
        <v>15945</v>
      </c>
      <c r="P15" s="15" t="n">
        <f aca="false">IFERROR(LOOKUP(IF(O15="",E15,O15),{0,1,10,100,500,1000,5000,9000,18000,45000},{0,0.346,0.202,0.121,0.11,0.087,0.073,0.068,0.064,0.058}),"")</f>
        <v>0.202</v>
      </c>
      <c r="Q15" s="15" t="n">
        <f aca="false">IFERROR(IF(O15="",E15,O15)*P15,"")</f>
        <v>3.03</v>
      </c>
      <c r="R15" s="0" t="s">
        <v>68</v>
      </c>
      <c r="S15" s="16" t="s">
        <v>23</v>
      </c>
      <c r="Y15" s="16" t="s">
        <v>23</v>
      </c>
    </row>
    <row r="16" customFormat="false" ht="14.9" hidden="false" customHeight="false" outlineLevel="0" collapsed="false">
      <c r="A16" s="0" t="s">
        <v>69</v>
      </c>
      <c r="B16" s="0" t="s">
        <v>65</v>
      </c>
      <c r="D16" s="0" t="s">
        <v>70</v>
      </c>
      <c r="E16" s="0" t="n">
        <f aca="false">BoardQty*1</f>
        <v>5</v>
      </c>
      <c r="F16" s="15" t="n">
        <f aca="true">MINA(INDIRECT(ADDRESS(ROW(),COLUMN(newark_part_data)+2)),INDIRECT(ADDRESS(ROW(),COLUMN(digikey_part_data)+2)),INDIRECT(ADDRESS(ROW(),COLUMN(mouser_part_data)+2)))</f>
        <v>0.252</v>
      </c>
      <c r="G16" s="15" t="n">
        <f aca="false">IFERROR(E16*F16,"")</f>
        <v>1.26</v>
      </c>
      <c r="H16" s="0" t="n">
        <v>53495</v>
      </c>
      <c r="J16" s="15" t="n">
        <f aca="false">IFERROR(LOOKUP(IF(I16="",E16,I16),{0,1,10,50,100,250,500,1000,2000,4000,9000,10000,14000,18000,27000,50000,63000,100000,225000},{0,0.35,0.308,0.187,0.154,0.1232,0.1122,0.1012,0.0792,0.0748,0.064,0.0704,0.0682,0.062,0.06,0.0616,0.056,0.0572,0.052}),"")</f>
        <v>0.35</v>
      </c>
      <c r="K16" s="15" t="n">
        <f aca="false">IFERROR(IF(I16="",E16,I16)*J16,"")</f>
        <v>1.75</v>
      </c>
      <c r="L16" s="0" t="s">
        <v>67</v>
      </c>
      <c r="M16" s="16" t="s">
        <v>23</v>
      </c>
      <c r="N16" s="0" t="n">
        <v>14340</v>
      </c>
      <c r="P16" s="15" t="n">
        <f aca="false">IFERROR(LOOKUP(IF(O16="",E16,O16),{0,1,10,100,500,1000,2000,10000,24000,50000},{0,0.346,0.202,0.121,0.11,0.099,0.073,0.068,0.062,0.058}),"")</f>
        <v>0.346</v>
      </c>
      <c r="Q16" s="15" t="n">
        <f aca="false">IFERROR(IF(O16="",E16,O16)*P16,"")</f>
        <v>1.73</v>
      </c>
      <c r="R16" s="0" t="s">
        <v>71</v>
      </c>
      <c r="S16" s="16" t="s">
        <v>23</v>
      </c>
      <c r="T16" s="0" t="n">
        <v>1652</v>
      </c>
      <c r="V16" s="15" t="n">
        <f aca="false">IFERROR(LOOKUP(IF(U16="",E16,U16),{0,1,10,25,50,100,250,1000},{0,0.252,0.219,0.155,0.132,0.109,0.087,0.07}),"")</f>
        <v>0.252</v>
      </c>
      <c r="W16" s="15" t="n">
        <f aca="false">IFERROR(IF(U16="",E16,U16)*V16,"")</f>
        <v>1.26</v>
      </c>
      <c r="X16" s="0" t="s">
        <v>72</v>
      </c>
      <c r="Y16" s="16" t="s">
        <v>23</v>
      </c>
    </row>
    <row r="17" customFormat="false" ht="14.9" hidden="false" customHeight="false" outlineLevel="0" collapsed="false">
      <c r="A17" s="0" t="s">
        <v>73</v>
      </c>
      <c r="B17" s="0" t="s">
        <v>74</v>
      </c>
      <c r="D17" s="0" t="s">
        <v>75</v>
      </c>
      <c r="E17" s="0" t="n">
        <f aca="false">BoardQty*8</f>
        <v>40</v>
      </c>
      <c r="F17" s="15" t="n">
        <f aca="true">MINA(INDIRECT(ADDRESS(ROW(),COLUMN(newark_part_data)+2)),INDIRECT(ADDRESS(ROW(),COLUMN(digikey_part_data)+2)),INDIRECT(ADDRESS(ROW(),COLUMN(mouser_part_data)+2)))</f>
        <v>0.008</v>
      </c>
      <c r="G17" s="15" t="n">
        <f aca="false">IFERROR(E17*F17,"")</f>
        <v>0.32</v>
      </c>
      <c r="H17" s="0" t="n">
        <v>1846695</v>
      </c>
      <c r="J17" s="15" t="n">
        <f aca="false">IFERROR(LOOKUP(IF(I17="",E17,I17),{0,1,10,25,100,250,500,1000,2500,5000,10000,25000,50000,125000},{0,0.1,0.011,0.008,0.0044,0.00336,0.0027,0.00198,0.00172,0.00129,0.00112,0.00099,0.0009,0.00089}),"")</f>
        <v>0.008</v>
      </c>
      <c r="K17" s="15" t="n">
        <f aca="false">IFERROR(IF(I17="",E17,I17)*J17,"")</f>
        <v>0.32</v>
      </c>
      <c r="L17" s="0" t="s">
        <v>75</v>
      </c>
      <c r="M17" s="16" t="s">
        <v>23</v>
      </c>
      <c r="N17" s="0" t="n">
        <v>34499</v>
      </c>
      <c r="P17" s="15" t="n">
        <f aca="false">IFERROR(LOOKUP(IF(O17="",E17,O17),{0,1,10,100,1000,5000,50000},{0,0.099,0.008,0.003,0.002,0.002,0.001}),"")</f>
        <v>0.008</v>
      </c>
      <c r="Q17" s="15" t="n">
        <f aca="false">IFERROR(IF(O17="",E17,O17)*P17,"")</f>
        <v>0.32</v>
      </c>
      <c r="R17" s="0" t="s">
        <v>76</v>
      </c>
      <c r="S17" s="16" t="s">
        <v>23</v>
      </c>
    </row>
    <row r="18" customFormat="false" ht="14.9" hidden="false" customHeight="false" outlineLevel="0" collapsed="false">
      <c r="A18" s="0" t="s">
        <v>77</v>
      </c>
      <c r="B18" s="0" t="s">
        <v>74</v>
      </c>
      <c r="D18" s="0" t="s">
        <v>78</v>
      </c>
      <c r="E18" s="0" t="n">
        <f aca="false">BoardQty*2</f>
        <v>10</v>
      </c>
      <c r="F18" s="15" t="n">
        <f aca="true">MINA(INDIRECT(ADDRESS(ROW(),COLUMN(newark_part_data)+2)),INDIRECT(ADDRESS(ROW(),COLUMN(digikey_part_data)+2)),INDIRECT(ADDRESS(ROW(),COLUMN(mouser_part_data)+2)))</f>
        <v>0.008</v>
      </c>
      <c r="G18" s="15" t="n">
        <f aca="false">IFERROR(E18*F18,"")</f>
        <v>0.08</v>
      </c>
      <c r="H18" s="0" t="n">
        <v>1846695</v>
      </c>
      <c r="J18" s="15" t="n">
        <f aca="false">IFERROR(LOOKUP(IF(I18="",E18,I18),{0,1,10,25,100,250,500,1000,2500,5000,10000,25000,50000,125000},{0,0.1,0.011,0.008,0.0044,0.00336,0.0027,0.00198,0.00172,0.00129,0.00112,0.00099,0.0009,0.00089}),"")</f>
        <v>0.011</v>
      </c>
      <c r="K18" s="15" t="n">
        <f aca="false">IFERROR(IF(I18="",E18,I18)*J18,"")</f>
        <v>0.11</v>
      </c>
      <c r="L18" s="0" t="s">
        <v>75</v>
      </c>
      <c r="M18" s="16" t="s">
        <v>23</v>
      </c>
      <c r="N18" s="0" t="n">
        <v>34499</v>
      </c>
      <c r="P18" s="15" t="n">
        <f aca="false">IFERROR(LOOKUP(IF(O18="",E18,O18),{0,1,10,100,1000,5000,50000},{0,0.099,0.008,0.003,0.002,0.002,0.001}),"")</f>
        <v>0.008</v>
      </c>
      <c r="Q18" s="15" t="n">
        <f aca="false">IFERROR(IF(O18="",E18,O18)*P18,"")</f>
        <v>0.08</v>
      </c>
      <c r="R18" s="0" t="s">
        <v>76</v>
      </c>
      <c r="S18" s="16" t="s">
        <v>23</v>
      </c>
      <c r="T18" s="0" t="n">
        <v>28666</v>
      </c>
      <c r="V18" s="15" t="n">
        <f aca="false">IFERROR(LOOKUP(IF(U18="",E18,U18),{0,1,10,25,100,250,1000},{0,0.009,0.009,0.008,0.005,0.004,0.003}),"")</f>
        <v>0.009</v>
      </c>
      <c r="W18" s="15" t="n">
        <f aca="false">IFERROR(IF(U18="",E18,U18)*V18,"")</f>
        <v>0.09</v>
      </c>
      <c r="X18" s="0" t="s">
        <v>79</v>
      </c>
      <c r="Y18" s="16" t="s">
        <v>23</v>
      </c>
    </row>
    <row r="19" customFormat="false" ht="14.9" hidden="false" customHeight="false" outlineLevel="0" collapsed="false">
      <c r="A19" s="0" t="s">
        <v>80</v>
      </c>
      <c r="B19" s="0" t="s">
        <v>81</v>
      </c>
      <c r="D19" s="0" t="s">
        <v>81</v>
      </c>
      <c r="E19" s="0" t="n">
        <f aca="false">BoardQty*1</f>
        <v>5</v>
      </c>
      <c r="F19" s="15" t="n">
        <f aca="true">MINA(INDIRECT(ADDRESS(ROW(),COLUMN(newark_part_data)+2)),INDIRECT(ADDRESS(ROW(),COLUMN(digikey_part_data)+2)),INDIRECT(ADDRESS(ROW(),COLUMN(mouser_part_data)+2)))</f>
        <v>0.434</v>
      </c>
      <c r="G19" s="15" t="n">
        <f aca="false">IFERROR(E19*F19,"")</f>
        <v>2.17</v>
      </c>
      <c r="H19" s="0" t="n">
        <v>9769</v>
      </c>
      <c r="J19" s="15" t="n">
        <f aca="false">IFERROR(LOOKUP(IF(I19="",E19,I19),{0,1,10,100,500,1000,4000,8000,12000,28000,100000,200000},{0,0.46,0.392,0.2925,0.22972,0.1771,0.15686,0.14674,0.13662,0.12954,0.12448,0.12144}),"")</f>
        <v>0.46</v>
      </c>
      <c r="K19" s="15" t="n">
        <f aca="false">IFERROR(IF(I19="",E19,I19)*J19,"")</f>
        <v>2.3</v>
      </c>
      <c r="L19" s="0" t="s">
        <v>82</v>
      </c>
      <c r="M19" s="16" t="s">
        <v>23</v>
      </c>
      <c r="N19" s="0" t="n">
        <v>22335</v>
      </c>
      <c r="P19" s="15" t="n">
        <f aca="false">IFERROR(LOOKUP(IF(O19="",E19,O19),{0,1,10,100,1000,4000,8000,24000},{0,0.434,0.36,0.22,0.17,0.145,0.134,0.128}),"")</f>
        <v>0.434</v>
      </c>
      <c r="Q19" s="15" t="n">
        <f aca="false">IFERROR(IF(O19="",E19,O19)*P19,"")</f>
        <v>2.17</v>
      </c>
      <c r="R19" s="0" t="s">
        <v>83</v>
      </c>
      <c r="S19" s="16" t="s">
        <v>23</v>
      </c>
      <c r="T19" s="0" t="n">
        <v>473</v>
      </c>
      <c r="V19" s="15" t="n">
        <f aca="false">IFERROR(LOOKUP(IF(U19="",E19,U19),{0,1,10,100,1000},{0,0.484,0.366,0.23,0.172}),"")</f>
        <v>0.484</v>
      </c>
      <c r="W19" s="15" t="n">
        <f aca="false">IFERROR(IF(U19="",E19,U19)*V19,"")</f>
        <v>2.42</v>
      </c>
      <c r="X19" s="0" t="s">
        <v>84</v>
      </c>
      <c r="Y19" s="16" t="s">
        <v>23</v>
      </c>
    </row>
    <row r="20" customFormat="false" ht="14.9" hidden="false" customHeight="false" outlineLevel="0" collapsed="false">
      <c r="A20" s="0" t="s">
        <v>85</v>
      </c>
      <c r="B20" s="0" t="s">
        <v>86</v>
      </c>
      <c r="D20" s="0" t="s">
        <v>87</v>
      </c>
      <c r="E20" s="0" t="n">
        <f aca="false">BoardQty*2</f>
        <v>10</v>
      </c>
      <c r="F20" s="15" t="n">
        <f aca="true">MINA(INDIRECT(ADDRESS(ROW(),COLUMN(newark_part_data)+2)),INDIRECT(ADDRESS(ROW(),COLUMN(digikey_part_data)+2)),INDIRECT(ADDRESS(ROW(),COLUMN(mouser_part_data)+2)))</f>
        <v>0.042</v>
      </c>
      <c r="G20" s="15" t="n">
        <f aca="false">IFERROR(E20*F20,"")</f>
        <v>0.42</v>
      </c>
      <c r="H20" s="0" t="n">
        <v>120096</v>
      </c>
      <c r="J20" s="15" t="n">
        <f aca="false">IFERROR(LOOKUP(IF(I20="",E20,I20),{0,1,10,50,100,250,500,1000,4000,8000,12000,28000,100000},{0,0.1,0.075,0.0614,0.045,0.03272,0.03,0.02592,0.01984,0.01798,0.01736,0.01612,0.01593}),"")</f>
        <v>0.075</v>
      </c>
      <c r="K20" s="15" t="n">
        <f aca="false">IFERROR(IF(I20="",E20,I20)*J20,"")</f>
        <v>0.75</v>
      </c>
      <c r="L20" s="0" t="s">
        <v>88</v>
      </c>
      <c r="M20" s="16" t="s">
        <v>23</v>
      </c>
      <c r="N20" s="0" t="n">
        <v>75355</v>
      </c>
      <c r="P20" s="15" t="n">
        <f aca="false">IFERROR(LOOKUP(IF(O20="",E20,O20),{0,1,10,100,500,1000,4000},{0,0.099,0.06,0.032,0.029,0.025,0.019}),"")</f>
        <v>0.06</v>
      </c>
      <c r="Q20" s="15" t="n">
        <f aca="false">IFERROR(IF(O20="",E20,O20)*P20,"")</f>
        <v>0.6</v>
      </c>
      <c r="R20" s="0" t="s">
        <v>89</v>
      </c>
      <c r="S20" s="16" t="s">
        <v>23</v>
      </c>
      <c r="T20" s="0" t="n">
        <v>14439</v>
      </c>
      <c r="V20" s="15" t="n">
        <f aca="false">IFERROR(LOOKUP(IF(U20="",E20,U20),{0,1,50,100,500,1000,2500,5000,10000},{0,0.042,0.036,0.03,0.027,0.024,0.02,0.019,0.018}),"")</f>
        <v>0.042</v>
      </c>
      <c r="W20" s="15" t="n">
        <f aca="false">IFERROR(IF(U20="",E20,U20)*V20,"")</f>
        <v>0.42</v>
      </c>
      <c r="X20" s="0" t="s">
        <v>90</v>
      </c>
      <c r="Y20" s="16" t="s">
        <v>23</v>
      </c>
    </row>
    <row r="21" customFormat="false" ht="14.9" hidden="false" customHeight="false" outlineLevel="0" collapsed="false">
      <c r="A21" s="0" t="s">
        <v>91</v>
      </c>
      <c r="B21" s="0" t="s">
        <v>86</v>
      </c>
      <c r="D21" s="0" t="s">
        <v>87</v>
      </c>
      <c r="E21" s="0" t="n">
        <f aca="false">BoardQty*2</f>
        <v>10</v>
      </c>
      <c r="F21" s="15" t="n">
        <f aca="true">MINA(INDIRECT(ADDRESS(ROW(),COLUMN(newark_part_data)+2)),INDIRECT(ADDRESS(ROW(),COLUMN(digikey_part_data)+2)),INDIRECT(ADDRESS(ROW(),COLUMN(mouser_part_data)+2)))</f>
        <v>0.042</v>
      </c>
      <c r="G21" s="15" t="n">
        <f aca="false">IFERROR(E21*F21,"")</f>
        <v>0.42</v>
      </c>
      <c r="H21" s="0" t="n">
        <v>120096</v>
      </c>
      <c r="J21" s="15" t="n">
        <f aca="false">IFERROR(LOOKUP(IF(I21="",E21,I21),{0,1,10,50,100,250,500,1000,4000,8000,12000,28000,100000},{0,0.1,0.075,0.0614,0.045,0.03272,0.03,0.02592,0.01984,0.01798,0.01736,0.01612,0.01593}),"")</f>
        <v>0.075</v>
      </c>
      <c r="K21" s="15" t="n">
        <f aca="false">IFERROR(IF(I21="",E21,I21)*J21,"")</f>
        <v>0.75</v>
      </c>
      <c r="L21" s="0" t="s">
        <v>88</v>
      </c>
      <c r="M21" s="16" t="s">
        <v>23</v>
      </c>
      <c r="N21" s="0" t="n">
        <v>75355</v>
      </c>
      <c r="P21" s="15" t="n">
        <f aca="false">IFERROR(LOOKUP(IF(O21="",E21,O21),{0,1,10,100,500,1000,4000},{0,0.099,0.06,0.032,0.029,0.025,0.019}),"")</f>
        <v>0.06</v>
      </c>
      <c r="Q21" s="15" t="n">
        <f aca="false">IFERROR(IF(O21="",E21,O21)*P21,"")</f>
        <v>0.6</v>
      </c>
      <c r="R21" s="0" t="s">
        <v>89</v>
      </c>
      <c r="S21" s="16" t="s">
        <v>23</v>
      </c>
      <c r="T21" s="0" t="n">
        <v>14439</v>
      </c>
      <c r="V21" s="15" t="n">
        <f aca="false">IFERROR(LOOKUP(IF(U21="",E21,U21),{0,1,50,100,500,1000,2500,5000,10000},{0,0.042,0.036,0.03,0.027,0.024,0.02,0.019,0.018}),"")</f>
        <v>0.042</v>
      </c>
      <c r="W21" s="15" t="n">
        <f aca="false">IFERROR(IF(U21="",E21,U21)*V21,"")</f>
        <v>0.42</v>
      </c>
      <c r="X21" s="0" t="s">
        <v>90</v>
      </c>
      <c r="Y21" s="16" t="s">
        <v>23</v>
      </c>
    </row>
    <row r="22" customFormat="false" ht="14.9" hidden="false" customHeight="false" outlineLevel="0" collapsed="false">
      <c r="A22" s="0" t="s">
        <v>92</v>
      </c>
      <c r="B22" s="0" t="s">
        <v>93</v>
      </c>
      <c r="D22" s="0" t="s">
        <v>94</v>
      </c>
      <c r="E22" s="0" t="n">
        <f aca="false">BoardQty*4</f>
        <v>20</v>
      </c>
      <c r="F22" s="15" t="n">
        <f aca="true">MINA(INDIRECT(ADDRESS(ROW(),COLUMN(newark_part_data)+2)),INDIRECT(ADDRESS(ROW(),COLUMN(digikey_part_data)+2)),INDIRECT(ADDRESS(ROW(),COLUMN(mouser_part_data)+2)))</f>
        <v>0.532</v>
      </c>
      <c r="G22" s="15" t="n">
        <f aca="false">IFERROR(E22*F22,"")</f>
        <v>10.64</v>
      </c>
      <c r="H22" s="0" t="n">
        <v>5918</v>
      </c>
      <c r="J22" s="15" t="n">
        <f aca="false">IFERROR(LOOKUP(IF(I22="",E22,I22),{0,1,10,100,500,1000,4000,8000,12000,28000,100000,200000},{0,0.67,0.573,0.4277,0.33596,0.259,0.2294,0.2146,0.1998,0.18944,0.18204,0.1776}),"")</f>
        <v>0.573</v>
      </c>
      <c r="K22" s="15" t="n">
        <f aca="false">IFERROR(IF(I22="",E22,I22)*J22,"")</f>
        <v>11.46</v>
      </c>
      <c r="L22" s="0" t="s">
        <v>95</v>
      </c>
      <c r="M22" s="16" t="s">
        <v>23</v>
      </c>
      <c r="N22" s="0" t="n">
        <v>6341</v>
      </c>
      <c r="P22" s="15" t="n">
        <f aca="false">IFERROR(LOOKUP(IF(O22="",E22,O22),{0,1,10,100,1000,4000,8000,24000,48000},{0,0.638,0.532,0.325,0.251,0.215,0.198,0.189,0.187}),"")</f>
        <v>0.532</v>
      </c>
      <c r="Q22" s="15" t="n">
        <f aca="false">IFERROR(IF(O22="",E22,O22)*P22,"")</f>
        <v>10.64</v>
      </c>
      <c r="R22" s="0" t="s">
        <v>96</v>
      </c>
      <c r="S22" s="16" t="s">
        <v>23</v>
      </c>
      <c r="T22" s="0" t="n">
        <v>1951</v>
      </c>
      <c r="V22" s="15" t="n">
        <f aca="false">IFERROR(LOOKUP(IF(U22="",E22,U22),{0,1,250,500,1000,5000},{0,0.67,0.505,0.451,0.406,0.369}),"")</f>
        <v>0.67</v>
      </c>
      <c r="W22" s="15" t="n">
        <f aca="false">IFERROR(IF(U22="",E22,U22)*V22,"")</f>
        <v>13.4</v>
      </c>
      <c r="X22" s="0" t="s">
        <v>97</v>
      </c>
      <c r="Y22" s="16" t="s">
        <v>23</v>
      </c>
    </row>
    <row r="23" customFormat="false" ht="14.9" hidden="false" customHeight="false" outlineLevel="0" collapsed="false">
      <c r="A23" s="0" t="s">
        <v>98</v>
      </c>
      <c r="B23" s="0" t="s">
        <v>99</v>
      </c>
      <c r="D23" s="0" t="s">
        <v>100</v>
      </c>
      <c r="E23" s="0" t="n">
        <f aca="false">BoardQty*1</f>
        <v>5</v>
      </c>
      <c r="F23" s="15" t="n">
        <f aca="true">MINA(INDIRECT(ADDRESS(ROW(),COLUMN(newark_part_data)+2)),INDIRECT(ADDRESS(ROW(),COLUMN(digikey_part_data)+2)),INDIRECT(ADDRESS(ROW(),COLUMN(mouser_part_data)+2)))</f>
        <v>0.621</v>
      </c>
      <c r="G23" s="15" t="n">
        <f aca="false">IFERROR(E23*F23,"")</f>
        <v>3.105</v>
      </c>
      <c r="H23" s="0" t="n">
        <v>72838</v>
      </c>
      <c r="J23" s="15" t="n">
        <f aca="false">IFERROR(LOOKUP(IF(I23="",E23,I23),{0,1,50,100,250,500,1000,5000,10000,25000,50000,125000},{0,0.63,0.2494,0.1924,0.14964,0.10546,0.07695,0.04275,0.0399,0.03791,0.03714,0.03634}),"")</f>
        <v>0.63</v>
      </c>
      <c r="K23" s="15" t="n">
        <f aca="false">IFERROR(IF(I23="",E23,I23)*J23,"")</f>
        <v>3.15</v>
      </c>
      <c r="L23" s="0" t="s">
        <v>101</v>
      </c>
      <c r="M23" s="16" t="s">
        <v>23</v>
      </c>
      <c r="N23" s="0" t="n">
        <v>68695</v>
      </c>
      <c r="P23" s="15" t="n">
        <f aca="false">IFERROR(LOOKUP(IF(O23="",E23,O23),{0,1,10,100,500,1000,5000,10000,25000},{0,0.621,0.245,0.147,0.104,0.075,0.041,0.038,0.037}),"")</f>
        <v>0.621</v>
      </c>
      <c r="Q23" s="15" t="n">
        <f aca="false">IFERROR(IF(O23="",E23,O23)*P23,"")</f>
        <v>3.105</v>
      </c>
      <c r="R23" s="0" t="s">
        <v>102</v>
      </c>
      <c r="S23" s="16" t="s">
        <v>23</v>
      </c>
      <c r="T23" s="0" t="n">
        <v>2958</v>
      </c>
      <c r="V23" s="15" t="n">
        <f aca="false">IFERROR(LOOKUP(IF(U23="",E23,U23),{0,1,50,100,250,500,1000},{0,0.631,0.249,0.192,0.149,0.105,0.077}),"")</f>
        <v>0.631</v>
      </c>
      <c r="W23" s="15" t="n">
        <f aca="false">IFERROR(IF(U23="",E23,U23)*V23,"")</f>
        <v>3.155</v>
      </c>
      <c r="X23" s="0" t="s">
        <v>103</v>
      </c>
      <c r="Y23" s="16" t="s">
        <v>23</v>
      </c>
    </row>
    <row r="24" customFormat="false" ht="14.9" hidden="false" customHeight="false" outlineLevel="0" collapsed="false">
      <c r="A24" s="0" t="s">
        <v>104</v>
      </c>
      <c r="B24" s="0" t="s">
        <v>105</v>
      </c>
      <c r="D24" s="0" t="s">
        <v>106</v>
      </c>
      <c r="E24" s="0" t="n">
        <f aca="false">BoardQty*5</f>
        <v>25</v>
      </c>
      <c r="F24" s="15" t="n">
        <f aca="true">MINA(INDIRECT(ADDRESS(ROW(),COLUMN(newark_part_data)+2)),INDIRECT(ADDRESS(ROW(),COLUMN(digikey_part_data)+2)),INDIRECT(ADDRESS(ROW(),COLUMN(mouser_part_data)+2)))</f>
        <v>0.029</v>
      </c>
      <c r="G24" s="15" t="n">
        <f aca="false">IFERROR(E24*F24,"")</f>
        <v>0.725</v>
      </c>
      <c r="H24" s="0" t="n">
        <v>115899</v>
      </c>
      <c r="J24" s="15" t="n">
        <f aca="false">IFERROR(LOOKUP(IF(I24="",E24,I24),{0,1,10,50,100,250,500,1000,4000,8000,12000,28000,100000},{0,0.1,0.043,0.0234,0.0198,0.0162,0.01386,0.0108,0.00828,0.00756,0.0072,0.00684,0.00495}),"")</f>
        <v>0.043</v>
      </c>
      <c r="K24" s="15" t="n">
        <f aca="false">IFERROR(IF(I24="",E24,I24)*J24,"")</f>
        <v>1.075</v>
      </c>
      <c r="L24" s="0" t="s">
        <v>107</v>
      </c>
      <c r="M24" s="16" t="s">
        <v>23</v>
      </c>
      <c r="N24" s="0" t="n">
        <v>41597</v>
      </c>
      <c r="P24" s="15" t="n">
        <f aca="false">IFERROR(LOOKUP(IF(O24="",E24,O24),{0,1,10,100,500,1000,4000,8000,24000,48000},{0,0.099,0.037,0.026,0.023,0.017,0.013,0.012,0.011,0.009}),"")</f>
        <v>0.037</v>
      </c>
      <c r="Q24" s="15" t="n">
        <f aca="false">IFERROR(IF(O24="",E24,O24)*P24,"")</f>
        <v>0.925</v>
      </c>
      <c r="R24" s="0" t="s">
        <v>108</v>
      </c>
      <c r="S24" s="16" t="s">
        <v>23</v>
      </c>
      <c r="T24" s="0" t="n">
        <v>4065</v>
      </c>
      <c r="V24" s="15" t="n">
        <f aca="false">IFERROR(LOOKUP(IF(U24="",E24,U24),{0,1,10,50,100,250,500,1000},{0,0.095,0.029,0.017,0.014,0.011,0.01,0.007}),"")</f>
        <v>0.029</v>
      </c>
      <c r="W24" s="15" t="n">
        <f aca="false">IFERROR(IF(U24="",E24,U24)*V24,"")</f>
        <v>0.725</v>
      </c>
      <c r="X24" s="0" t="s">
        <v>109</v>
      </c>
      <c r="Y24" s="16" t="s">
        <v>23</v>
      </c>
    </row>
    <row r="25" customFormat="false" ht="14.9" hidden="false" customHeight="false" outlineLevel="0" collapsed="false">
      <c r="A25" s="0" t="s">
        <v>110</v>
      </c>
      <c r="B25" s="0" t="s">
        <v>111</v>
      </c>
      <c r="D25" s="0" t="s">
        <v>112</v>
      </c>
      <c r="E25" s="0" t="n">
        <f aca="false">BoardQty*2</f>
        <v>10</v>
      </c>
      <c r="F25" s="15" t="n">
        <f aca="true">MINA(INDIRECT(ADDRESS(ROW(),COLUMN(newark_part_data)+2)),INDIRECT(ADDRESS(ROW(),COLUMN(digikey_part_data)+2)),INDIRECT(ADDRESS(ROW(),COLUMN(mouser_part_data)+2)))</f>
        <v>0.048</v>
      </c>
      <c r="G25" s="15" t="n">
        <f aca="false">IFERROR(E25*F25,"")</f>
        <v>0.48</v>
      </c>
      <c r="H25" s="0" t="n">
        <v>69515</v>
      </c>
      <c r="J25" s="15" t="n">
        <f aca="false">IFERROR(LOOKUP(IF(I25="",E25,I25),{0,1,10,25,50,100,500,1000,4000,8000,12000,28000,100000},{0,0.1,0.048,0.034,0.0262,0.0221,0.01548,0.01206,0.00925,0.00844,0.00804,0.00764,0.00553}),"")</f>
        <v>0.048</v>
      </c>
      <c r="K25" s="15" t="n">
        <f aca="false">IFERROR(IF(I25="",E25,I25)*J25,"")</f>
        <v>0.48</v>
      </c>
      <c r="L25" s="0" t="s">
        <v>113</v>
      </c>
      <c r="M25" s="16" t="s">
        <v>23</v>
      </c>
    </row>
    <row r="26" customFormat="false" ht="13.8" hidden="false" customHeight="false" outlineLevel="0" collapsed="false">
      <c r="A26" s="0" t="s">
        <v>114</v>
      </c>
      <c r="B26" s="0" t="s">
        <v>115</v>
      </c>
      <c r="E26" s="0" t="n">
        <f aca="false">BoardQty*4</f>
        <v>20</v>
      </c>
      <c r="F26" s="15" t="n">
        <f aca="true">MINA(INDIRECT(ADDRESS(ROW(),COLUMN(newark_part_data)+2)),INDIRECT(ADDRESS(ROW(),COLUMN(digikey_part_data)+2)),INDIRECT(ADDRESS(ROW(),COLUMN(mouser_part_data)+2)))</f>
        <v>0</v>
      </c>
      <c r="G26" s="15" t="n">
        <f aca="false">IFERROR(E26*F26,"")</f>
        <v>0</v>
      </c>
    </row>
    <row r="27" customFormat="false" ht="14.9" hidden="false" customHeight="false" outlineLevel="0" collapsed="false">
      <c r="A27" s="0" t="s">
        <v>116</v>
      </c>
      <c r="B27" s="0" t="s">
        <v>117</v>
      </c>
      <c r="D27" s="0" t="s">
        <v>118</v>
      </c>
      <c r="E27" s="0" t="n">
        <f aca="false">BoardQty*1</f>
        <v>5</v>
      </c>
      <c r="F27" s="15" t="n">
        <f aca="true">MINA(INDIRECT(ADDRESS(ROW(),COLUMN(newark_part_data)+2)),INDIRECT(ADDRESS(ROW(),COLUMN(digikey_part_data)+2)),INDIRECT(ADDRESS(ROW(),COLUMN(mouser_part_data)+2)))</f>
        <v>0</v>
      </c>
      <c r="G27" s="15" t="n">
        <f aca="false">IFERROR(E27*F27,"")</f>
        <v>0</v>
      </c>
      <c r="M27" s="16" t="s">
        <v>23</v>
      </c>
    </row>
    <row r="28" customFormat="false" ht="14.9" hidden="false" customHeight="false" outlineLevel="0" collapsed="false">
      <c r="A28" s="0" t="s">
        <v>119</v>
      </c>
      <c r="B28" s="0" t="s">
        <v>120</v>
      </c>
      <c r="D28" s="0" t="s">
        <v>121</v>
      </c>
      <c r="E28" s="0" t="n">
        <f aca="false">BoardQty*1</f>
        <v>5</v>
      </c>
      <c r="F28" s="15" t="n">
        <f aca="true">MINA(INDIRECT(ADDRESS(ROW(),COLUMN(newark_part_data)+2)),INDIRECT(ADDRESS(ROW(),COLUMN(digikey_part_data)+2)),INDIRECT(ADDRESS(ROW(),COLUMN(mouser_part_data)+2)))</f>
        <v>0.1</v>
      </c>
      <c r="G28" s="15" t="n">
        <f aca="false">IFERROR(E28*F28,"")</f>
        <v>0.5</v>
      </c>
      <c r="H28" s="0" t="n">
        <v>18774</v>
      </c>
      <c r="J28" s="15" t="n">
        <f aca="false">IFERROR(LOOKUP(IF(I28="",E28,I28),{0,1,10,25,50,100,250,500,1000,4000,8000},{0,0.1,0.062,0.0568,0.051,0.0375,0.02724,0.02498,0.02157,0.01651,0.015}),"")</f>
        <v>0.1</v>
      </c>
      <c r="K28" s="15" t="n">
        <f aca="false">IFERROR(IF(I28="",E28,I28)*J28,"")</f>
        <v>0.5</v>
      </c>
      <c r="L28" s="0" t="s">
        <v>122</v>
      </c>
      <c r="M28" s="16" t="s">
        <v>23</v>
      </c>
      <c r="N28" s="0" t="n">
        <v>11288</v>
      </c>
      <c r="P28" s="15" t="n">
        <f aca="false">IFERROR(LOOKUP(IF(O28="",E28,O28),{0,1,10,25,50,100,250,500,1000,4000},{0,0.104,0.064,0.059,0.052,0.039,0.029,0.026,0.023,0.015}),"")</f>
        <v>0.104</v>
      </c>
      <c r="Q28" s="15" t="n">
        <f aca="false">IFERROR(IF(O28="",E28,O28)*P28,"")</f>
        <v>0.52</v>
      </c>
      <c r="R28" s="0" t="s">
        <v>123</v>
      </c>
      <c r="S28" s="16" t="s">
        <v>23</v>
      </c>
      <c r="Y28" s="16" t="s">
        <v>23</v>
      </c>
    </row>
    <row r="29" customFormat="false" ht="14.9" hidden="false" customHeight="false" outlineLevel="0" collapsed="false">
      <c r="A29" s="0" t="s">
        <v>124</v>
      </c>
      <c r="B29" s="0" t="s">
        <v>125</v>
      </c>
      <c r="D29" s="0" t="s">
        <v>126</v>
      </c>
      <c r="E29" s="0" t="n">
        <f aca="false">BoardQty*2</f>
        <v>10</v>
      </c>
      <c r="F29" s="15" t="n">
        <f aca="true">MINA(INDIRECT(ADDRESS(ROW(),COLUMN(newark_part_data)+2)),INDIRECT(ADDRESS(ROW(),COLUMN(digikey_part_data)+2)),INDIRECT(ADDRESS(ROW(),COLUMN(mouser_part_data)+2)))</f>
        <v>0.036</v>
      </c>
      <c r="G29" s="15" t="n">
        <f aca="false">IFERROR(E29*F29,"")</f>
        <v>0.36</v>
      </c>
      <c r="H29" s="0" t="n">
        <v>1808</v>
      </c>
      <c r="J29" s="15" t="n">
        <f aca="false">IFERROR(LOOKUP(IF(I29="",E29,I29),{0,1,10,50,100,250,500,1000,4000,8000,12000,28000,100000},{0,0.1,0.048,0.026,0.022,0.018,0.0154,0.012,0.0092,0.0084,0.008,0.0076,0.0055}),"")</f>
        <v>0.048</v>
      </c>
      <c r="K29" s="15" t="n">
        <f aca="false">IFERROR(IF(I29="",E29,I29)*J29,"")</f>
        <v>0.48</v>
      </c>
      <c r="L29" s="0" t="s">
        <v>127</v>
      </c>
      <c r="M29" s="16" t="s">
        <v>23</v>
      </c>
      <c r="N29" s="0" t="n">
        <v>14783</v>
      </c>
      <c r="P29" s="15" t="n">
        <f aca="false">IFERROR(LOOKUP(IF(O29="",E29,O29),{0,1,10,100,500,1000,4000,8000,48000},{0,0.099,0.036,0.026,0.022,0.016,0.013,0.011,0.009}),"")</f>
        <v>0.036</v>
      </c>
      <c r="Q29" s="15" t="n">
        <f aca="false">IFERROR(IF(O29="",E29,O29)*P29,"")</f>
        <v>0.36</v>
      </c>
      <c r="R29" s="0" t="s">
        <v>128</v>
      </c>
      <c r="S29" s="16" t="s">
        <v>23</v>
      </c>
      <c r="Y29" s="16" t="s">
        <v>23</v>
      </c>
    </row>
    <row r="30" customFormat="false" ht="14.9" hidden="false" customHeight="false" outlineLevel="0" collapsed="false">
      <c r="A30" s="0" t="s">
        <v>129</v>
      </c>
      <c r="B30" s="0" t="s">
        <v>130</v>
      </c>
      <c r="D30" s="0" t="s">
        <v>131</v>
      </c>
      <c r="E30" s="0" t="n">
        <f aca="false">BoardQty*3</f>
        <v>15</v>
      </c>
      <c r="F30" s="15" t="n">
        <f aca="true">MINA(INDIRECT(ADDRESS(ROW(),COLUMN(newark_part_data)+2)),INDIRECT(ADDRESS(ROW(),COLUMN(digikey_part_data)+2)),INDIRECT(ADDRESS(ROW(),COLUMN(mouser_part_data)+2)))</f>
        <v>0.008</v>
      </c>
      <c r="G30" s="15" t="n">
        <f aca="false">IFERROR(E30*F30,"")</f>
        <v>0.12</v>
      </c>
      <c r="H30" s="0" t="n">
        <v>585797</v>
      </c>
      <c r="J30" s="15" t="n">
        <f aca="false">IFERROR(LOOKUP(IF(I30="",E30,I30),{0,1,10,25,100,250,500,1000,2500,5000,10000,25000,50000,125000},{0,0.1,0.011,0.008,0.0044,0.00336,0.0027,0.00198,0.00172,0.00129,0.00112,0.00099,0.0009,0.00089}),"")</f>
        <v>0.011</v>
      </c>
      <c r="K30" s="15" t="n">
        <f aca="false">IFERROR(IF(I30="",E30,I30)*J30,"")</f>
        <v>0.165</v>
      </c>
      <c r="L30" s="0" t="s">
        <v>132</v>
      </c>
      <c r="M30" s="16" t="s">
        <v>23</v>
      </c>
      <c r="N30" s="0" t="n">
        <v>64643</v>
      </c>
      <c r="P30" s="15" t="n">
        <f aca="false">IFERROR(LOOKUP(IF(O30="",E30,O30),{0,1,10,100,1000,5000,50000},{0,0.099,0.008,0.003,0.002,0.002,0.001}),"")</f>
        <v>0.008</v>
      </c>
      <c r="Q30" s="15" t="n">
        <f aca="false">IFERROR(IF(O30="",E30,O30)*P30,"")</f>
        <v>0.12</v>
      </c>
      <c r="R30" s="0" t="s">
        <v>133</v>
      </c>
      <c r="S30" s="16" t="s">
        <v>23</v>
      </c>
      <c r="T30" s="0" t="n">
        <v>7273</v>
      </c>
      <c r="V30" s="15" t="n">
        <f aca="false">IFERROR(LOOKUP(IF(U30="",E30,U30),{0,1,10,25,100,250,1000},{0,0.06,0.01,0.007,0.004,0.003,0.002}),"")</f>
        <v>0.01</v>
      </c>
      <c r="W30" s="15" t="n">
        <f aca="false">IFERROR(IF(U30="",E30,U30)*V30,"")</f>
        <v>0.15</v>
      </c>
      <c r="X30" s="0" t="s">
        <v>134</v>
      </c>
      <c r="Y30" s="16" t="s">
        <v>23</v>
      </c>
    </row>
    <row r="31" customFormat="false" ht="14.9" hidden="false" customHeight="false" outlineLevel="0" collapsed="false">
      <c r="A31" s="0" t="s">
        <v>135</v>
      </c>
      <c r="B31" s="0" t="s">
        <v>136</v>
      </c>
      <c r="D31" s="0" t="s">
        <v>136</v>
      </c>
      <c r="E31" s="0" t="n">
        <f aca="false">BoardQty*1</f>
        <v>5</v>
      </c>
      <c r="F31" s="15" t="n">
        <f aca="true">MINA(INDIRECT(ADDRESS(ROW(),COLUMN(newark_part_data)+2)),INDIRECT(ADDRESS(ROW(),COLUMN(digikey_part_data)+2)),INDIRECT(ADDRESS(ROW(),COLUMN(mouser_part_data)+2)))</f>
        <v>0.29</v>
      </c>
      <c r="G31" s="15" t="n">
        <f aca="false">IFERROR(E31*F31,"")</f>
        <v>1.45</v>
      </c>
      <c r="H31" s="0" t="n">
        <v>10835</v>
      </c>
      <c r="J31" s="15" t="n">
        <f aca="false">IFERROR(LOOKUP(IF(I31="",E31,I31),{0,1,10,25,50,100,250,500,1000,3000,6000,15000},{0,0.29,0.273,0.252,0.2432,0.2264,0.2016,0.168,0.1592,0.128,0.12,0.112}),"")</f>
        <v>0.29</v>
      </c>
      <c r="K31" s="15" t="n">
        <f aca="false">IFERROR(IF(I31="",E31,I31)*J31,"")</f>
        <v>1.45</v>
      </c>
      <c r="L31" s="0" t="s">
        <v>137</v>
      </c>
      <c r="M31" s="16" t="s">
        <v>23</v>
      </c>
      <c r="N31" s="0" t="n">
        <v>12153</v>
      </c>
      <c r="P31" s="15" t="n">
        <f aca="false">IFERROR(LOOKUP(IF(O31="",E31,O31),{0,1,10,100,250,500,1000,3000,6000,9000},{0,0.3,0.251,0.233,0.207,0.173,0.165,0.132,0.124,0.116}),"")</f>
        <v>0.3</v>
      </c>
      <c r="Q31" s="15" t="n">
        <f aca="false">IFERROR(IF(O31="",E31,O31)*P31,"")</f>
        <v>1.5</v>
      </c>
      <c r="R31" s="0" t="s">
        <v>138</v>
      </c>
      <c r="S31" s="16" t="s">
        <v>23</v>
      </c>
      <c r="T31" s="0" t="n">
        <v>9630</v>
      </c>
      <c r="V31" s="15" t="n">
        <f aca="false">IFERROR(LOOKUP(IF(U31="",E31,U31),{0,1,10,100,250,500,1000},{0,0.386,0.268,0.214,0.196,0.191,0.148}),"")</f>
        <v>0.386</v>
      </c>
      <c r="W31" s="15" t="n">
        <f aca="false">IFERROR(IF(U31="",E31,U31)*V31,"")</f>
        <v>1.93</v>
      </c>
      <c r="X31" s="0" t="s">
        <v>139</v>
      </c>
      <c r="Y31" s="16" t="s">
        <v>23</v>
      </c>
    </row>
    <row r="32" customFormat="false" ht="14.9" hidden="false" customHeight="false" outlineLevel="0" collapsed="false">
      <c r="A32" s="0" t="s">
        <v>140</v>
      </c>
      <c r="B32" s="0" t="s">
        <v>141</v>
      </c>
      <c r="D32" s="0" t="s">
        <v>142</v>
      </c>
      <c r="E32" s="0" t="n">
        <f aca="false">BoardQty*1</f>
        <v>5</v>
      </c>
      <c r="F32" s="15" t="n">
        <f aca="true">MINA(INDIRECT(ADDRESS(ROW(),COLUMN(newark_part_data)+2)),INDIRECT(ADDRESS(ROW(),COLUMN(digikey_part_data)+2)),INDIRECT(ADDRESS(ROW(),COLUMN(mouser_part_data)+2)))</f>
        <v>2.09</v>
      </c>
      <c r="G32" s="15" t="n">
        <f aca="false">IFERROR(E32*F32,"")</f>
        <v>10.45</v>
      </c>
      <c r="H32" s="0" t="n">
        <v>4473</v>
      </c>
      <c r="J32" s="15" t="n">
        <f aca="false">IFERROR(LOOKUP(IF(I32="",E32,I32),{0,1,10,100,500,1000,5000,10000},{0,2.13,1.936,1.659,1.3825,1.185,1.0507,1.027}),"")</f>
        <v>2.13</v>
      </c>
      <c r="K32" s="15" t="n">
        <f aca="false">IFERROR(IF(I32="",E32,I32)*J32,"")</f>
        <v>10.65</v>
      </c>
      <c r="L32" s="0" t="s">
        <v>143</v>
      </c>
      <c r="M32" s="16" t="s">
        <v>23</v>
      </c>
      <c r="N32" s="0" t="n">
        <v>2932</v>
      </c>
      <c r="P32" s="15" t="n">
        <f aca="false">IFERROR(LOOKUP(IF(O32="",E32,O32),{0,1,10,50,100,500,1000,5000,10000},{0,2.09,1.91,1.71,1.48,1.35,1.17,1.03,1.01}),"")</f>
        <v>2.09</v>
      </c>
      <c r="Q32" s="15" t="n">
        <f aca="false">IFERROR(IF(O32="",E32,O32)*P32,"")</f>
        <v>10.45</v>
      </c>
      <c r="R32" s="0" t="s">
        <v>144</v>
      </c>
      <c r="S32" s="16" t="s">
        <v>23</v>
      </c>
      <c r="T32" s="0" t="n">
        <v>133</v>
      </c>
      <c r="V32" s="15" t="n">
        <f aca="false">IFERROR(LOOKUP(IF(U32="",E32,U32),{0,1,10,100,500,1000,5000,10000},{0,2.13,1.93,1.66,1.38,1.19,1.05,1.03}),"")</f>
        <v>2.13</v>
      </c>
      <c r="W32" s="15" t="n">
        <f aca="false">IFERROR(IF(U32="",E32,U32)*V32,"")</f>
        <v>10.65</v>
      </c>
      <c r="X32" s="0" t="s">
        <v>145</v>
      </c>
      <c r="Y32" s="16" t="s">
        <v>23</v>
      </c>
    </row>
    <row r="33" customFormat="false" ht="14.9" hidden="false" customHeight="false" outlineLevel="0" collapsed="false">
      <c r="A33" s="0" t="s">
        <v>146</v>
      </c>
      <c r="B33" s="0" t="s">
        <v>147</v>
      </c>
      <c r="D33" s="0" t="s">
        <v>148</v>
      </c>
      <c r="E33" s="0" t="n">
        <f aca="false">BoardQty*4</f>
        <v>20</v>
      </c>
      <c r="F33" s="15" t="n">
        <f aca="true">MINA(INDIRECT(ADDRESS(ROW(),COLUMN(newark_part_data)+2)),INDIRECT(ADDRESS(ROW(),COLUMN(digikey_part_data)+2)),INDIRECT(ADDRESS(ROW(),COLUMN(mouser_part_data)+2)))</f>
        <v>0.008</v>
      </c>
      <c r="G33" s="15" t="n">
        <f aca="false">IFERROR(E33*F33,"")</f>
        <v>0.16</v>
      </c>
      <c r="H33" s="0" t="n">
        <v>2942097</v>
      </c>
      <c r="J33" s="15" t="n">
        <f aca="false">IFERROR(LOOKUP(IF(I33="",E33,I33),{0,1,10,25,100,250,500,1000,2500,5000,10000,25000,50000,125000},{0,0.1,0.011,0.008,0.0044,0.00336,0.0027,0.00198,0.00172,0.00129,0.00112,0.00099,0.0009,0.00089}),"")</f>
        <v>0.011</v>
      </c>
      <c r="K33" s="15" t="n">
        <f aca="false">IFERROR(IF(I33="",E33,I33)*J33,"")</f>
        <v>0.22</v>
      </c>
      <c r="L33" s="0" t="s">
        <v>149</v>
      </c>
      <c r="M33" s="16" t="s">
        <v>23</v>
      </c>
      <c r="N33" s="0" t="n">
        <v>44255</v>
      </c>
      <c r="P33" s="15" t="n">
        <f aca="false">IFERROR(LOOKUP(IF(O33="",E33,O33),{0,1,10,100,1000,5000,50000},{0,0.099,0.008,0.003,0.002,0.002,0.001}),"")</f>
        <v>0.008</v>
      </c>
      <c r="Q33" s="15" t="n">
        <f aca="false">IFERROR(IF(O33="",E33,O33)*P33,"")</f>
        <v>0.16</v>
      </c>
      <c r="R33" s="0" t="s">
        <v>150</v>
      </c>
      <c r="S33" s="16" t="s">
        <v>23</v>
      </c>
      <c r="T33" s="0" t="n">
        <v>6</v>
      </c>
      <c r="V33" s="15" t="n">
        <f aca="false">IFERROR(LOOKUP(IF(U33="",E33,U33),{0,1,10,25,100,250,1000},{0,0.009,0.009,0.008,0.005,0.004,0.003}),"")</f>
        <v>0.009</v>
      </c>
      <c r="W33" s="15" t="n">
        <f aca="false">IFERROR(IF(U33="",E33,U33)*V33,"")</f>
        <v>0.18</v>
      </c>
      <c r="X33" s="0" t="s">
        <v>151</v>
      </c>
      <c r="Y33" s="16" t="s">
        <v>23</v>
      </c>
    </row>
    <row r="34" customFormat="false" ht="14.9" hidden="false" customHeight="false" outlineLevel="0" collapsed="false">
      <c r="A34" s="0" t="s">
        <v>152</v>
      </c>
      <c r="B34" s="0" t="s">
        <v>153</v>
      </c>
      <c r="D34" s="0" t="s">
        <v>154</v>
      </c>
      <c r="E34" s="0" t="n">
        <f aca="false">BoardQty*2</f>
        <v>10</v>
      </c>
      <c r="F34" s="15" t="n">
        <f aca="true">MINA(INDIRECT(ADDRESS(ROW(),COLUMN(newark_part_data)+2)),INDIRECT(ADDRESS(ROW(),COLUMN(digikey_part_data)+2)),INDIRECT(ADDRESS(ROW(),COLUMN(mouser_part_data)+2)))</f>
        <v>0.01</v>
      </c>
      <c r="G34" s="15" t="n">
        <f aca="false">IFERROR(E34*F34,"")</f>
        <v>0.1</v>
      </c>
      <c r="H34" s="0" t="n">
        <v>705683</v>
      </c>
      <c r="J34" s="15" t="n">
        <f aca="false">IFERROR(LOOKUP(IF(I34="",E34,I34),{0,1,10,25,100,250,500,1000,2500,5000,10000,25000,50000,125000},{0,0.1,0.011,0.008,0.0044,0.00336,0.0027,0.00198,0.00172,0.00129,0.00112,0.00099,0.0009,0.00089}),"")</f>
        <v>0.011</v>
      </c>
      <c r="K34" s="15" t="n">
        <f aca="false">IFERROR(IF(I34="",E34,I34)*J34,"")</f>
        <v>0.11</v>
      </c>
      <c r="L34" s="0" t="s">
        <v>155</v>
      </c>
      <c r="M34" s="16" t="s">
        <v>23</v>
      </c>
      <c r="S34" s="16" t="s">
        <v>23</v>
      </c>
      <c r="T34" s="0" t="n">
        <v>8289</v>
      </c>
      <c r="V34" s="15" t="n">
        <f aca="false">IFERROR(LOOKUP(IF(U34="",E34,U34),{0,1,10,25,100,250,1000},{0,0.06,0.01,0.007,0.004,0.003,0.002}),"")</f>
        <v>0.01</v>
      </c>
      <c r="W34" s="15" t="n">
        <f aca="false">IFERROR(IF(U34="",E34,U34)*V34,"")</f>
        <v>0.1</v>
      </c>
      <c r="X34" s="0" t="s">
        <v>156</v>
      </c>
      <c r="Y34" s="16" t="s">
        <v>23</v>
      </c>
    </row>
    <row r="35" customFormat="false" ht="14.9" hidden="false" customHeight="false" outlineLevel="0" collapsed="false">
      <c r="A35" s="0" t="s">
        <v>157</v>
      </c>
      <c r="B35" s="0" t="s">
        <v>158</v>
      </c>
      <c r="D35" s="0" t="s">
        <v>159</v>
      </c>
      <c r="E35" s="0" t="n">
        <f aca="false">BoardQty*3</f>
        <v>15</v>
      </c>
      <c r="F35" s="15" t="n">
        <f aca="true">MINA(INDIRECT(ADDRESS(ROW(),COLUMN(newark_part_data)+2)),INDIRECT(ADDRESS(ROW(),COLUMN(digikey_part_data)+2)),INDIRECT(ADDRESS(ROW(),COLUMN(mouser_part_data)+2)))</f>
        <v>0.008</v>
      </c>
      <c r="G35" s="15" t="n">
        <f aca="false">IFERROR(E35*F35,"")</f>
        <v>0.12</v>
      </c>
      <c r="H35" s="0" t="n">
        <v>198916</v>
      </c>
      <c r="J35" s="15" t="n">
        <f aca="false">IFERROR(LOOKUP(IF(I35="",E35,I35),{0,1,10,25,100,250,500,1000,2500,5000,10000,25000,50000,125000},{0,0.1,0.011,0.008,0.0044,0.00336,0.0027,0.00198,0.00172,0.00129,0.00112,0.00099,0.0009,0.00089}),"")</f>
        <v>0.011</v>
      </c>
      <c r="K35" s="15" t="n">
        <f aca="false">IFERROR(IF(I35="",E35,I35)*J35,"")</f>
        <v>0.165</v>
      </c>
      <c r="L35" s="0" t="s">
        <v>160</v>
      </c>
      <c r="M35" s="16" t="s">
        <v>23</v>
      </c>
      <c r="N35" s="0" t="n">
        <v>129743</v>
      </c>
      <c r="P35" s="15" t="n">
        <f aca="false">IFERROR(LOOKUP(IF(O35="",E35,O35),{0,1,10,100,1000,5000,50000},{0,0.099,0.008,0.003,0.002,0.002,0.001}),"")</f>
        <v>0.008</v>
      </c>
      <c r="Q35" s="15" t="n">
        <f aca="false">IFERROR(IF(O35="",E35,O35)*P35,"")</f>
        <v>0.12</v>
      </c>
      <c r="R35" s="0" t="s">
        <v>161</v>
      </c>
      <c r="S35" s="16" t="s">
        <v>23</v>
      </c>
      <c r="T35" s="0" t="n">
        <v>11857</v>
      </c>
      <c r="V35" s="15" t="n">
        <f aca="false">IFERROR(LOOKUP(IF(U35="",E35,U35),{0,1,10,25,100,250,1000},{0,0.06,0.01,0.007,0.004,0.003,0.002}),"")</f>
        <v>0.01</v>
      </c>
      <c r="W35" s="15" t="n">
        <f aca="false">IFERROR(IF(U35="",E35,U35)*V35,"")</f>
        <v>0.15</v>
      </c>
      <c r="X35" s="0" t="s">
        <v>162</v>
      </c>
      <c r="Y35" s="16" t="s">
        <v>23</v>
      </c>
    </row>
    <row r="36" customFormat="false" ht="14.9" hidden="false" customHeight="false" outlineLevel="0" collapsed="false">
      <c r="A36" s="0" t="s">
        <v>163</v>
      </c>
      <c r="B36" s="0" t="s">
        <v>158</v>
      </c>
      <c r="D36" s="0" t="s">
        <v>159</v>
      </c>
      <c r="E36" s="0" t="n">
        <f aca="false">BoardQty*2</f>
        <v>10</v>
      </c>
      <c r="F36" s="15" t="n">
        <f aca="true">MINA(INDIRECT(ADDRESS(ROW(),COLUMN(newark_part_data)+2)),INDIRECT(ADDRESS(ROW(),COLUMN(digikey_part_data)+2)),INDIRECT(ADDRESS(ROW(),COLUMN(mouser_part_data)+2)))</f>
        <v>0.008</v>
      </c>
      <c r="G36" s="15" t="n">
        <f aca="false">IFERROR(E36*F36,"")</f>
        <v>0.08</v>
      </c>
      <c r="H36" s="0" t="n">
        <v>198916</v>
      </c>
      <c r="J36" s="15" t="n">
        <f aca="false">IFERROR(LOOKUP(IF(I36="",E36,I36),{0,1,10,25,100,250,500,1000,2500,5000,10000,25000,50000,125000},{0,0.1,0.011,0.008,0.0044,0.00336,0.0027,0.00198,0.00172,0.00129,0.00112,0.00099,0.0009,0.00089}),"")</f>
        <v>0.011</v>
      </c>
      <c r="K36" s="15" t="n">
        <f aca="false">IFERROR(IF(I36="",E36,I36)*J36,"")</f>
        <v>0.11</v>
      </c>
      <c r="L36" s="0" t="s">
        <v>160</v>
      </c>
      <c r="M36" s="16" t="s">
        <v>23</v>
      </c>
      <c r="N36" s="0" t="n">
        <v>129743</v>
      </c>
      <c r="P36" s="15" t="n">
        <f aca="false">IFERROR(LOOKUP(IF(O36="",E36,O36),{0,1,10,100,1000,5000,50000},{0,0.099,0.008,0.003,0.002,0.002,0.001}),"")</f>
        <v>0.008</v>
      </c>
      <c r="Q36" s="15" t="n">
        <f aca="false">IFERROR(IF(O36="",E36,O36)*P36,"")</f>
        <v>0.08</v>
      </c>
      <c r="R36" s="0" t="s">
        <v>161</v>
      </c>
      <c r="S36" s="16" t="s">
        <v>23</v>
      </c>
      <c r="T36" s="0" t="n">
        <v>11857</v>
      </c>
      <c r="V36" s="15" t="n">
        <f aca="false">IFERROR(LOOKUP(IF(U36="",E36,U36),{0,1,10,25,100,250,1000},{0,0.06,0.01,0.007,0.004,0.003,0.002}),"")</f>
        <v>0.01</v>
      </c>
      <c r="W36" s="15" t="n">
        <f aca="false">IFERROR(IF(U36="",E36,U36)*V36,"")</f>
        <v>0.1</v>
      </c>
      <c r="X36" s="0" t="s">
        <v>162</v>
      </c>
      <c r="Y36" s="16" t="s">
        <v>23</v>
      </c>
    </row>
    <row r="37" customFormat="false" ht="13.8" hidden="false" customHeight="false" outlineLevel="0" collapsed="false">
      <c r="A37" s="0" t="s">
        <v>164</v>
      </c>
      <c r="B37" s="0" t="s">
        <v>165</v>
      </c>
      <c r="E37" s="0" t="n">
        <f aca="false">BoardQty*3</f>
        <v>15</v>
      </c>
      <c r="F37" s="15" t="n">
        <f aca="true">MINA(INDIRECT(ADDRESS(ROW(),COLUMN(newark_part_data)+2)),INDIRECT(ADDRESS(ROW(),COLUMN(digikey_part_data)+2)),INDIRECT(ADDRESS(ROW(),COLUMN(mouser_part_data)+2)))</f>
        <v>0</v>
      </c>
      <c r="G37" s="15" t="n">
        <f aca="false">IFERROR(E37*F37,"")</f>
        <v>0</v>
      </c>
    </row>
    <row r="38" customFormat="false" ht="14.9" hidden="false" customHeight="false" outlineLevel="0" collapsed="false">
      <c r="A38" s="0" t="s">
        <v>166</v>
      </c>
      <c r="B38" s="0" t="s">
        <v>167</v>
      </c>
      <c r="D38" s="0" t="s">
        <v>168</v>
      </c>
      <c r="E38" s="0" t="n">
        <f aca="false">BoardQty*2</f>
        <v>10</v>
      </c>
      <c r="F38" s="15" t="n">
        <f aca="true">MINA(INDIRECT(ADDRESS(ROW(),COLUMN(newark_part_data)+2)),INDIRECT(ADDRESS(ROW(),COLUMN(digikey_part_data)+2)),INDIRECT(ADDRESS(ROW(),COLUMN(mouser_part_data)+2)))</f>
        <v>0.008</v>
      </c>
      <c r="G38" s="15" t="n">
        <f aca="false">IFERROR(E38*F38,"")</f>
        <v>0.08</v>
      </c>
      <c r="H38" s="0" t="n">
        <v>2125582</v>
      </c>
      <c r="J38" s="15" t="n">
        <f aca="false">IFERROR(LOOKUP(IF(I38="",E38,I38),{0,1,10,25,100,250,500,1000,2500,5000,10000,25000,50000,125000},{0,0.1,0.011,0.008,0.0044,0.00336,0.0027,0.00198,0.00172,0.00129,0.00112,0.00099,0.0009,0.00089}),"")</f>
        <v>0.011</v>
      </c>
      <c r="K38" s="15" t="n">
        <f aca="false">IFERROR(IF(I38="",E38,I38)*J38,"")</f>
        <v>0.11</v>
      </c>
      <c r="L38" s="0" t="s">
        <v>169</v>
      </c>
      <c r="M38" s="16" t="s">
        <v>23</v>
      </c>
      <c r="N38" s="0" t="n">
        <v>116707</v>
      </c>
      <c r="P38" s="15" t="n">
        <f aca="false">IFERROR(LOOKUP(IF(O38="",E38,O38),{0,1,10,100,1000,5000,50000},{0,0.099,0.008,0.003,0.002,0.002,0.001}),"")</f>
        <v>0.008</v>
      </c>
      <c r="Q38" s="15" t="n">
        <f aca="false">IFERROR(IF(O38="",E38,O38)*P38,"")</f>
        <v>0.08</v>
      </c>
      <c r="R38" s="0" t="s">
        <v>170</v>
      </c>
      <c r="S38" s="16" t="s">
        <v>23</v>
      </c>
      <c r="Y38" s="16" t="s">
        <v>23</v>
      </c>
    </row>
    <row r="39" customFormat="false" ht="14.9" hidden="false" customHeight="false" outlineLevel="0" collapsed="false">
      <c r="A39" s="0" t="s">
        <v>171</v>
      </c>
      <c r="B39" s="0" t="s">
        <v>172</v>
      </c>
      <c r="D39" s="0" t="s">
        <v>173</v>
      </c>
      <c r="E39" s="0" t="n">
        <f aca="false">BoardQty*1</f>
        <v>5</v>
      </c>
      <c r="F39" s="15" t="n">
        <f aca="true">MINA(INDIRECT(ADDRESS(ROW(),COLUMN(newark_part_data)+2)),INDIRECT(ADDRESS(ROW(),COLUMN(digikey_part_data)+2)),INDIRECT(ADDRESS(ROW(),COLUMN(mouser_part_data)+2)))</f>
        <v>0.06</v>
      </c>
      <c r="G39" s="15" t="n">
        <f aca="false">IFERROR(E39*F39,"")</f>
        <v>0.3</v>
      </c>
      <c r="H39" s="0" t="n">
        <v>6467962</v>
      </c>
      <c r="J39" s="15" t="n">
        <f aca="false">IFERROR(LOOKUP(IF(I39="",E39,I39),{0,1,10,25,100,250,500,1000,2500,5000,10000,25000,50000,125000},{0,0.1,0.011,0.008,0.0045,0.00348,0.00278,0.00204,0.00177,0.00133,0.00116,0.00102,0.00093,0.00091}),"")</f>
        <v>0.1</v>
      </c>
      <c r="K39" s="15" t="n">
        <f aca="false">IFERROR(IF(I39="",E39,I39)*J39,"")</f>
        <v>0.5</v>
      </c>
      <c r="L39" s="0" t="s">
        <v>174</v>
      </c>
      <c r="M39" s="16" t="s">
        <v>23</v>
      </c>
      <c r="N39" s="0" t="n">
        <v>955124</v>
      </c>
      <c r="P39" s="15" t="n">
        <f aca="false">IFERROR(LOOKUP(IF(O39="",E39,O39),{0,1,10,100,1000,5000,50000},{0,0.099,0.008,0.003,0.002,0.002,0.001}),"")</f>
        <v>0.099</v>
      </c>
      <c r="Q39" s="15" t="n">
        <f aca="false">IFERROR(IF(O39="",E39,O39)*P39,"")</f>
        <v>0.495</v>
      </c>
      <c r="R39" s="0" t="s">
        <v>175</v>
      </c>
      <c r="S39" s="16" t="s">
        <v>23</v>
      </c>
      <c r="T39" s="0" t="n">
        <v>3609</v>
      </c>
      <c r="V39" s="15" t="n">
        <f aca="false">IFERROR(LOOKUP(IF(U39="",E39,U39),{0,1,10,25,100,250,1000},{0,0.06,0.01,0.007,0.004,0.003,0.002}),"")</f>
        <v>0.06</v>
      </c>
      <c r="W39" s="15" t="n">
        <f aca="false">IFERROR(IF(U39="",E39,U39)*V39,"")</f>
        <v>0.3</v>
      </c>
      <c r="X39" s="0" t="s">
        <v>176</v>
      </c>
      <c r="Y39" s="16" t="s">
        <v>23</v>
      </c>
    </row>
    <row r="40" customFormat="false" ht="14.9" hidden="false" customHeight="false" outlineLevel="0" collapsed="false">
      <c r="A40" s="0" t="s">
        <v>177</v>
      </c>
      <c r="B40" s="0" t="s">
        <v>178</v>
      </c>
      <c r="D40" s="0" t="s">
        <v>179</v>
      </c>
      <c r="E40" s="0" t="n">
        <f aca="false">BoardQty*1</f>
        <v>5</v>
      </c>
      <c r="F40" s="15" t="n">
        <f aca="true">MINA(INDIRECT(ADDRESS(ROW(),COLUMN(newark_part_data)+2)),INDIRECT(ADDRESS(ROW(),COLUMN(digikey_part_data)+2)),INDIRECT(ADDRESS(ROW(),COLUMN(mouser_part_data)+2)))</f>
        <v>0.197</v>
      </c>
      <c r="G40" s="15" t="n">
        <f aca="false">IFERROR(E40*F40,"")</f>
        <v>0.985</v>
      </c>
      <c r="H40" s="0" t="n">
        <v>76024</v>
      </c>
      <c r="J40" s="15" t="n">
        <f aca="false">IFERROR(LOOKUP(IF(I40="",E40,I40),{0,1,10,50,100,250,500,1000,4000,8000,12000,28000,100000},{0,0.2,0.135,0.081,0.0684,0.0558,0.0468,0.0414,0.036,0.0342,0.0324,0.0306,0.0243}),"")</f>
        <v>0.2</v>
      </c>
      <c r="K40" s="15" t="n">
        <f aca="false">IFERROR(IF(I40="",E40,I40)*J40,"")</f>
        <v>1</v>
      </c>
      <c r="L40" s="0" t="s">
        <v>180</v>
      </c>
      <c r="M40" s="16" t="s">
        <v>23</v>
      </c>
      <c r="N40" s="0" t="n">
        <v>12656</v>
      </c>
      <c r="P40" s="15" t="n">
        <f aca="false">IFERROR(LOOKUP(IF(O40="",E40,O40),{0,1,10,100,500,1000,4000},{0,0.197,0.08,0.055,0.046,0.04,0.036}),"")</f>
        <v>0.197</v>
      </c>
      <c r="Q40" s="15" t="n">
        <f aca="false">IFERROR(IF(O40="",E40,O40)*P40,"")</f>
        <v>0.985</v>
      </c>
      <c r="R40" s="0" t="s">
        <v>181</v>
      </c>
      <c r="S40" s="16" t="s">
        <v>23</v>
      </c>
      <c r="T40" s="0" t="n">
        <v>3436</v>
      </c>
      <c r="V40" s="15" t="n">
        <f aca="false">IFERROR(LOOKUP(IF(U40="",E40,U40),{0,1,10,50,100,250,500,1000},{0,0.334,0.28,0.167,0.147,0.112,0.097,0.082}),"")</f>
        <v>0.334</v>
      </c>
      <c r="W40" s="15" t="n">
        <f aca="false">IFERROR(IF(U40="",E40,U40)*V40,"")</f>
        <v>1.67</v>
      </c>
      <c r="X40" s="0" t="s">
        <v>182</v>
      </c>
      <c r="Y40" s="16" t="s">
        <v>23</v>
      </c>
    </row>
    <row r="41" customFormat="false" ht="14.9" hidden="false" customHeight="false" outlineLevel="0" collapsed="false">
      <c r="A41" s="0" t="s">
        <v>183</v>
      </c>
      <c r="B41" s="0" t="s">
        <v>184</v>
      </c>
      <c r="D41" s="0" t="s">
        <v>185</v>
      </c>
      <c r="E41" s="0" t="n">
        <f aca="false">BoardQty*1</f>
        <v>5</v>
      </c>
      <c r="F41" s="15" t="n">
        <f aca="true">MINA(INDIRECT(ADDRESS(ROW(),COLUMN(newark_part_data)+2)),INDIRECT(ADDRESS(ROW(),COLUMN(digikey_part_data)+2)),INDIRECT(ADDRESS(ROW(),COLUMN(mouser_part_data)+2)))</f>
        <v>1.07</v>
      </c>
      <c r="G41" s="15" t="n">
        <f aca="false">IFERROR(E41*F41,"")</f>
        <v>5.35</v>
      </c>
      <c r="H41" s="0" t="n">
        <v>19504</v>
      </c>
      <c r="J41" s="15" t="n">
        <f aca="false">IFERROR(LOOKUP(IF(I41="",E41,I41),{0,1,10,25,50,100,400,800,1200,2000,4000,10000,20000,40000},{0,1.07,0.895,0.7712,0.7236,0.5712,0.39985,0.31416,0.29512,0.27608,0.2618,0.25228,0.24809,0.24276}),"")</f>
        <v>1.07</v>
      </c>
      <c r="K41" s="15" t="n">
        <f aca="false">IFERROR(IF(I41="",E41,I41)*J41,"")</f>
        <v>5.35</v>
      </c>
      <c r="L41" s="0" t="s">
        <v>186</v>
      </c>
      <c r="M41" s="16" t="s">
        <v>23</v>
      </c>
      <c r="N41" s="0" t="n">
        <v>2783</v>
      </c>
      <c r="P41" s="15" t="n">
        <f aca="false">IFERROR(LOOKUP(IF(O41="",E41,O41),{0,1,10,100,400,800,2400,4800,10000,24800},{0,1.07,0.72,0.569,0.398,0.275,0.261,0.256,0.247,0.246}),"")</f>
        <v>1.07</v>
      </c>
      <c r="Q41" s="15" t="n">
        <f aca="false">IFERROR(IF(O41="",E41,O41)*P41,"")</f>
        <v>5.35</v>
      </c>
      <c r="R41" s="0" t="s">
        <v>187</v>
      </c>
      <c r="S41" s="16" t="s">
        <v>23</v>
      </c>
      <c r="T41" s="0" t="n">
        <v>759</v>
      </c>
      <c r="V41" s="15" t="n">
        <f aca="false">IFERROR(LOOKUP(IF(U41="",E41,U41),{0,1,10,25,50,100,250},{0,1.32,1.11,0.952,0.893,0.705,0.543}),"")</f>
        <v>1.32</v>
      </c>
      <c r="W41" s="15" t="n">
        <f aca="false">IFERROR(IF(U41="",E41,U41)*V41,"")</f>
        <v>6.6</v>
      </c>
      <c r="X41" s="0" t="s">
        <v>188</v>
      </c>
      <c r="Y41" s="16" t="s">
        <v>23</v>
      </c>
    </row>
    <row r="42" customFormat="false" ht="13.8" hidden="false" customHeight="false" outlineLevel="0" collapsed="false">
      <c r="A42" s="0" t="s">
        <v>189</v>
      </c>
      <c r="B42" s="0" t="s">
        <v>190</v>
      </c>
      <c r="E42" s="0" t="n">
        <f aca="false">BoardQty*1</f>
        <v>5</v>
      </c>
      <c r="F42" s="15" t="n">
        <f aca="true">MINA(INDIRECT(ADDRESS(ROW(),COLUMN(newark_part_data)+2)),INDIRECT(ADDRESS(ROW(),COLUMN(digikey_part_data)+2)),INDIRECT(ADDRESS(ROW(),COLUMN(mouser_part_data)+2)))</f>
        <v>0</v>
      </c>
      <c r="G42" s="15" t="n">
        <f aca="false">IFERROR(E42*F42,"")</f>
        <v>0</v>
      </c>
    </row>
    <row r="43" customFormat="false" ht="14.9" hidden="false" customHeight="false" outlineLevel="0" collapsed="false">
      <c r="A43" s="0" t="s">
        <v>191</v>
      </c>
      <c r="B43" s="0" t="s">
        <v>192</v>
      </c>
      <c r="D43" s="0" t="s">
        <v>193</v>
      </c>
      <c r="E43" s="0" t="n">
        <f aca="false">BoardQty*1</f>
        <v>5</v>
      </c>
      <c r="F43" s="15" t="n">
        <f aca="true">MINA(INDIRECT(ADDRESS(ROW(),COLUMN(newark_part_data)+2)),INDIRECT(ADDRESS(ROW(),COLUMN(digikey_part_data)+2)),INDIRECT(ADDRESS(ROW(),COLUMN(mouser_part_data)+2)))</f>
        <v>0.379</v>
      </c>
      <c r="G43" s="15" t="n">
        <f aca="false">IFERROR(E43*F43,"")</f>
        <v>1.895</v>
      </c>
      <c r="H43" s="0" t="n">
        <v>10550</v>
      </c>
      <c r="J43" s="15" t="n">
        <f aca="false">IFERROR(LOOKUP(IF(I43="",E43,I43),{0,1,10,25,100,250,500,1000,2000,6000,10000,50000,100000},{0,0.41,0.297,0.2276,0.1485,0.10892,0.0924,0.0759,0.06,0.054,0.048,0.0405,0.039}),"")</f>
        <v>0.41</v>
      </c>
      <c r="K43" s="15" t="n">
        <f aca="false">IFERROR(IF(I43="",E43,I43)*J43,"")</f>
        <v>2.05</v>
      </c>
      <c r="L43" s="0" t="s">
        <v>194</v>
      </c>
      <c r="M43" s="16" t="s">
        <v>23</v>
      </c>
      <c r="N43" s="0" t="n">
        <v>103</v>
      </c>
      <c r="P43" s="15" t="n">
        <f aca="false">IFERROR(LOOKUP(IF(O43="",E43,O43),{0,1,10,100,250,500,1000,2000,4000,10000},{0,0.379,0.269,0.158,0.111,0.096,0.075,0.06,0.053,0.048}),"")</f>
        <v>0.379</v>
      </c>
      <c r="Q43" s="15" t="n">
        <f aca="false">IFERROR(IF(O43="",E43,O43)*P43,"")</f>
        <v>1.895</v>
      </c>
      <c r="R43" s="0" t="s">
        <v>195</v>
      </c>
      <c r="S43" s="16" t="s">
        <v>23</v>
      </c>
    </row>
    <row r="44" customFormat="false" ht="14.9" hidden="false" customHeight="false" outlineLevel="0" collapsed="false">
      <c r="A44" s="0" t="s">
        <v>196</v>
      </c>
      <c r="B44" s="0" t="s">
        <v>197</v>
      </c>
      <c r="D44" s="0" t="s">
        <v>198</v>
      </c>
      <c r="E44" s="0" t="n">
        <f aca="false">BoardQty*1</f>
        <v>5</v>
      </c>
      <c r="F44" s="15" t="n">
        <f aca="true">MINA(INDIRECT(ADDRESS(ROW(),COLUMN(newark_part_data)+2)),INDIRECT(ADDRESS(ROW(),COLUMN(digikey_part_data)+2)),INDIRECT(ADDRESS(ROW(),COLUMN(mouser_part_data)+2)))</f>
        <v>0.076</v>
      </c>
      <c r="G44" s="15" t="n">
        <f aca="false">IFERROR(E44*F44,"")</f>
        <v>0.38</v>
      </c>
      <c r="H44" s="0" t="n">
        <v>35384</v>
      </c>
      <c r="J44" s="15" t="n">
        <f aca="false">IFERROR(LOOKUP(IF(I44="",E44,I44),{0,1,10,25,50,100,500,1000,4000,8000,12000,28000,100000},{0,0.1,0.048,0.034,0.0262,0.0221,0.01548,0.01206,0.00925,0.00844,0.00804,0.00764,0.00553}),"")</f>
        <v>0.1</v>
      </c>
      <c r="K44" s="15" t="n">
        <f aca="false">IFERROR(IF(I44="",E44,I44)*J44,"")</f>
        <v>0.5</v>
      </c>
      <c r="L44" s="0" t="s">
        <v>199</v>
      </c>
      <c r="M44" s="16" t="s">
        <v>23</v>
      </c>
      <c r="T44" s="0" t="n">
        <v>15316</v>
      </c>
      <c r="V44" s="15" t="n">
        <f aca="false">IFERROR(LOOKUP(IF(U44="",E44,U44),{0,1,10,50,100,250,500,1000},{0,0.076,0.033,0.023,0.014,0.012,0.01,0.008}),"")</f>
        <v>0.076</v>
      </c>
      <c r="W44" s="15" t="n">
        <f aca="false">IFERROR(IF(U44="",E44,U44)*V44,"")</f>
        <v>0.38</v>
      </c>
      <c r="X44" s="0" t="s">
        <v>200</v>
      </c>
      <c r="Y44" s="16" t="s">
        <v>23</v>
      </c>
    </row>
    <row r="45" customFormat="false" ht="14.9" hidden="false" customHeight="false" outlineLevel="0" collapsed="false">
      <c r="A45" s="0" t="s">
        <v>201</v>
      </c>
      <c r="B45" s="0" t="s">
        <v>202</v>
      </c>
      <c r="D45" s="0" t="s">
        <v>203</v>
      </c>
      <c r="E45" s="0" t="n">
        <f aca="false">BoardQty*13</f>
        <v>65</v>
      </c>
      <c r="F45" s="15" t="n">
        <f aca="true">MINA(INDIRECT(ADDRESS(ROW(),COLUMN(newark_part_data)+2)),INDIRECT(ADDRESS(ROW(),COLUMN(digikey_part_data)+2)),INDIRECT(ADDRESS(ROW(),COLUMN(mouser_part_data)+2)))</f>
        <v>0.1712</v>
      </c>
      <c r="G45" s="15" t="n">
        <f aca="false">IFERROR(E45*F45,"")</f>
        <v>11.128</v>
      </c>
      <c r="H45" s="0" t="n">
        <v>35257</v>
      </c>
      <c r="J45" s="15" t="n">
        <f aca="false">IFERROR(LOOKUP(IF(I45="",E45,I45),{0,1,10,25,50,100,250,500,1000,5000,10000,25000,50000,125000},{0,0.4,0.303,0.2304,0.1712,0.1273,0.10752,0.09216,0.07022,0.05686,0.05426,0.05199,0.05087,0.04988}),"")</f>
        <v>0.1712</v>
      </c>
      <c r="K45" s="15" t="n">
        <f aca="false">IFERROR(IF(I45="",E45,I45)*J45,"")</f>
        <v>11.128</v>
      </c>
      <c r="L45" s="0" t="s">
        <v>204</v>
      </c>
      <c r="M45" s="16" t="s">
        <v>23</v>
      </c>
      <c r="N45" s="0" t="n">
        <v>5254</v>
      </c>
      <c r="P45" s="15" t="n">
        <f aca="false">IFERROR(LOOKUP(IF(O45="",E45,O45),{0,1,10,100,1000,2000,5000,10000,25000,50000,100000},{0,0.529,0.205,0.102,0.074,0.056,0.056,0.053,0.051,0.05,0.049}),"")</f>
        <v>0.205</v>
      </c>
      <c r="Q45" s="15" t="n">
        <f aca="false">IFERROR(IF(O45="",E45,O45)*P45,"")</f>
        <v>13.325</v>
      </c>
      <c r="R45" s="0" t="s">
        <v>205</v>
      </c>
      <c r="S45" s="16" t="s">
        <v>23</v>
      </c>
      <c r="Y45" s="16" t="s">
        <v>23</v>
      </c>
    </row>
    <row r="46" customFormat="false" ht="14.9" hidden="false" customHeight="false" outlineLevel="0" collapsed="false">
      <c r="A46" s="0" t="s">
        <v>206</v>
      </c>
      <c r="B46" s="0" t="s">
        <v>207</v>
      </c>
      <c r="D46" s="0" t="s">
        <v>208</v>
      </c>
      <c r="E46" s="0" t="n">
        <f aca="false">BoardQty*1</f>
        <v>5</v>
      </c>
      <c r="F46" s="15" t="n">
        <f aca="true">MINA(INDIRECT(ADDRESS(ROW(),COLUMN(newark_part_data)+2)),INDIRECT(ADDRESS(ROW(),COLUMN(digikey_part_data)+2)),INDIRECT(ADDRESS(ROW(),COLUMN(mouser_part_data)+2)))</f>
        <v>0.099</v>
      </c>
      <c r="G46" s="15" t="n">
        <f aca="false">IFERROR(E46*F46,"")</f>
        <v>0.495</v>
      </c>
      <c r="H46" s="0" t="n">
        <v>2083197</v>
      </c>
      <c r="J46" s="15" t="n">
        <f aca="false">IFERROR(LOOKUP(IF(I46="",E46,I46),{0,1,10,50,100,250,500,1000,4000,8000,12000,28000,100000},{0,0.1,0.019,0.0104,0.0088,0.0072,0.00616,0.0048,0.00368,0.00336,0.0032,0.00304,0.0022}),"")</f>
        <v>0.1</v>
      </c>
      <c r="K46" s="15" t="n">
        <f aca="false">IFERROR(IF(I46="",E46,I46)*J46,"")</f>
        <v>0.5</v>
      </c>
      <c r="L46" s="0" t="s">
        <v>209</v>
      </c>
      <c r="M46" s="16" t="s">
        <v>23</v>
      </c>
      <c r="N46" s="0" t="n">
        <v>568447</v>
      </c>
      <c r="P46" s="15" t="n">
        <f aca="false">IFERROR(LOOKUP(IF(O46="",E46,O46),{0,1,10,100,500,1000,4000,24000},{0,0.099,0.012,0.008,0.007,0.005,0.004,0.003}),"")</f>
        <v>0.099</v>
      </c>
      <c r="Q46" s="15" t="n">
        <f aca="false">IFERROR(IF(O46="",E46,O46)*P46,"")</f>
        <v>0.495</v>
      </c>
      <c r="R46" s="0" t="s">
        <v>210</v>
      </c>
      <c r="S46" s="16" t="s">
        <v>23</v>
      </c>
      <c r="T46" s="0" t="n">
        <v>13006</v>
      </c>
      <c r="V46" s="15" t="n">
        <f aca="false">IFERROR(LOOKUP(IF(U46="",E46,U46),{0,1,10,25,50,100,250,1000},{0,0.1,0.024,0.015,0.012,0.01,0.009,0.006}),"")</f>
        <v>0.1</v>
      </c>
      <c r="W46" s="15" t="n">
        <f aca="false">IFERROR(IF(U46="",E46,U46)*V46,"")</f>
        <v>0.5</v>
      </c>
      <c r="X46" s="0" t="s">
        <v>211</v>
      </c>
      <c r="Y46" s="16" t="s">
        <v>23</v>
      </c>
    </row>
    <row r="47" customFormat="false" ht="14.9" hidden="false" customHeight="false" outlineLevel="0" collapsed="false">
      <c r="A47" s="0" t="s">
        <v>212</v>
      </c>
      <c r="B47" s="0" t="s">
        <v>213</v>
      </c>
      <c r="D47" s="0" t="s">
        <v>214</v>
      </c>
      <c r="E47" s="0" t="n">
        <f aca="false">BoardQty*1</f>
        <v>5</v>
      </c>
      <c r="F47" s="15" t="n">
        <f aca="true">MINA(INDIRECT(ADDRESS(ROW(),COLUMN(newark_part_data)+2)),INDIRECT(ADDRESS(ROW(),COLUMN(digikey_part_data)+2)),INDIRECT(ADDRESS(ROW(),COLUMN(mouser_part_data)+2)))</f>
        <v>0.621</v>
      </c>
      <c r="G47" s="15" t="n">
        <f aca="false">IFERROR(E47*F47,"")</f>
        <v>3.105</v>
      </c>
      <c r="H47" s="0" t="n">
        <v>80412</v>
      </c>
      <c r="J47" s="15" t="n">
        <f aca="false">IFERROR(LOOKUP(IF(I47="",E47,I47),{0,1,50,100,250,500,1000,5000,10000,25000,50000,125000},{0,0.63,0.2494,0.1924,0.14964,0.10546,0.07695,0.04275,0.0399,0.03791,0.03714,0.03634}),"")</f>
        <v>0.63</v>
      </c>
      <c r="K47" s="15" t="n">
        <f aca="false">IFERROR(IF(I47="",E47,I47)*J47,"")</f>
        <v>3.15</v>
      </c>
      <c r="L47" s="0" t="s">
        <v>215</v>
      </c>
      <c r="M47" s="16" t="s">
        <v>23</v>
      </c>
      <c r="N47" s="0" t="n">
        <v>18769</v>
      </c>
      <c r="P47" s="15" t="n">
        <f aca="false">IFERROR(LOOKUP(IF(O47="",E47,O47),{0,1,10,100,500,1000,5000,10000,25000},{0,0.621,0.245,0.147,0.104,0.075,0.041,0.038,0.037}),"")</f>
        <v>0.621</v>
      </c>
      <c r="Q47" s="15" t="n">
        <f aca="false">IFERROR(IF(O47="",E47,O47)*P47,"")</f>
        <v>3.105</v>
      </c>
      <c r="R47" s="0" t="s">
        <v>216</v>
      </c>
      <c r="S47" s="16" t="s">
        <v>23</v>
      </c>
      <c r="T47" s="0" t="n">
        <v>2323</v>
      </c>
      <c r="V47" s="15" t="n">
        <f aca="false">IFERROR(LOOKUP(IF(U47="",E47,U47),{0,1,50,100,250,500,1000},{0,0.631,0.249,0.192,0.149,0.105,0.077}),"")</f>
        <v>0.631</v>
      </c>
      <c r="W47" s="15" t="n">
        <f aca="false">IFERROR(IF(U47="",E47,U47)*V47,"")</f>
        <v>3.155</v>
      </c>
      <c r="X47" s="0" t="s">
        <v>217</v>
      </c>
      <c r="Y47" s="16" t="s">
        <v>23</v>
      </c>
    </row>
    <row r="48" customFormat="false" ht="13.8" hidden="false" customHeight="false" outlineLevel="0" collapsed="false">
      <c r="A48" s="0" t="s">
        <v>218</v>
      </c>
      <c r="B48" s="0" t="s">
        <v>219</v>
      </c>
      <c r="E48" s="0" t="n">
        <f aca="false">BoardQty*1</f>
        <v>5</v>
      </c>
      <c r="F48" s="15" t="n">
        <f aca="true">MINA(INDIRECT(ADDRESS(ROW(),COLUMN(newark_part_data)+2)),INDIRECT(ADDRESS(ROW(),COLUMN(digikey_part_data)+2)),INDIRECT(ADDRESS(ROW(),COLUMN(mouser_part_data)+2)))</f>
        <v>0</v>
      </c>
      <c r="G48" s="15" t="n">
        <f aca="false">IFERROR(E48*F48,"")</f>
        <v>0</v>
      </c>
    </row>
    <row r="49" customFormat="false" ht="14.9" hidden="false" customHeight="false" outlineLevel="0" collapsed="false">
      <c r="A49" s="0" t="s">
        <v>220</v>
      </c>
      <c r="B49" s="0" t="s">
        <v>221</v>
      </c>
      <c r="D49" s="0" t="s">
        <v>222</v>
      </c>
      <c r="E49" s="0" t="n">
        <f aca="false">BoardQty*1</f>
        <v>5</v>
      </c>
      <c r="F49" s="15" t="n">
        <f aca="true">MINA(INDIRECT(ADDRESS(ROW(),COLUMN(newark_part_data)+2)),INDIRECT(ADDRESS(ROW(),COLUMN(digikey_part_data)+2)),INDIRECT(ADDRESS(ROW(),COLUMN(mouser_part_data)+2)))</f>
        <v>0.06</v>
      </c>
      <c r="G49" s="15" t="n">
        <f aca="false">IFERROR(E49*F49,"")</f>
        <v>0.3</v>
      </c>
      <c r="H49" s="0" t="n">
        <v>2402083</v>
      </c>
      <c r="J49" s="15" t="n">
        <f aca="false">IFERROR(LOOKUP(IF(I49="",E49,I49),{0,1,10,25,100,250,500,1000,2500,5000,10000,25000,50000,125000},{0,0.1,0.011,0.008,0.0044,0.00336,0.0027,0.00198,0.00172,0.00129,0.00112,0.00099,0.0009,0.00089}),"")</f>
        <v>0.1</v>
      </c>
      <c r="K49" s="15" t="n">
        <f aca="false">IFERROR(IF(I49="",E49,I49)*J49,"")</f>
        <v>0.5</v>
      </c>
      <c r="L49" s="0" t="s">
        <v>223</v>
      </c>
      <c r="M49" s="16" t="s">
        <v>23</v>
      </c>
      <c r="N49" s="0" t="n">
        <v>175883</v>
      </c>
      <c r="P49" s="15" t="n">
        <f aca="false">IFERROR(LOOKUP(IF(O49="",E49,O49),{0,1,10,100,1000,5000,50000},{0,0.099,0.008,0.003,0.002,0.002,0.001}),"")</f>
        <v>0.099</v>
      </c>
      <c r="Q49" s="15" t="n">
        <f aca="false">IFERROR(IF(O49="",E49,O49)*P49,"")</f>
        <v>0.495</v>
      </c>
      <c r="R49" s="0" t="s">
        <v>224</v>
      </c>
      <c r="S49" s="16" t="s">
        <v>23</v>
      </c>
      <c r="T49" s="0" t="n">
        <v>973</v>
      </c>
      <c r="V49" s="15" t="n">
        <f aca="false">IFERROR(LOOKUP(IF(U49="",E49,U49),{0,1,10,25,100,250,1000},{0,0.06,0.01,0.007,0.004,0.003,0.002}),"")</f>
        <v>0.06</v>
      </c>
      <c r="W49" s="15" t="n">
        <f aca="false">IFERROR(IF(U49="",E49,U49)*V49,"")</f>
        <v>0.3</v>
      </c>
      <c r="X49" s="0" t="s">
        <v>225</v>
      </c>
      <c r="Y49" s="16" t="s">
        <v>23</v>
      </c>
    </row>
    <row r="50" customFormat="false" ht="14.9" hidden="false" customHeight="false" outlineLevel="0" collapsed="false">
      <c r="A50" s="0" t="s">
        <v>226</v>
      </c>
      <c r="B50" s="0" t="s">
        <v>221</v>
      </c>
      <c r="D50" s="0" t="s">
        <v>222</v>
      </c>
      <c r="E50" s="0" t="n">
        <f aca="false">BoardQty*2</f>
        <v>10</v>
      </c>
      <c r="F50" s="15" t="n">
        <f aca="true">MINA(INDIRECT(ADDRESS(ROW(),COLUMN(newark_part_data)+2)),INDIRECT(ADDRESS(ROW(),COLUMN(digikey_part_data)+2)),INDIRECT(ADDRESS(ROW(),COLUMN(mouser_part_data)+2)))</f>
        <v>0.008</v>
      </c>
      <c r="G50" s="15" t="n">
        <f aca="false">IFERROR(E50*F50,"")</f>
        <v>0.08</v>
      </c>
      <c r="H50" s="0" t="n">
        <v>2402083</v>
      </c>
      <c r="J50" s="15" t="n">
        <f aca="false">IFERROR(LOOKUP(IF(I50="",E50,I50),{0,1,10,25,100,250,500,1000,2500,5000,10000,25000,50000,125000},{0,0.1,0.011,0.008,0.0044,0.00336,0.0027,0.00198,0.00172,0.00129,0.00112,0.00099,0.0009,0.00089}),"")</f>
        <v>0.011</v>
      </c>
      <c r="K50" s="15" t="n">
        <f aca="false">IFERROR(IF(I50="",E50,I50)*J50,"")</f>
        <v>0.11</v>
      </c>
      <c r="L50" s="0" t="s">
        <v>223</v>
      </c>
      <c r="M50" s="16" t="s">
        <v>23</v>
      </c>
      <c r="N50" s="0" t="n">
        <v>175883</v>
      </c>
      <c r="P50" s="15" t="n">
        <f aca="false">IFERROR(LOOKUP(IF(O50="",E50,O50),{0,1,10,100,1000,5000,50000},{0,0.099,0.008,0.003,0.002,0.002,0.001}),"")</f>
        <v>0.008</v>
      </c>
      <c r="Q50" s="15" t="n">
        <f aca="false">IFERROR(IF(O50="",E50,O50)*P50,"")</f>
        <v>0.08</v>
      </c>
      <c r="R50" s="0" t="s">
        <v>224</v>
      </c>
      <c r="S50" s="16" t="s">
        <v>23</v>
      </c>
      <c r="T50" s="0" t="n">
        <v>973</v>
      </c>
      <c r="V50" s="15" t="n">
        <f aca="false">IFERROR(LOOKUP(IF(U50="",E50,U50),{0,1,10,25,100,250,1000},{0,0.06,0.01,0.007,0.004,0.003,0.002}),"")</f>
        <v>0.01</v>
      </c>
      <c r="W50" s="15" t="n">
        <f aca="false">IFERROR(IF(U50="",E50,U50)*V50,"")</f>
        <v>0.1</v>
      </c>
      <c r="X50" s="0" t="s">
        <v>225</v>
      </c>
      <c r="Y50" s="16" t="s">
        <v>23</v>
      </c>
    </row>
    <row r="51" customFormat="false" ht="14.9" hidden="false" customHeight="false" outlineLevel="0" collapsed="false">
      <c r="A51" s="0" t="s">
        <v>227</v>
      </c>
      <c r="B51" s="0" t="s">
        <v>228</v>
      </c>
      <c r="D51" s="0" t="s">
        <v>228</v>
      </c>
      <c r="E51" s="0" t="n">
        <f aca="false">BoardQty*1</f>
        <v>5</v>
      </c>
      <c r="F51" s="15" t="n">
        <f aca="true">MINA(INDIRECT(ADDRESS(ROW(),COLUMN(newark_part_data)+2)),INDIRECT(ADDRESS(ROW(),COLUMN(digikey_part_data)+2)),INDIRECT(ADDRESS(ROW(),COLUMN(mouser_part_data)+2)))</f>
        <v>0.389</v>
      </c>
      <c r="G51" s="15" t="n">
        <f aca="false">IFERROR(E51*F51,"")</f>
        <v>1.945</v>
      </c>
      <c r="H51" s="0" t="n">
        <v>40940</v>
      </c>
      <c r="J51" s="15" t="n">
        <f aca="false">IFERROR(LOOKUP(IF(I51="",E51,I51),{0,1,10,100,500,1000,3000,6000,15000,30000,75000,150000},{0,0.5,0.426,0.3179,0.2497,0.1925,0.1705,0.1595,0.1485,0.1408,0.1375,0.132}),"")</f>
        <v>0.5</v>
      </c>
      <c r="K51" s="15" t="n">
        <f aca="false">IFERROR(IF(I51="",E51,I51)*J51,"")</f>
        <v>2.5</v>
      </c>
      <c r="L51" s="0" t="s">
        <v>229</v>
      </c>
      <c r="M51" s="16" t="s">
        <v>23</v>
      </c>
      <c r="N51" s="0" t="n">
        <v>9343</v>
      </c>
      <c r="P51" s="15" t="n">
        <f aca="false">IFERROR(LOOKUP(IF(O51="",E51,O51),{0,1,10,100,500,1000,3000,9000,24000},{0,0.818,0.703,0.541,0.477,0.377,0.334,0.322,0.319}),"")</f>
        <v>0.818</v>
      </c>
      <c r="Q51" s="15" t="n">
        <f aca="false">IFERROR(IF(O51="",E51,O51)*P51,"")</f>
        <v>4.09</v>
      </c>
      <c r="R51" s="0" t="s">
        <v>230</v>
      </c>
      <c r="S51" s="16" t="s">
        <v>23</v>
      </c>
      <c r="T51" s="0" t="n">
        <v>6434</v>
      </c>
      <c r="V51" s="15" t="n">
        <f aca="false">IFERROR(LOOKUP(IF(U51="",E51,U51),{0,1,10,100,250,500,1000},{0,0.389,0.338,0.27,0.235,0.197,0.163}),"")</f>
        <v>0.389</v>
      </c>
      <c r="W51" s="15" t="n">
        <f aca="false">IFERROR(IF(U51="",E51,U51)*V51,"")</f>
        <v>1.945</v>
      </c>
      <c r="X51" s="0" t="s">
        <v>231</v>
      </c>
      <c r="Y51" s="16" t="s">
        <v>23</v>
      </c>
    </row>
    <row r="52" customFormat="false" ht="14.9" hidden="false" customHeight="false" outlineLevel="0" collapsed="false">
      <c r="A52" s="0" t="s">
        <v>232</v>
      </c>
      <c r="B52" s="0" t="s">
        <v>233</v>
      </c>
      <c r="D52" s="0" t="s">
        <v>234</v>
      </c>
      <c r="E52" s="0" t="n">
        <f aca="false">BoardQty*1</f>
        <v>5</v>
      </c>
      <c r="F52" s="15" t="n">
        <f aca="true">MINA(INDIRECT(ADDRESS(ROW(),COLUMN(newark_part_data)+2)),INDIRECT(ADDRESS(ROW(),COLUMN(digikey_part_data)+2)),INDIRECT(ADDRESS(ROW(),COLUMN(mouser_part_data)+2)))</f>
        <v>0.099</v>
      </c>
      <c r="G52" s="15" t="n">
        <f aca="false">IFERROR(E52*F52,"")</f>
        <v>0.495</v>
      </c>
      <c r="H52" s="0" t="n">
        <v>612831</v>
      </c>
      <c r="J52" s="15" t="n">
        <f aca="false">IFERROR(LOOKUP(IF(I52="",E52,I52),{0,1,10,50,100,250,500,1000,5000,15000,30000,75000,105000},{0,0.1,0.014,0.0078,0.0066,0.0054,0.00462,0.0036,0.003,0.0024,0.00228,0.00204,0.00165}),"")</f>
        <v>0.1</v>
      </c>
      <c r="K52" s="15" t="n">
        <f aca="false">IFERROR(IF(I52="",E52,I52)*J52,"")</f>
        <v>0.5</v>
      </c>
      <c r="L52" s="0" t="s">
        <v>235</v>
      </c>
      <c r="M52" s="16" t="s">
        <v>23</v>
      </c>
      <c r="N52" s="0" t="n">
        <v>80327</v>
      </c>
      <c r="P52" s="15" t="n">
        <f aca="false">IFERROR(LOOKUP(IF(O52="",E52,O52),{0,1,10,100,500,1000,15000},{0,0.099,0.007,0.005,0.004,0.003,0.003}),"")</f>
        <v>0.099</v>
      </c>
      <c r="Q52" s="15" t="n">
        <f aca="false">IFERROR(IF(O52="",E52,O52)*P52,"")</f>
        <v>0.495</v>
      </c>
      <c r="R52" s="0" t="s">
        <v>236</v>
      </c>
      <c r="S52" s="16" t="s">
        <v>23</v>
      </c>
      <c r="Y52" s="16" t="s">
        <v>23</v>
      </c>
    </row>
    <row r="53" customFormat="false" ht="14.9" hidden="false" customHeight="false" outlineLevel="0" collapsed="false">
      <c r="A53" s="0" t="s">
        <v>237</v>
      </c>
      <c r="B53" s="0" t="s">
        <v>74</v>
      </c>
      <c r="D53" s="0" t="s">
        <v>238</v>
      </c>
      <c r="E53" s="0" t="n">
        <f aca="false">BoardQty*1</f>
        <v>5</v>
      </c>
      <c r="F53" s="15" t="n">
        <f aca="true">MINA(INDIRECT(ADDRESS(ROW(),COLUMN(newark_part_data)+2)),INDIRECT(ADDRESS(ROW(),COLUMN(digikey_part_data)+2)),INDIRECT(ADDRESS(ROW(),COLUMN(mouser_part_data)+2)))</f>
        <v>0.088</v>
      </c>
      <c r="G53" s="15" t="n">
        <f aca="false">IFERROR(E53*F53,"")</f>
        <v>0.44</v>
      </c>
      <c r="H53" s="0" t="n">
        <v>195867</v>
      </c>
      <c r="J53" s="15" t="n">
        <f aca="false">IFERROR(LOOKUP(IF(I53="",E53,I53),{0,1,50,100,250,500,1000,5000,10000,25000,50000,125000},{0,0.1,0.0212,0.0156,0.01188,0.0095,0.007,0.00456,0.00396,0.00348,0.00319,0.00313}),"")</f>
        <v>0.1</v>
      </c>
      <c r="K53" s="15" t="n">
        <f aca="false">IFERROR(IF(I53="",E53,I53)*J53,"")</f>
        <v>0.5</v>
      </c>
      <c r="L53" s="0" t="s">
        <v>239</v>
      </c>
      <c r="M53" s="16" t="s">
        <v>23</v>
      </c>
      <c r="N53" s="0" t="n">
        <v>70336</v>
      </c>
      <c r="P53" s="15" t="n">
        <f aca="false">IFERROR(LOOKUP(IF(O53="",E53,O53),{0,1,10,100,1000,5000,10000},{0,0.099,0.021,0.009,0.007,0.004,0.003}),"")</f>
        <v>0.099</v>
      </c>
      <c r="Q53" s="15" t="n">
        <f aca="false">IFERROR(IF(O53="",E53,O53)*P53,"")</f>
        <v>0.495</v>
      </c>
      <c r="R53" s="0" t="s">
        <v>240</v>
      </c>
      <c r="S53" s="16" t="s">
        <v>23</v>
      </c>
      <c r="T53" s="0" t="n">
        <v>25699</v>
      </c>
      <c r="V53" s="15" t="n">
        <f aca="false">IFERROR(LOOKUP(IF(U53="",E53,U53),{0,1,50,100,250,500,1000,2500},{0,0.088,0.025,0.019,0.014,0.011,0.007,0.006}),"")</f>
        <v>0.088</v>
      </c>
      <c r="W53" s="15" t="n">
        <f aca="false">IFERROR(IF(U53="",E53,U53)*V53,"")</f>
        <v>0.44</v>
      </c>
      <c r="X53" s="0" t="s">
        <v>241</v>
      </c>
      <c r="Y53" s="16" t="s">
        <v>23</v>
      </c>
    </row>
    <row r="54" customFormat="false" ht="14.9" hidden="false" customHeight="false" outlineLevel="0" collapsed="false">
      <c r="A54" s="0" t="s">
        <v>242</v>
      </c>
      <c r="B54" s="0" t="s">
        <v>243</v>
      </c>
      <c r="D54" s="0" t="s">
        <v>244</v>
      </c>
      <c r="E54" s="0" t="n">
        <f aca="false">BoardQty*1</f>
        <v>5</v>
      </c>
      <c r="F54" s="15" t="n">
        <f aca="true">MINA(INDIRECT(ADDRESS(ROW(),COLUMN(newark_part_data)+2)),INDIRECT(ADDRESS(ROW(),COLUMN(digikey_part_data)+2)),INDIRECT(ADDRESS(ROW(),COLUMN(mouser_part_data)+2)))</f>
        <v>0.099</v>
      </c>
      <c r="G54" s="15" t="n">
        <f aca="false">IFERROR(E54*F54,"")</f>
        <v>0.495</v>
      </c>
      <c r="H54" s="0" t="n">
        <v>5504340</v>
      </c>
      <c r="J54" s="15" t="n">
        <f aca="false">IFERROR(LOOKUP(IF(I54="",E54,I54),{0,1,10,25,100,250,500,1000,2500,5000,10000,25000,50000,125000},{0,0.1,0.011,0.008,0.0044,0.00336,0.0027,0.00198,0.00172,0.00129,0.00112,0.00099,0.0009,0.00089}),"")</f>
        <v>0.1</v>
      </c>
      <c r="K54" s="15" t="n">
        <f aca="false">IFERROR(IF(I54="",E54,I54)*J54,"")</f>
        <v>0.5</v>
      </c>
      <c r="L54" s="0" t="s">
        <v>245</v>
      </c>
      <c r="M54" s="16" t="s">
        <v>23</v>
      </c>
      <c r="N54" s="0" t="n">
        <v>825062</v>
      </c>
      <c r="P54" s="15" t="n">
        <f aca="false">IFERROR(LOOKUP(IF(O54="",E54,O54),{0,1,10,100,1000,5000,50000},{0,0.099,0.008,0.003,0.002,0.002,0.001}),"")</f>
        <v>0.099</v>
      </c>
      <c r="Q54" s="15" t="n">
        <f aca="false">IFERROR(IF(O54="",E54,O54)*P54,"")</f>
        <v>0.495</v>
      </c>
      <c r="R54" s="0" t="s">
        <v>246</v>
      </c>
      <c r="S54" s="16" t="s">
        <v>23</v>
      </c>
      <c r="Y54" s="16" t="s">
        <v>23</v>
      </c>
    </row>
    <row r="55" customFormat="false" ht="14.9" hidden="false" customHeight="false" outlineLevel="0" collapsed="false">
      <c r="A55" s="0" t="s">
        <v>247</v>
      </c>
      <c r="B55" s="0" t="s">
        <v>243</v>
      </c>
      <c r="D55" s="0" t="s">
        <v>244</v>
      </c>
      <c r="E55" s="0" t="n">
        <f aca="false">BoardQty*4</f>
        <v>20</v>
      </c>
      <c r="F55" s="15" t="n">
        <f aca="true">MINA(INDIRECT(ADDRESS(ROW(),COLUMN(newark_part_data)+2)),INDIRECT(ADDRESS(ROW(),COLUMN(digikey_part_data)+2)),INDIRECT(ADDRESS(ROW(),COLUMN(mouser_part_data)+2)))</f>
        <v>0.008</v>
      </c>
      <c r="G55" s="15" t="n">
        <f aca="false">IFERROR(E55*F55,"")</f>
        <v>0.16</v>
      </c>
      <c r="H55" s="0" t="n">
        <v>5504340</v>
      </c>
      <c r="J55" s="15" t="n">
        <f aca="false">IFERROR(LOOKUP(IF(I55="",E55,I55),{0,1,10,25,100,250,500,1000,2500,5000,10000,25000,50000,125000},{0,0.1,0.011,0.008,0.0044,0.00336,0.0027,0.00198,0.00172,0.00129,0.00112,0.00099,0.0009,0.00089}),"")</f>
        <v>0.011</v>
      </c>
      <c r="K55" s="15" t="n">
        <f aca="false">IFERROR(IF(I55="",E55,I55)*J55,"")</f>
        <v>0.22</v>
      </c>
      <c r="L55" s="0" t="s">
        <v>245</v>
      </c>
      <c r="M55" s="16" t="s">
        <v>23</v>
      </c>
      <c r="N55" s="0" t="n">
        <v>825062</v>
      </c>
      <c r="P55" s="15" t="n">
        <f aca="false">IFERROR(LOOKUP(IF(O55="",E55,O55),{0,1,10,100,1000,5000,50000},{0,0.099,0.008,0.003,0.002,0.002,0.001}),"")</f>
        <v>0.008</v>
      </c>
      <c r="Q55" s="15" t="n">
        <f aca="false">IFERROR(IF(O55="",E55,O55)*P55,"")</f>
        <v>0.16</v>
      </c>
      <c r="R55" s="0" t="s">
        <v>246</v>
      </c>
      <c r="S55" s="16" t="s">
        <v>23</v>
      </c>
      <c r="Y55" s="16" t="s">
        <v>23</v>
      </c>
    </row>
    <row r="56" customFormat="false" ht="14.9" hidden="false" customHeight="false" outlineLevel="0" collapsed="false">
      <c r="A56" s="0" t="s">
        <v>248</v>
      </c>
      <c r="B56" s="0" t="s">
        <v>249</v>
      </c>
      <c r="D56" s="0" t="s">
        <v>250</v>
      </c>
      <c r="E56" s="0" t="n">
        <f aca="false">BoardQty*1</f>
        <v>5</v>
      </c>
      <c r="F56" s="15" t="n">
        <f aca="true">MINA(INDIRECT(ADDRESS(ROW(),COLUMN(newark_part_data)+2)),INDIRECT(ADDRESS(ROW(),COLUMN(digikey_part_data)+2)),INDIRECT(ADDRESS(ROW(),COLUMN(mouser_part_data)+2)))</f>
        <v>0.259</v>
      </c>
      <c r="G56" s="15" t="n">
        <f aca="false">IFERROR(E56*F56,"")</f>
        <v>1.295</v>
      </c>
      <c r="H56" s="0" t="n">
        <v>25071</v>
      </c>
      <c r="J56" s="15" t="n">
        <f aca="false">IFERROR(LOOKUP(IF(I56="",E56,I56),{0,1,10,25,50,100,250,500,1200,6000},{0,0.3,0.288,0.2784,0.2684,0.2535,0.23856,0.22862,0.15814,0.13103}),"")</f>
        <v>0.3</v>
      </c>
      <c r="K56" s="15" t="n">
        <f aca="false">IFERROR(IF(I56="",E56,I56)*J56,"")</f>
        <v>1.5</v>
      </c>
      <c r="L56" s="0" t="s">
        <v>251</v>
      </c>
      <c r="M56" s="16" t="s">
        <v>23</v>
      </c>
      <c r="N56" s="0" t="n">
        <v>10173</v>
      </c>
      <c r="P56" s="15" t="n">
        <f aca="false">IFERROR(LOOKUP(IF(O56="",E56,O56),{0,1,10,25,50,100,250,500,1200,2400},{0,0.259,0.246,0.221,0.196,0.189,0.172,0.164,0.135,0.122}),"")</f>
        <v>0.259</v>
      </c>
      <c r="Q56" s="15" t="n">
        <f aca="false">IFERROR(IF(O56="",E56,O56)*P56,"")</f>
        <v>1.295</v>
      </c>
      <c r="R56" s="0" t="s">
        <v>252</v>
      </c>
      <c r="S56" s="16" t="s">
        <v>23</v>
      </c>
      <c r="Y56" s="16" t="s">
        <v>23</v>
      </c>
    </row>
    <row r="57" customFormat="false" ht="14.9" hidden="false" customHeight="false" outlineLevel="0" collapsed="false">
      <c r="A57" s="0" t="s">
        <v>253</v>
      </c>
      <c r="B57" s="0" t="s">
        <v>125</v>
      </c>
      <c r="D57" s="0" t="s">
        <v>126</v>
      </c>
      <c r="E57" s="0" t="n">
        <f aca="false">BoardQty*2</f>
        <v>10</v>
      </c>
      <c r="F57" s="15" t="n">
        <f aca="true">MINA(INDIRECT(ADDRESS(ROW(),COLUMN(newark_part_data)+2)),INDIRECT(ADDRESS(ROW(),COLUMN(digikey_part_data)+2)),INDIRECT(ADDRESS(ROW(),COLUMN(mouser_part_data)+2)))</f>
        <v>0.036</v>
      </c>
      <c r="G57" s="15" t="n">
        <f aca="false">IFERROR(E57*F57,"")</f>
        <v>0.36</v>
      </c>
      <c r="H57" s="0" t="n">
        <v>1808</v>
      </c>
      <c r="J57" s="15" t="n">
        <f aca="false">IFERROR(LOOKUP(IF(I57="",E57,I57),{0,1,10,50,100,250,500,1000,4000,8000,12000,28000,100000},{0,0.1,0.048,0.026,0.022,0.018,0.0154,0.012,0.0092,0.0084,0.008,0.0076,0.0055}),"")</f>
        <v>0.048</v>
      </c>
      <c r="K57" s="15" t="n">
        <f aca="false">IFERROR(IF(I57="",E57,I57)*J57,"")</f>
        <v>0.48</v>
      </c>
      <c r="L57" s="0" t="s">
        <v>127</v>
      </c>
      <c r="M57" s="16" t="s">
        <v>23</v>
      </c>
      <c r="N57" s="0" t="n">
        <v>14783</v>
      </c>
      <c r="P57" s="15" t="n">
        <f aca="false">IFERROR(LOOKUP(IF(O57="",E57,O57),{0,1,10,100,500,1000,4000,8000,48000},{0,0.099,0.036,0.026,0.022,0.016,0.013,0.011,0.009}),"")</f>
        <v>0.036</v>
      </c>
      <c r="Q57" s="15" t="n">
        <f aca="false">IFERROR(IF(O57="",E57,O57)*P57,"")</f>
        <v>0.36</v>
      </c>
      <c r="R57" s="0" t="s">
        <v>128</v>
      </c>
      <c r="S57" s="16" t="s">
        <v>23</v>
      </c>
      <c r="Y57" s="16" t="s">
        <v>23</v>
      </c>
    </row>
    <row r="58" customFormat="false" ht="14.9" hidden="false" customHeight="false" outlineLevel="0" collapsed="false">
      <c r="A58" s="0" t="s">
        <v>254</v>
      </c>
      <c r="B58" s="0" t="s">
        <v>255</v>
      </c>
      <c r="D58" s="0" t="s">
        <v>256</v>
      </c>
      <c r="E58" s="0" t="n">
        <f aca="false">BoardQty*1</f>
        <v>5</v>
      </c>
      <c r="F58" s="15" t="n">
        <f aca="true">MINA(INDIRECT(ADDRESS(ROW(),COLUMN(newark_part_data)+2)),INDIRECT(ADDRESS(ROW(),COLUMN(digikey_part_data)+2)),INDIRECT(ADDRESS(ROW(),COLUMN(mouser_part_data)+2)))</f>
        <v>0.093</v>
      </c>
      <c r="G58" s="15" t="n">
        <f aca="false">IFERROR(E58*F58,"")</f>
        <v>0.465</v>
      </c>
      <c r="H58" s="0" t="n">
        <v>30689</v>
      </c>
      <c r="J58" s="15" t="n">
        <f aca="false">IFERROR(LOOKUP(IF(I58="",E58,I58),{0,1,50,100,250,500,1000,5000,10000,25000,50000,125000},{0,0.1,0.0114,0.0084,0.00644,0.00514,0.00379,0.00247,0.00215,0.00189,0.00173,0.00169}),"")</f>
        <v>0.1</v>
      </c>
      <c r="K58" s="15" t="n">
        <f aca="false">IFERROR(IF(I58="",E58,I58)*J58,"")</f>
        <v>0.5</v>
      </c>
      <c r="L58" s="0" t="s">
        <v>257</v>
      </c>
      <c r="M58" s="16" t="s">
        <v>23</v>
      </c>
      <c r="N58" s="0" t="n">
        <v>56134</v>
      </c>
      <c r="P58" s="15" t="n">
        <f aca="false">IFERROR(LOOKUP(IF(O58="",E58,O58),{0,1,10,100,1000,5000},{0,0.148,0.014,0.005,0.004,0.002}),"")</f>
        <v>0.148</v>
      </c>
      <c r="Q58" s="15" t="n">
        <f aca="false">IFERROR(IF(O58="",E58,O58)*P58,"")</f>
        <v>0.74</v>
      </c>
      <c r="R58" s="0" t="s">
        <v>258</v>
      </c>
      <c r="S58" s="16" t="s">
        <v>23</v>
      </c>
      <c r="T58" s="0" t="n">
        <v>5053</v>
      </c>
      <c r="V58" s="15" t="n">
        <f aca="false">IFERROR(LOOKUP(IF(U58="",E58,U58),{0,1,50,100,250,500,1000,2500},{0,0.093,0.014,0.011,0.008,0.006,0.004,0.003}),"")</f>
        <v>0.093</v>
      </c>
      <c r="W58" s="15" t="n">
        <f aca="false">IFERROR(IF(U58="",E58,U58)*V58,"")</f>
        <v>0.465</v>
      </c>
      <c r="X58" s="0" t="s">
        <v>259</v>
      </c>
      <c r="Y58" s="16" t="s">
        <v>23</v>
      </c>
    </row>
    <row r="59" customFormat="false" ht="14.9" hidden="false" customHeight="false" outlineLevel="0" collapsed="false">
      <c r="A59" s="0" t="s">
        <v>260</v>
      </c>
      <c r="B59" s="0" t="s">
        <v>261</v>
      </c>
      <c r="D59" s="0" t="s">
        <v>262</v>
      </c>
      <c r="E59" s="0" t="n">
        <f aca="false">BoardQty*1</f>
        <v>5</v>
      </c>
      <c r="F59" s="15" t="n">
        <f aca="true">MINA(INDIRECT(ADDRESS(ROW(),COLUMN(newark_part_data)+2)),INDIRECT(ADDRESS(ROW(),COLUMN(digikey_part_data)+2)),INDIRECT(ADDRESS(ROW(),COLUMN(mouser_part_data)+2)))</f>
        <v>0.114</v>
      </c>
      <c r="G59" s="15" t="n">
        <f aca="false">IFERROR(E59*F59,"")</f>
        <v>0.57</v>
      </c>
      <c r="H59" s="0" t="n">
        <v>924739</v>
      </c>
      <c r="J59" s="15" t="n">
        <f aca="false">IFERROR(LOOKUP(IF(I59="",E59,I59),{0,1,10,25,100,250,500,1000,2500,5000,10000,25000,50000,125000},{0,0.29,0.211,0.1556,0.1111,0.07556,0.06666,0.05222,0.05111,0.0404,0.03636,0.03232,0.02929,0.02727}),"")</f>
        <v>0.29</v>
      </c>
      <c r="K59" s="15" t="n">
        <f aca="false">IFERROR(IF(I59="",E59,I59)*J59,"")</f>
        <v>1.45</v>
      </c>
      <c r="L59" s="0" t="s">
        <v>263</v>
      </c>
      <c r="M59" s="16" t="s">
        <v>23</v>
      </c>
      <c r="N59" s="0" t="n">
        <v>146328</v>
      </c>
      <c r="P59" s="15" t="n">
        <f aca="false">IFERROR(LOOKUP(IF(O59="",E59,O59),{0,1,10,100,1000,5000,10000,25000,50000,100000},{0,0.299,0.238,0.074,0.051,0.044,0.039,0.035,0.032,0.031}),"")</f>
        <v>0.299</v>
      </c>
      <c r="Q59" s="15" t="n">
        <f aca="false">IFERROR(IF(O59="",E59,O59)*P59,"")</f>
        <v>1.495</v>
      </c>
      <c r="R59" s="0" t="s">
        <v>264</v>
      </c>
      <c r="S59" s="16" t="s">
        <v>23</v>
      </c>
      <c r="T59" s="0" t="n">
        <v>27000</v>
      </c>
      <c r="V59" s="15" t="n">
        <f aca="false">IFERROR(LOOKUP(IF(U59="",E59,U59),{0,1,3000,6000,9000},{0,0.114,0.114,0.105,0.096}),"")</f>
        <v>0.114</v>
      </c>
      <c r="W59" s="15" t="n">
        <f aca="false">IFERROR(IF(U59="",E59,U59)*V59,"")</f>
        <v>0.57</v>
      </c>
      <c r="X59" s="0" t="s">
        <v>265</v>
      </c>
      <c r="Y59" s="16" t="s">
        <v>23</v>
      </c>
    </row>
    <row r="60" customFormat="false" ht="14.9" hidden="false" customHeight="false" outlineLevel="0" collapsed="false">
      <c r="A60" s="0" t="s">
        <v>266</v>
      </c>
      <c r="B60" s="0" t="s">
        <v>267</v>
      </c>
      <c r="D60" s="0" t="s">
        <v>268</v>
      </c>
      <c r="E60" s="0" t="n">
        <f aca="false">BoardQty*3</f>
        <v>15</v>
      </c>
      <c r="F60" s="15" t="n">
        <f aca="true">MINA(INDIRECT(ADDRESS(ROW(),COLUMN(newark_part_data)+2)),INDIRECT(ADDRESS(ROW(),COLUMN(digikey_part_data)+2)),INDIRECT(ADDRESS(ROW(),COLUMN(mouser_part_data)+2)))</f>
        <v>0.338</v>
      </c>
      <c r="G60" s="15" t="n">
        <f aca="false">IFERROR(E60*F60,"")</f>
        <v>5.07</v>
      </c>
      <c r="H60" s="0" t="n">
        <v>5516</v>
      </c>
      <c r="J60" s="15" t="n">
        <f aca="false">IFERROR(LOOKUP(IF(I60="",E60,I60),{0,1,10,100,500,1000,2500,5000,12500,25000,62500,125000},{0,0.46,0.374,0.2551,0.19094,0.14301,0.12754,0.11982,0.11208,0.10281,0.09894,0.09508}),"")</f>
        <v>0.374</v>
      </c>
      <c r="K60" s="15" t="n">
        <f aca="false">IFERROR(IF(I60="",E60,I60)*J60,"")</f>
        <v>5.61</v>
      </c>
      <c r="L60" s="0" t="s">
        <v>269</v>
      </c>
      <c r="M60" s="16" t="s">
        <v>23</v>
      </c>
      <c r="N60" s="0" t="n">
        <v>4914</v>
      </c>
      <c r="P60" s="15" t="n">
        <f aca="false">IFERROR(LOOKUP(IF(O60="",E60,O60),{0,1,10,100,1000,2500,10000,25000,50000},{0,0.434,0.338,0.183,0.137,0.119,0.11,0.101,0.098}),"")</f>
        <v>0.338</v>
      </c>
      <c r="Q60" s="15" t="n">
        <f aca="false">IFERROR(IF(O60="",E60,O60)*P60,"")</f>
        <v>5.07</v>
      </c>
      <c r="R60" s="0" t="s">
        <v>270</v>
      </c>
      <c r="S60" s="16" t="s">
        <v>23</v>
      </c>
      <c r="T60" s="0" t="n">
        <v>3953</v>
      </c>
      <c r="V60" s="15" t="n">
        <f aca="false">IFERROR(LOOKUP(IF(U60="",E60,U60),{0,1,10,100,1000},{0,0.511,0.343,0.191,0.14}),"")</f>
        <v>0.343</v>
      </c>
      <c r="W60" s="15" t="n">
        <f aca="false">IFERROR(IF(U60="",E60,U60)*V60,"")</f>
        <v>5.145</v>
      </c>
      <c r="X60" s="0" t="s">
        <v>271</v>
      </c>
      <c r="Y60" s="16" t="s">
        <v>23</v>
      </c>
    </row>
    <row r="61" customFormat="false" ht="14.9" hidden="false" customHeight="false" outlineLevel="0" collapsed="false">
      <c r="A61" s="0" t="s">
        <v>272</v>
      </c>
      <c r="B61" s="0" t="s">
        <v>273</v>
      </c>
      <c r="D61" s="0" t="s">
        <v>214</v>
      </c>
      <c r="E61" s="0" t="n">
        <f aca="false">BoardQty*1</f>
        <v>5</v>
      </c>
      <c r="F61" s="15" t="n">
        <f aca="true">MINA(INDIRECT(ADDRESS(ROW(),COLUMN(newark_part_data)+2)),INDIRECT(ADDRESS(ROW(),COLUMN(digikey_part_data)+2)),INDIRECT(ADDRESS(ROW(),COLUMN(mouser_part_data)+2)))</f>
        <v>0.621</v>
      </c>
      <c r="G61" s="15" t="n">
        <f aca="false">IFERROR(E61*F61,"")</f>
        <v>3.105</v>
      </c>
      <c r="H61" s="0" t="n">
        <v>80412</v>
      </c>
      <c r="J61" s="15" t="n">
        <f aca="false">IFERROR(LOOKUP(IF(I61="",E61,I61),{0,1,50,100,250,500,1000,5000,10000,25000,50000,125000},{0,0.63,0.2494,0.1924,0.14964,0.10546,0.07695,0.04275,0.0399,0.03791,0.03714,0.03634}),"")</f>
        <v>0.63</v>
      </c>
      <c r="K61" s="15" t="n">
        <f aca="false">IFERROR(IF(I61="",E61,I61)*J61,"")</f>
        <v>3.15</v>
      </c>
      <c r="L61" s="0" t="s">
        <v>215</v>
      </c>
      <c r="M61" s="16" t="s">
        <v>23</v>
      </c>
      <c r="N61" s="0" t="n">
        <v>18769</v>
      </c>
      <c r="P61" s="15" t="n">
        <f aca="false">IFERROR(LOOKUP(IF(O61="",E61,O61),{0,1,10,100,500,1000,5000,10000,25000},{0,0.621,0.245,0.147,0.104,0.075,0.041,0.038,0.037}),"")</f>
        <v>0.621</v>
      </c>
      <c r="Q61" s="15" t="n">
        <f aca="false">IFERROR(IF(O61="",E61,O61)*P61,"")</f>
        <v>3.105</v>
      </c>
      <c r="R61" s="0" t="s">
        <v>216</v>
      </c>
      <c r="S61" s="16" t="s">
        <v>23</v>
      </c>
      <c r="T61" s="0" t="n">
        <v>2323</v>
      </c>
      <c r="V61" s="15" t="n">
        <f aca="false">IFERROR(LOOKUP(IF(U61="",E61,U61),{0,1,50,100,250,500,1000},{0,0.631,0.249,0.192,0.149,0.105,0.077}),"")</f>
        <v>0.631</v>
      </c>
      <c r="W61" s="15" t="n">
        <f aca="false">IFERROR(IF(U61="",E61,U61)*V61,"")</f>
        <v>3.155</v>
      </c>
      <c r="X61" s="0" t="s">
        <v>217</v>
      </c>
      <c r="Y61" s="16" t="s">
        <v>23</v>
      </c>
    </row>
    <row r="62" customFormat="false" ht="14.9" hidden="false" customHeight="false" outlineLevel="0" collapsed="false">
      <c r="A62" s="0" t="s">
        <v>274</v>
      </c>
      <c r="B62" s="0" t="s">
        <v>275</v>
      </c>
      <c r="D62" s="0" t="s">
        <v>276</v>
      </c>
      <c r="E62" s="0" t="n">
        <f aca="false">BoardQty*1</f>
        <v>5</v>
      </c>
      <c r="F62" s="15" t="n">
        <f aca="true">MINA(INDIRECT(ADDRESS(ROW(),COLUMN(newark_part_data)+2)),INDIRECT(ADDRESS(ROW(),COLUMN(digikey_part_data)+2)),INDIRECT(ADDRESS(ROW(),COLUMN(mouser_part_data)+2)))</f>
        <v>1.79</v>
      </c>
      <c r="G62" s="15" t="n">
        <f aca="false">IFERROR(E62*F62,"")</f>
        <v>8.95</v>
      </c>
      <c r="H62" s="0" t="n">
        <v>12207</v>
      </c>
      <c r="J62" s="15" t="n">
        <f aca="false">IFERROR(LOOKUP(IF(I62="",E62,I62),{0,1,10,100,500,1000,2000},{0,1.88,1.693,1.3578,1.116,0.775,0.775}),"")</f>
        <v>1.88</v>
      </c>
      <c r="K62" s="15" t="n">
        <f aca="false">IFERROR(IF(I62="",E62,I62)*J62,"")</f>
        <v>9.4</v>
      </c>
      <c r="L62" s="0" t="s">
        <v>277</v>
      </c>
      <c r="M62" s="16" t="s">
        <v>23</v>
      </c>
      <c r="N62" s="0" t="n">
        <v>23392</v>
      </c>
      <c r="P62" s="15" t="n">
        <f aca="false">IFERROR(LOOKUP(IF(O62="",E62,O62),{0,1,10,25,50,100,250,500,1000,2000},{0,1.8,1.61,1.49,1.45,1.3,1.22,1.06,0.784,0.784}),"")</f>
        <v>1.8</v>
      </c>
      <c r="Q62" s="15" t="n">
        <f aca="false">IFERROR(IF(O62="",E62,O62)*P62,"")</f>
        <v>9</v>
      </c>
      <c r="R62" s="0" t="s">
        <v>278</v>
      </c>
      <c r="S62" s="16" t="s">
        <v>23</v>
      </c>
      <c r="T62" s="0" t="n">
        <v>2203</v>
      </c>
      <c r="V62" s="15" t="n">
        <f aca="false">IFERROR(LOOKUP(IF(U62="",E62,U62),{0,1,10,100,500,1000},{0,1.79,1.55,1.24,1.09,0.893}),"")</f>
        <v>1.79</v>
      </c>
      <c r="W62" s="15" t="n">
        <f aca="false">IFERROR(IF(U62="",E62,U62)*V62,"")</f>
        <v>8.95</v>
      </c>
      <c r="X62" s="0" t="s">
        <v>279</v>
      </c>
      <c r="Y62" s="16" t="s">
        <v>23</v>
      </c>
    </row>
    <row r="63" customFormat="false" ht="14.9" hidden="false" customHeight="false" outlineLevel="0" collapsed="false">
      <c r="A63" s="0" t="s">
        <v>280</v>
      </c>
      <c r="B63" s="0" t="s">
        <v>281</v>
      </c>
      <c r="D63" s="0" t="s">
        <v>282</v>
      </c>
      <c r="E63" s="0" t="n">
        <f aca="false">BoardQty*8</f>
        <v>40</v>
      </c>
      <c r="F63" s="15" t="n">
        <f aca="true">MINA(INDIRECT(ADDRESS(ROW(),COLUMN(newark_part_data)+2)),INDIRECT(ADDRESS(ROW(),COLUMN(digikey_part_data)+2)),INDIRECT(ADDRESS(ROW(),COLUMN(mouser_part_data)+2)))</f>
        <v>0.006</v>
      </c>
      <c r="G63" s="15" t="n">
        <f aca="false">IFERROR(E63*F63,"")</f>
        <v>0.24</v>
      </c>
      <c r="H63" s="0" t="n">
        <v>2069188</v>
      </c>
      <c r="J63" s="15" t="n">
        <f aca="false">IFERROR(LOOKUP(IF(I63="",E63,I63),{0,1,10,50,100,250,500,1000,4000,8000,12000,28000,100000},{0,0.1,0.041,0.0222,0.0187,0.01532,0.0131,0.0102,0.00782,0.00714,0.0068,0.00646,0.00468}),"")</f>
        <v>0.041</v>
      </c>
      <c r="K63" s="15" t="n">
        <f aca="false">IFERROR(IF(I63="",E63,I63)*J63,"")</f>
        <v>1.64</v>
      </c>
      <c r="L63" s="0" t="s">
        <v>283</v>
      </c>
      <c r="M63" s="16" t="s">
        <v>23</v>
      </c>
      <c r="N63" s="0" t="n">
        <v>1572232</v>
      </c>
      <c r="P63" s="15" t="n">
        <f aca="false">IFERROR(LOOKUP(IF(O63="",E63,O63),{0,1,10,100,500,1000,4000,8000,48000},{0,0.099,0.036,0.026,0.022,0.016,0.013,0.011,0.009}),"")</f>
        <v>0.036</v>
      </c>
      <c r="Q63" s="15" t="n">
        <f aca="false">IFERROR(IF(O63="",E63,O63)*P63,"")</f>
        <v>1.44</v>
      </c>
      <c r="R63" s="0" t="s">
        <v>284</v>
      </c>
      <c r="S63" s="16" t="s">
        <v>23</v>
      </c>
      <c r="T63" s="0" t="n">
        <v>200000</v>
      </c>
      <c r="V63" s="15" t="n">
        <f aca="false">IFERROR(LOOKUP(IF(U63="",E63,U63),{0,1,4000,8000,28000},{0,0.006,0.006,0.005,0.004}),"")</f>
        <v>0.006</v>
      </c>
      <c r="W63" s="15" t="n">
        <f aca="false">IFERROR(IF(U63="",E63,U63)*V63,"")</f>
        <v>0.24</v>
      </c>
      <c r="X63" s="0" t="s">
        <v>285</v>
      </c>
      <c r="Y63" s="16" t="s">
        <v>23</v>
      </c>
    </row>
    <row r="64" customFormat="false" ht="14.9" hidden="false" customHeight="false" outlineLevel="0" collapsed="false">
      <c r="A64" s="0" t="s">
        <v>286</v>
      </c>
      <c r="B64" s="0" t="s">
        <v>287</v>
      </c>
      <c r="D64" s="0" t="s">
        <v>78</v>
      </c>
      <c r="E64" s="0" t="n">
        <f aca="false">BoardQty*1</f>
        <v>5</v>
      </c>
      <c r="F64" s="15" t="n">
        <f aca="true">MINA(INDIRECT(ADDRESS(ROW(),COLUMN(newark_part_data)+2)),INDIRECT(ADDRESS(ROW(),COLUMN(digikey_part_data)+2)),INDIRECT(ADDRESS(ROW(),COLUMN(mouser_part_data)+2)))</f>
        <v>0.009</v>
      </c>
      <c r="G64" s="15" t="n">
        <f aca="false">IFERROR(E64*F64,"")</f>
        <v>0.045</v>
      </c>
      <c r="H64" s="0" t="n">
        <v>1846695</v>
      </c>
      <c r="J64" s="15" t="n">
        <f aca="false">IFERROR(LOOKUP(IF(I64="",E64,I64),{0,1,10,25,100,250,500,1000,2500,5000,10000,25000,50000,125000},{0,0.1,0.011,0.008,0.0044,0.00336,0.0027,0.00198,0.00172,0.00129,0.00112,0.00099,0.0009,0.00089}),"")</f>
        <v>0.1</v>
      </c>
      <c r="K64" s="15" t="n">
        <f aca="false">IFERROR(IF(I64="",E64,I64)*J64,"")</f>
        <v>0.5</v>
      </c>
      <c r="L64" s="0" t="s">
        <v>75</v>
      </c>
      <c r="M64" s="16" t="s">
        <v>23</v>
      </c>
      <c r="N64" s="0" t="n">
        <v>34499</v>
      </c>
      <c r="P64" s="15" t="n">
        <f aca="false">IFERROR(LOOKUP(IF(O64="",E64,O64),{0,1,10,100,1000,5000,50000},{0,0.099,0.008,0.003,0.002,0.002,0.001}),"")</f>
        <v>0.099</v>
      </c>
      <c r="Q64" s="15" t="n">
        <f aca="false">IFERROR(IF(O64="",E64,O64)*P64,"")</f>
        <v>0.495</v>
      </c>
      <c r="R64" s="0" t="s">
        <v>76</v>
      </c>
      <c r="S64" s="16" t="s">
        <v>23</v>
      </c>
      <c r="T64" s="0" t="n">
        <v>28666</v>
      </c>
      <c r="V64" s="15" t="n">
        <f aca="false">IFERROR(LOOKUP(IF(U64="",E64,U64),{0,1,10,25,100,250,1000},{0,0.009,0.009,0.008,0.005,0.004,0.003}),"")</f>
        <v>0.009</v>
      </c>
      <c r="W64" s="15" t="n">
        <f aca="false">IFERROR(IF(U64="",E64,U64)*V64,"")</f>
        <v>0.045</v>
      </c>
      <c r="X64" s="0" t="s">
        <v>79</v>
      </c>
      <c r="Y64" s="16" t="s">
        <v>23</v>
      </c>
    </row>
    <row r="65" customFormat="false" ht="14.9" hidden="false" customHeight="false" outlineLevel="0" collapsed="false">
      <c r="A65" s="0" t="s">
        <v>288</v>
      </c>
      <c r="B65" s="0" t="s">
        <v>289</v>
      </c>
      <c r="D65" s="0" t="s">
        <v>290</v>
      </c>
      <c r="E65" s="0" t="n">
        <f aca="false">BoardQty*1</f>
        <v>5</v>
      </c>
      <c r="F65" s="15" t="n">
        <f aca="true">MINA(INDIRECT(ADDRESS(ROW(),COLUMN(newark_part_data)+2)),INDIRECT(ADDRESS(ROW(),COLUMN(digikey_part_data)+2)),INDIRECT(ADDRESS(ROW(),COLUMN(mouser_part_data)+2)))</f>
        <v>0.002</v>
      </c>
      <c r="G65" s="15" t="n">
        <f aca="false">IFERROR(E65*F65,"")</f>
        <v>0.01</v>
      </c>
      <c r="H65" s="0" t="n">
        <v>189654</v>
      </c>
      <c r="J65" s="15" t="n">
        <f aca="false">IFERROR(LOOKUP(IF(I65="",E65,I65),{0,1,10,25,100,250,500,1000,2500,5000,10000,25000,50000,125000},{0,0.1,0.014,0.01,0.0057,0.00436,0.00348,0.00257,0.00223,0.00167,0.00145,0.00128,0.00117,0.00115}),"")</f>
        <v>0.1</v>
      </c>
      <c r="K65" s="15" t="n">
        <f aca="false">IFERROR(IF(I65="",E65,I65)*J65,"")</f>
        <v>0.5</v>
      </c>
      <c r="L65" s="0" t="s">
        <v>291</v>
      </c>
      <c r="M65" s="16" t="s">
        <v>23</v>
      </c>
      <c r="N65" s="0" t="n">
        <v>65639</v>
      </c>
      <c r="P65" s="15" t="n">
        <f aca="false">IFERROR(LOOKUP(IF(O65="",E65,O65),{0,1,10,100,1000,5000,10000},{0,0.099,0.01,0.003,0.002,0.002,0.001}),"")</f>
        <v>0.099</v>
      </c>
      <c r="Q65" s="15" t="n">
        <f aca="false">IFERROR(IF(O65="",E65,O65)*P65,"")</f>
        <v>0.495</v>
      </c>
      <c r="R65" s="0" t="s">
        <v>292</v>
      </c>
      <c r="S65" s="16" t="s">
        <v>23</v>
      </c>
      <c r="T65" s="0" t="n">
        <v>20000</v>
      </c>
      <c r="V65" s="15" t="n">
        <f aca="false">IFERROR(LOOKUP(IF(U65="",E65,U65),{0,1,5000,10000},{0,0.002,0.002,0.001}),"")</f>
        <v>0.002</v>
      </c>
      <c r="W65" s="15" t="n">
        <f aca="false">IFERROR(IF(U65="",E65,U65)*V65,"")</f>
        <v>0.01</v>
      </c>
      <c r="X65" s="0" t="s">
        <v>293</v>
      </c>
      <c r="Y65" s="16" t="s">
        <v>23</v>
      </c>
    </row>
    <row r="66" customFormat="false" ht="14.9" hidden="false" customHeight="false" outlineLevel="0" collapsed="false">
      <c r="A66" s="0" t="s">
        <v>294</v>
      </c>
      <c r="B66" s="0" t="s">
        <v>295</v>
      </c>
      <c r="D66" s="0" t="s">
        <v>296</v>
      </c>
      <c r="E66" s="0" t="n">
        <f aca="false">BoardQty*1</f>
        <v>5</v>
      </c>
      <c r="F66" s="15" t="n">
        <f aca="true">MINA(INDIRECT(ADDRESS(ROW(),COLUMN(newark_part_data)+2)),INDIRECT(ADDRESS(ROW(),COLUMN(digikey_part_data)+2)),INDIRECT(ADDRESS(ROW(),COLUMN(mouser_part_data)+2)))</f>
        <v>0.23</v>
      </c>
      <c r="G66" s="15" t="n">
        <f aca="false">IFERROR(E66*F66,"")</f>
        <v>1.15</v>
      </c>
      <c r="H66" s="0" t="n">
        <v>17717</v>
      </c>
      <c r="J66" s="15" t="n">
        <f aca="false">IFERROR(LOOKUP(IF(I66="",E66,I66),{0,1,10,100,500,1000,3000,6000,15000,20000,30000,75000,150000},{0,0.23,0.192,0.1016,0.06678,0.0455,0.03979,0.0346,0.02941,0.02941,0.02768,0.02595,0.02249}),"")</f>
        <v>0.23</v>
      </c>
      <c r="K66" s="15" t="n">
        <f aca="false">IFERROR(IF(I66="",E66,I66)*J66,"")</f>
        <v>1.15</v>
      </c>
      <c r="L66" s="0" t="s">
        <v>297</v>
      </c>
      <c r="M66" s="16" t="s">
        <v>23</v>
      </c>
      <c r="N66" s="0" t="n">
        <v>22975</v>
      </c>
      <c r="P66" s="15" t="n">
        <f aca="false">IFERROR(LOOKUP(IF(O66="",E66,O66),{0,1,10,100,1000,3000,24000,45000,99000},{0,0.237,0.158,0.066,0.046,0.035,0.027,0.026,0.022}),"")</f>
        <v>0.237</v>
      </c>
      <c r="Q66" s="15" t="n">
        <f aca="false">IFERROR(IF(O66="",E66,O66)*P66,"")</f>
        <v>1.185</v>
      </c>
      <c r="R66" s="0" t="s">
        <v>298</v>
      </c>
      <c r="S66" s="16" t="s">
        <v>23</v>
      </c>
      <c r="T66" s="0" t="n">
        <v>8701</v>
      </c>
      <c r="V66" s="15" t="n">
        <f aca="false">IFERROR(LOOKUP(IF(U66="",E66,U66),{0,1,10,100,1000},{0,0.24,0.16,0.067,0.046}),"")</f>
        <v>0.24</v>
      </c>
      <c r="W66" s="15" t="n">
        <f aca="false">IFERROR(IF(U66="",E66,U66)*V66,"")</f>
        <v>1.2</v>
      </c>
      <c r="X66" s="0" t="s">
        <v>299</v>
      </c>
      <c r="Y66" s="16" t="s">
        <v>23</v>
      </c>
    </row>
    <row r="67" customFormat="false" ht="14.9" hidden="false" customHeight="false" outlineLevel="0" collapsed="false">
      <c r="A67" s="0" t="s">
        <v>300</v>
      </c>
      <c r="B67" s="0" t="s">
        <v>301</v>
      </c>
      <c r="D67" s="0" t="s">
        <v>302</v>
      </c>
      <c r="E67" s="0" t="n">
        <f aca="false">BoardQty*1</f>
        <v>5</v>
      </c>
      <c r="F67" s="15" t="n">
        <f aca="true">MINA(INDIRECT(ADDRESS(ROW(),COLUMN(newark_part_data)+2)),INDIRECT(ADDRESS(ROW(),COLUMN(digikey_part_data)+2)),INDIRECT(ADDRESS(ROW(),COLUMN(mouser_part_data)+2)))</f>
        <v>0.06</v>
      </c>
      <c r="G67" s="15" t="n">
        <f aca="false">IFERROR(E67*F67,"")</f>
        <v>0.3</v>
      </c>
      <c r="H67" s="0" t="n">
        <v>506308</v>
      </c>
      <c r="J67" s="15" t="n">
        <f aca="false">IFERROR(LOOKUP(IF(I67="",E67,I67),{0,1,10,25,100,250,500,1000,2500,5000,10000,25000,50000,125000},{0,0.1,0.011,0.008,0.0044,0.00336,0.0027,0.00198,0.00172,0.00129,0.00112,0.00099,0.0009,0.00089}),"")</f>
        <v>0.1</v>
      </c>
      <c r="K67" s="15" t="n">
        <f aca="false">IFERROR(IF(I67="",E67,I67)*J67,"")</f>
        <v>0.5</v>
      </c>
      <c r="L67" s="0" t="s">
        <v>303</v>
      </c>
      <c r="M67" s="16" t="s">
        <v>23</v>
      </c>
      <c r="N67" s="0" t="n">
        <v>92787</v>
      </c>
      <c r="P67" s="15" t="n">
        <f aca="false">IFERROR(LOOKUP(IF(O67="",E67,O67),{0,1,10,100,1000,5000,50000},{0,0.099,0.008,0.003,0.002,0.002,0.001}),"")</f>
        <v>0.099</v>
      </c>
      <c r="Q67" s="15" t="n">
        <f aca="false">IFERROR(IF(O67="",E67,O67)*P67,"")</f>
        <v>0.495</v>
      </c>
      <c r="R67" s="0" t="s">
        <v>304</v>
      </c>
      <c r="S67" s="16" t="s">
        <v>23</v>
      </c>
      <c r="T67" s="0" t="n">
        <v>922</v>
      </c>
      <c r="V67" s="15" t="n">
        <f aca="false">IFERROR(LOOKUP(IF(U67="",E67,U67),{0,1,10,25,100,250,1000},{0,0.06,0.01,0.007,0.004,0.003,0.002}),"")</f>
        <v>0.06</v>
      </c>
      <c r="W67" s="15" t="n">
        <f aca="false">IFERROR(IF(U67="",E67,U67)*V67,"")</f>
        <v>0.3</v>
      </c>
      <c r="X67" s="0" t="s">
        <v>305</v>
      </c>
      <c r="Y67" s="16" t="s">
        <v>23</v>
      </c>
    </row>
    <row r="68" customFormat="false" ht="14.9" hidden="false" customHeight="false" outlineLevel="0" collapsed="false">
      <c r="A68" s="0" t="s">
        <v>306</v>
      </c>
      <c r="B68" s="0" t="s">
        <v>307</v>
      </c>
      <c r="D68" s="0" t="s">
        <v>308</v>
      </c>
      <c r="E68" s="0" t="n">
        <f aca="false">BoardQty*4</f>
        <v>20</v>
      </c>
      <c r="F68" s="15" t="n">
        <f aca="true">MINA(INDIRECT(ADDRESS(ROW(),COLUMN(newark_part_data)+2)),INDIRECT(ADDRESS(ROW(),COLUMN(digikey_part_data)+2)),INDIRECT(ADDRESS(ROW(),COLUMN(mouser_part_data)+2)))</f>
        <v>0.012</v>
      </c>
      <c r="G68" s="15" t="n">
        <f aca="false">IFERROR(E68*F68,"")</f>
        <v>0.24</v>
      </c>
      <c r="H68" s="0" t="n">
        <v>524695</v>
      </c>
      <c r="J68" s="15" t="n">
        <f aca="false">IFERROR(LOOKUP(IF(I68="",E68,I68),{0,1,10,50,100,250,500,1000,4000,8000,12000,28000,100000},{0,0.1,0.024,0.013,0.011,0.009,0.0077,0.006,0.0046,0.0042,0.004,0.0038,0.00275}),"")</f>
        <v>0.024</v>
      </c>
      <c r="K68" s="15" t="n">
        <f aca="false">IFERROR(IF(I68="",E68,I68)*J68,"")</f>
        <v>0.48</v>
      </c>
      <c r="L68" s="0" t="s">
        <v>309</v>
      </c>
      <c r="M68" s="16" t="s">
        <v>23</v>
      </c>
      <c r="N68" s="0" t="n">
        <v>174225</v>
      </c>
      <c r="P68" s="15" t="n">
        <f aca="false">IFERROR(LOOKUP(IF(O68="",E68,O68),{0,1,10,100,500,1000,4000,24000},{0,0.099,0.012,0.008,0.007,0.005,0.004,0.003}),"")</f>
        <v>0.012</v>
      </c>
      <c r="Q68" s="15" t="n">
        <f aca="false">IFERROR(IF(O68="",E68,O68)*P68,"")</f>
        <v>0.24</v>
      </c>
      <c r="R68" s="0" t="s">
        <v>310</v>
      </c>
      <c r="S68" s="16" t="s">
        <v>23</v>
      </c>
      <c r="T68" s="0" t="n">
        <v>9151</v>
      </c>
      <c r="V68" s="15" t="n">
        <f aca="false">IFERROR(LOOKUP(IF(U68="",E68,U68),{0,1,10,25,50,100,250,1000},{0,0.1,0.024,0.015,0.012,0.01,0.009,0.006}),"")</f>
        <v>0.024</v>
      </c>
      <c r="W68" s="15" t="n">
        <f aca="false">IFERROR(IF(U68="",E68,U68)*V68,"")</f>
        <v>0.48</v>
      </c>
      <c r="X68" s="0" t="s">
        <v>311</v>
      </c>
      <c r="Y68" s="16" t="s">
        <v>23</v>
      </c>
    </row>
    <row r="69" customFormat="false" ht="14.9" hidden="false" customHeight="false" outlineLevel="0" collapsed="false">
      <c r="A69" s="0" t="s">
        <v>312</v>
      </c>
      <c r="B69" s="0" t="s">
        <v>313</v>
      </c>
      <c r="D69" s="0" t="s">
        <v>203</v>
      </c>
      <c r="E69" s="0" t="n">
        <f aca="false">BoardQty*2</f>
        <v>10</v>
      </c>
      <c r="F69" s="15" t="n">
        <f aca="true">MINA(INDIRECT(ADDRESS(ROW(),COLUMN(newark_part_data)+2)),INDIRECT(ADDRESS(ROW(),COLUMN(digikey_part_data)+2)),INDIRECT(ADDRESS(ROW(),COLUMN(mouser_part_data)+2)))</f>
        <v>0.205</v>
      </c>
      <c r="G69" s="15" t="n">
        <f aca="false">IFERROR(E69*F69,"")</f>
        <v>2.05</v>
      </c>
      <c r="H69" s="0" t="n">
        <v>35257</v>
      </c>
      <c r="J69" s="15" t="n">
        <f aca="false">IFERROR(LOOKUP(IF(I69="",E69,I69),{0,1,10,25,50,100,250,500,1000,5000,10000,25000,50000,125000},{0,0.4,0.303,0.2304,0.1712,0.1273,0.10752,0.09216,0.07022,0.05686,0.05426,0.05199,0.05087,0.04988}),"")</f>
        <v>0.303</v>
      </c>
      <c r="K69" s="15" t="n">
        <f aca="false">IFERROR(IF(I69="",E69,I69)*J69,"")</f>
        <v>3.03</v>
      </c>
      <c r="L69" s="0" t="s">
        <v>204</v>
      </c>
      <c r="M69" s="16" t="s">
        <v>23</v>
      </c>
      <c r="N69" s="0" t="n">
        <v>5254</v>
      </c>
      <c r="P69" s="15" t="n">
        <f aca="false">IFERROR(LOOKUP(IF(O69="",E69,O69),{0,1,10,100,1000,2000,5000,10000,25000,50000,100000},{0,0.529,0.205,0.102,0.074,0.056,0.056,0.053,0.051,0.05,0.049}),"")</f>
        <v>0.205</v>
      </c>
      <c r="Q69" s="15" t="n">
        <f aca="false">IFERROR(IF(O69="",E69,O69)*P69,"")</f>
        <v>2.05</v>
      </c>
      <c r="R69" s="0" t="s">
        <v>205</v>
      </c>
      <c r="S69" s="16" t="s">
        <v>23</v>
      </c>
      <c r="Y69" s="16" t="s">
        <v>23</v>
      </c>
    </row>
    <row r="70" customFormat="false" ht="13.8" hidden="false" customHeight="false" outlineLevel="0" collapsed="false">
      <c r="A70" s="0" t="s">
        <v>314</v>
      </c>
      <c r="B70" s="0" t="s">
        <v>315</v>
      </c>
      <c r="E70" s="0" t="n">
        <f aca="false">BoardQty*1</f>
        <v>5</v>
      </c>
      <c r="F70" s="15" t="n">
        <f aca="true">MINA(INDIRECT(ADDRESS(ROW(),COLUMN(newark_part_data)+2)),INDIRECT(ADDRESS(ROW(),COLUMN(digikey_part_data)+2)),INDIRECT(ADDRESS(ROW(),COLUMN(mouser_part_data)+2)))</f>
        <v>0</v>
      </c>
      <c r="G70" s="15" t="n">
        <f aca="false">IFERROR(E70*F70,"")</f>
        <v>0</v>
      </c>
    </row>
    <row r="71" customFormat="false" ht="14.9" hidden="false" customHeight="false" outlineLevel="0" collapsed="false">
      <c r="A71" s="0" t="s">
        <v>316</v>
      </c>
      <c r="B71" s="0" t="s">
        <v>317</v>
      </c>
      <c r="D71" s="0" t="s">
        <v>318</v>
      </c>
      <c r="E71" s="0" t="n">
        <f aca="false">BoardQty*1</f>
        <v>5</v>
      </c>
      <c r="F71" s="15" t="n">
        <f aca="true">MINA(INDIRECT(ADDRESS(ROW(),COLUMN(newark_part_data)+2)),INDIRECT(ADDRESS(ROW(),COLUMN(digikey_part_data)+2)),INDIRECT(ADDRESS(ROW(),COLUMN(mouser_part_data)+2)))</f>
        <v>0.099</v>
      </c>
      <c r="G71" s="15" t="n">
        <f aca="false">IFERROR(E71*F71,"")</f>
        <v>0.495</v>
      </c>
      <c r="H71" s="0" t="n">
        <v>182515</v>
      </c>
      <c r="J71" s="15" t="n">
        <f aca="false">IFERROR(LOOKUP(IF(I71="",E71,I71),{0,1,10,25,100,250,500,1000,2500,5000,10000,25000,50000,125000},{0,0.1,0.014,0.01,0.0057,0.00436,0.00348,0.00257,0.00223,0.00167,0.00145,0.00128,0.00117,0.00115}),"")</f>
        <v>0.1</v>
      </c>
      <c r="K71" s="15" t="n">
        <f aca="false">IFERROR(IF(I71="",E71,I71)*J71,"")</f>
        <v>0.5</v>
      </c>
      <c r="L71" s="0" t="s">
        <v>319</v>
      </c>
      <c r="M71" s="16" t="s">
        <v>23</v>
      </c>
      <c r="N71" s="0" t="n">
        <v>21333</v>
      </c>
      <c r="P71" s="15" t="n">
        <f aca="false">IFERROR(LOOKUP(IF(O71="",E71,O71),{0,1,10,100,1000,5000,10000},{0,0.099,0.01,0.003,0.002,0.002,0.001}),"")</f>
        <v>0.099</v>
      </c>
      <c r="Q71" s="15" t="n">
        <f aca="false">IFERROR(IF(O71="",E71,O71)*P71,"")</f>
        <v>0.495</v>
      </c>
      <c r="R71" s="0" t="s">
        <v>320</v>
      </c>
      <c r="S71" s="16" t="s">
        <v>23</v>
      </c>
      <c r="Y71" s="16" t="s">
        <v>23</v>
      </c>
    </row>
    <row r="72" customFormat="false" ht="14.9" hidden="false" customHeight="false" outlineLevel="0" collapsed="false">
      <c r="A72" s="0" t="s">
        <v>321</v>
      </c>
      <c r="B72" s="0" t="s">
        <v>322</v>
      </c>
      <c r="D72" s="0" t="s">
        <v>323</v>
      </c>
      <c r="E72" s="0" t="n">
        <f aca="false">BoardQty*1</f>
        <v>5</v>
      </c>
      <c r="F72" s="15" t="n">
        <f aca="true">MINA(INDIRECT(ADDRESS(ROW(),COLUMN(newark_part_data)+2)),INDIRECT(ADDRESS(ROW(),COLUMN(digikey_part_data)+2)),INDIRECT(ADDRESS(ROW(),COLUMN(mouser_part_data)+2)))</f>
        <v>0.611</v>
      </c>
      <c r="G72" s="15" t="n">
        <f aca="false">IFERROR(E72*F72,"")</f>
        <v>3.055</v>
      </c>
      <c r="M72" s="16" t="s">
        <v>23</v>
      </c>
      <c r="N72" s="0" t="n">
        <v>1</v>
      </c>
      <c r="P72" s="15" t="n">
        <f aca="false">IFERROR(LOOKUP(IF(O72="",E72,O72),{0,1,10,100,1000,2500,10000,25000},{0,0.611,0.514,0.331,0.265,0.223,0.215,0.213}),"")</f>
        <v>0.611</v>
      </c>
      <c r="Q72" s="15" t="n">
        <f aca="false">IFERROR(IF(O72="",E72,O72)*P72,"")</f>
        <v>3.055</v>
      </c>
      <c r="R72" s="0" t="s">
        <v>324</v>
      </c>
      <c r="S72" s="16" t="s">
        <v>23</v>
      </c>
      <c r="T72" s="0" t="n">
        <v>2048</v>
      </c>
      <c r="V72" s="15" t="n">
        <f aca="false">IFERROR(LOOKUP(IF(U72="",E72,U72),{0,1,10,100,1000},{0,0.669,0.521,0.336,0.269}),"")</f>
        <v>0.669</v>
      </c>
      <c r="W72" s="15" t="n">
        <f aca="false">IFERROR(IF(U72="",E72,U72)*V72,"")</f>
        <v>3.345</v>
      </c>
      <c r="X72" s="0" t="s">
        <v>325</v>
      </c>
      <c r="Y72" s="16" t="s">
        <v>23</v>
      </c>
    </row>
    <row r="73" customFormat="false" ht="14.9" hidden="false" customHeight="false" outlineLevel="0" collapsed="false">
      <c r="A73" s="0" t="s">
        <v>326</v>
      </c>
      <c r="B73" s="0" t="s">
        <v>327</v>
      </c>
      <c r="D73" s="0" t="s">
        <v>328</v>
      </c>
      <c r="E73" s="0" t="n">
        <f aca="false">BoardQty*2</f>
        <v>10</v>
      </c>
      <c r="F73" s="15" t="n">
        <f aca="true">MINA(INDIRECT(ADDRESS(ROW(),COLUMN(newark_part_data)+2)),INDIRECT(ADDRESS(ROW(),COLUMN(digikey_part_data)+2)),INDIRECT(ADDRESS(ROW(),COLUMN(mouser_part_data)+2)))</f>
        <v>0.303</v>
      </c>
      <c r="G73" s="15" t="n">
        <f aca="false">IFERROR(E73*F73,"")</f>
        <v>3.03</v>
      </c>
      <c r="H73" s="0" t="n">
        <v>9293</v>
      </c>
      <c r="J73" s="15" t="n">
        <f aca="false">IFERROR(LOOKUP(IF(I73="",E73,I73),{0,1,10,100,500,1000,3000,6000,15000,30000,75000,150000},{0,0.42,0.336,0.229,0.17142,0.12839,0.11451,0.10757,0.10063,0.0923,0.08883,0.08536}),"")</f>
        <v>0.336</v>
      </c>
      <c r="K73" s="15" t="n">
        <f aca="false">IFERROR(IF(I73="",E73,I73)*J73,"")</f>
        <v>3.36</v>
      </c>
      <c r="L73" s="0" t="s">
        <v>329</v>
      </c>
      <c r="M73" s="16" t="s">
        <v>23</v>
      </c>
      <c r="N73" s="0" t="n">
        <v>5661</v>
      </c>
      <c r="P73" s="15" t="n">
        <f aca="false">IFERROR(LOOKUP(IF(O73="",E73,O73),{0,1,10,100,1000,3000,9000,24000,45000},{0,0.404,0.303,0.169,0.123,0.107,0.099,0.09,0.088}),"")</f>
        <v>0.303</v>
      </c>
      <c r="Q73" s="15" t="n">
        <f aca="false">IFERROR(IF(O73="",E73,O73)*P73,"")</f>
        <v>3.03</v>
      </c>
      <c r="R73" s="0" t="s">
        <v>330</v>
      </c>
      <c r="S73" s="16" t="s">
        <v>23</v>
      </c>
      <c r="T73" s="0" t="n">
        <v>6595</v>
      </c>
      <c r="V73" s="15" t="n">
        <f aca="false">IFERROR(LOOKUP(IF(U73="",E73,U73),{0,1,10,25,100,250,500,1000},{0,0.464,0.365,0.308,0.25,0.207,0.171,0.128}),"")</f>
        <v>0.365</v>
      </c>
      <c r="W73" s="15" t="n">
        <f aca="false">IFERROR(IF(U73="",E73,U73)*V73,"")</f>
        <v>3.65</v>
      </c>
      <c r="X73" s="0" t="s">
        <v>331</v>
      </c>
      <c r="Y73" s="16" t="s">
        <v>23</v>
      </c>
    </row>
    <row r="74" customFormat="false" ht="14.9" hidden="false" customHeight="false" outlineLevel="0" collapsed="false">
      <c r="A74" s="0" t="s">
        <v>332</v>
      </c>
      <c r="B74" s="0" t="s">
        <v>333</v>
      </c>
      <c r="D74" s="0" t="s">
        <v>334</v>
      </c>
      <c r="E74" s="0" t="n">
        <f aca="false">BoardQty*1</f>
        <v>5</v>
      </c>
      <c r="F74" s="15" t="n">
        <f aca="true">MINA(INDIRECT(ADDRESS(ROW(),COLUMN(newark_part_data)+2)),INDIRECT(ADDRESS(ROW(),COLUMN(digikey_part_data)+2)),INDIRECT(ADDRESS(ROW(),COLUMN(mouser_part_data)+2)))</f>
        <v>4.7</v>
      </c>
      <c r="G74" s="15" t="n">
        <f aca="false">IFERROR(E74*F74,"")</f>
        <v>23.5</v>
      </c>
      <c r="H74" s="0" t="n">
        <v>2326</v>
      </c>
      <c r="J74" s="15" t="n">
        <f aca="false">IFERROR(LOOKUP(IF(I74="",E74,I74),{0,1,10,100,500,1000,2500,5000,12500},{0,4.91,4.41,3.618,2.988,2.52,2.394,2.304,2.25}),"")</f>
        <v>4.91</v>
      </c>
      <c r="K74" s="15" t="n">
        <f aca="false">IFERROR(IF(I74="",E74,I74)*J74,"")</f>
        <v>24.55</v>
      </c>
      <c r="L74" s="0" t="s">
        <v>335</v>
      </c>
      <c r="M74" s="16" t="s">
        <v>23</v>
      </c>
      <c r="N74" s="0" t="n">
        <v>1721</v>
      </c>
      <c r="P74" s="15" t="n">
        <f aca="false">IFERROR(LOOKUP(IF(O74="",E74,O74),{0,1,10,25,50,100,250,500,1500},{0,4.7,4.22,3.93,3.72,3.47,3.28,2.94,2.28}),"")</f>
        <v>4.7</v>
      </c>
      <c r="Q74" s="15" t="n">
        <f aca="false">IFERROR(IF(O74="",E74,O74)*P74,"")</f>
        <v>23.5</v>
      </c>
      <c r="R74" s="0" t="s">
        <v>336</v>
      </c>
      <c r="S74" s="16" t="s">
        <v>23</v>
      </c>
      <c r="T74" s="0" t="n">
        <v>438</v>
      </c>
      <c r="V74" s="15" t="n">
        <f aca="false">IFERROR(LOOKUP(IF(U74="",E74,U74),{0,1,10,25,50,100,250},{0,4.77,4.29,3.98,3.78,3.51,3.33}),"")</f>
        <v>4.77</v>
      </c>
      <c r="W74" s="15" t="n">
        <f aca="false">IFERROR(IF(U74="",E74,U74)*V74,"")</f>
        <v>23.85</v>
      </c>
      <c r="X74" s="0" t="s">
        <v>337</v>
      </c>
      <c r="Y74" s="16" t="s">
        <v>23</v>
      </c>
    </row>
    <row r="75" customFormat="false" ht="14.9" hidden="false" customHeight="false" outlineLevel="0" collapsed="false">
      <c r="A75" s="0" t="s">
        <v>338</v>
      </c>
      <c r="B75" s="0" t="s">
        <v>339</v>
      </c>
      <c r="D75" s="0" t="s">
        <v>340</v>
      </c>
      <c r="E75" s="0" t="n">
        <f aca="false">BoardQty*1</f>
        <v>5</v>
      </c>
      <c r="F75" s="15" t="n">
        <f aca="true">MINA(INDIRECT(ADDRESS(ROW(),COLUMN(newark_part_data)+2)),INDIRECT(ADDRESS(ROW(),COLUMN(digikey_part_data)+2)),INDIRECT(ADDRESS(ROW(),COLUMN(mouser_part_data)+2)))</f>
        <v>1.31</v>
      </c>
      <c r="G75" s="15" t="n">
        <f aca="false">IFERROR(E75*F75,"")</f>
        <v>6.55</v>
      </c>
      <c r="H75" s="0" t="n">
        <v>9088</v>
      </c>
      <c r="J75" s="15" t="n">
        <f aca="false">IFERROR(LOOKUP(IF(I75="",E75,I75),{0,1,25,100,3300},{0,1.31,1.09,0.99,0.99}),"")</f>
        <v>1.31</v>
      </c>
      <c r="K75" s="15" t="n">
        <f aca="false">IFERROR(IF(I75="",E75,I75)*J75,"")</f>
        <v>6.55</v>
      </c>
      <c r="L75" s="0" t="s">
        <v>341</v>
      </c>
      <c r="M75" s="16" t="s">
        <v>23</v>
      </c>
      <c r="N75" s="0" t="n">
        <v>5960</v>
      </c>
      <c r="P75" s="15" t="n">
        <f aca="false">IFERROR(LOOKUP(IF(O75="",E75,O75),{0,1,10,25,100,3300},{0,1.41,1.3,1.07,0.977,0.977}),"")</f>
        <v>1.41</v>
      </c>
      <c r="Q75" s="15" t="n">
        <f aca="false">IFERROR(IF(O75="",E75,O75)*P75,"")</f>
        <v>7.05</v>
      </c>
      <c r="R75" s="0" t="s">
        <v>342</v>
      </c>
      <c r="S75" s="16" t="s">
        <v>23</v>
      </c>
      <c r="Y75" s="16" t="s">
        <v>23</v>
      </c>
    </row>
    <row r="76" customFormat="false" ht="14.9" hidden="false" customHeight="false" outlineLevel="0" collapsed="false">
      <c r="A76" s="0" t="s">
        <v>343</v>
      </c>
      <c r="B76" s="0" t="s">
        <v>344</v>
      </c>
      <c r="D76" s="0" t="s">
        <v>344</v>
      </c>
      <c r="E76" s="0" t="n">
        <f aca="false">BoardQty*1</f>
        <v>5</v>
      </c>
      <c r="F76" s="15" t="n">
        <f aca="true">MINA(INDIRECT(ADDRESS(ROW(),COLUMN(newark_part_data)+2)),INDIRECT(ADDRESS(ROW(),COLUMN(digikey_part_data)+2)),INDIRECT(ADDRESS(ROW(),COLUMN(mouser_part_data)+2)))</f>
        <v>1.98</v>
      </c>
      <c r="G76" s="15" t="n">
        <f aca="false">IFERROR(E76*F76,"")</f>
        <v>9.9</v>
      </c>
      <c r="H76" s="0" t="n">
        <v>3972</v>
      </c>
      <c r="J76" s="15" t="n">
        <f aca="false">IFERROR(LOOKUP(IF(I76="",E76,I76),{0,1,10,50,100,500,1000,3000,5000,10000},{0,1.98,1.898,1.8564,1.5876,1.5456,1.239,1.176,1.134,1.092}),"")</f>
        <v>1.98</v>
      </c>
      <c r="K76" s="15" t="n">
        <f aca="false">IFERROR(IF(I76="",E76,I76)*J76,"")</f>
        <v>9.9</v>
      </c>
      <c r="L76" s="0" t="s">
        <v>345</v>
      </c>
      <c r="M76" s="16" t="s">
        <v>23</v>
      </c>
      <c r="N76" s="0" t="n">
        <v>503</v>
      </c>
      <c r="P76" s="15" t="n">
        <f aca="false">IFERROR(LOOKUP(IF(O76="",E76,O76),{0,1,10,25,50,100,250,500,1000,2000},{0,6.27,5.98,5.77,5.66,5.18,5.08,4.94,4.03,3.74}),"")</f>
        <v>6.27</v>
      </c>
      <c r="Q76" s="15" t="n">
        <f aca="false">IFERROR(IF(O76="",E76,O76)*P76,"")</f>
        <v>31.35</v>
      </c>
      <c r="R76" s="0" t="s">
        <v>346</v>
      </c>
      <c r="S76" s="16" t="s">
        <v>23</v>
      </c>
    </row>
    <row r="77" customFormat="false" ht="14.9" hidden="false" customHeight="false" outlineLevel="0" collapsed="false">
      <c r="A77" s="0" t="s">
        <v>347</v>
      </c>
      <c r="B77" s="0" t="s">
        <v>348</v>
      </c>
      <c r="D77" s="0" t="s">
        <v>349</v>
      </c>
      <c r="E77" s="0" t="n">
        <f aca="false">BoardQty*1</f>
        <v>5</v>
      </c>
      <c r="F77" s="15" t="n">
        <f aca="true">MINA(INDIRECT(ADDRESS(ROW(),COLUMN(newark_part_data)+2)),INDIRECT(ADDRESS(ROW(),COLUMN(digikey_part_data)+2)),INDIRECT(ADDRESS(ROW(),COLUMN(mouser_part_data)+2)))</f>
        <v>0.099</v>
      </c>
      <c r="G77" s="15" t="n">
        <f aca="false">IFERROR(E77*F77,"")</f>
        <v>0.495</v>
      </c>
      <c r="H77" s="0" t="n">
        <v>445615</v>
      </c>
      <c r="J77" s="15" t="n">
        <f aca="false">IFERROR(LOOKUP(IF(I77="",E77,I77),{0,1,10,25,100,250,500,1000,2500,5000,10000,25000,50000,125000},{0,0.1,0.011,0.008,0.0044,0.00336,0.0027,0.00198,0.00172,0.00129,0.00112,0.00099,0.0009,0.00089}),"")</f>
        <v>0.1</v>
      </c>
      <c r="K77" s="15" t="n">
        <f aca="false">IFERROR(IF(I77="",E77,I77)*J77,"")</f>
        <v>0.5</v>
      </c>
      <c r="L77" s="0" t="s">
        <v>349</v>
      </c>
      <c r="M77" s="16" t="s">
        <v>23</v>
      </c>
      <c r="N77" s="0" t="n">
        <v>37226</v>
      </c>
      <c r="P77" s="15" t="n">
        <f aca="false">IFERROR(LOOKUP(IF(O77="",E77,O77),{0,1,10,100,1000,5000,50000},{0,0.099,0.008,0.003,0.002,0.002,0.001}),"")</f>
        <v>0.099</v>
      </c>
      <c r="Q77" s="15" t="n">
        <f aca="false">IFERROR(IF(O77="",E77,O77)*P77,"")</f>
        <v>0.495</v>
      </c>
      <c r="R77" s="0" t="s">
        <v>350</v>
      </c>
      <c r="S77" s="16" t="s">
        <v>23</v>
      </c>
    </row>
    <row r="78" customFormat="false" ht="14.9" hidden="false" customHeight="false" outlineLevel="0" collapsed="false">
      <c r="A78" s="0" t="s">
        <v>351</v>
      </c>
      <c r="B78" s="0" t="s">
        <v>352</v>
      </c>
      <c r="D78" s="0" t="s">
        <v>353</v>
      </c>
      <c r="E78" s="0" t="n">
        <f aca="false">BoardQty*1</f>
        <v>5</v>
      </c>
      <c r="F78" s="15" t="n">
        <f aca="true">MINA(INDIRECT(ADDRESS(ROW(),COLUMN(newark_part_data)+2)),INDIRECT(ADDRESS(ROW(),COLUMN(digikey_part_data)+2)),INDIRECT(ADDRESS(ROW(),COLUMN(mouser_part_data)+2)))</f>
        <v>0.47</v>
      </c>
      <c r="G78" s="15" t="n">
        <f aca="false">IFERROR(E78*F78,"")</f>
        <v>2.35</v>
      </c>
      <c r="H78" s="0" t="n">
        <v>64884</v>
      </c>
      <c r="J78" s="15" t="n">
        <f aca="false">IFERROR(LOOKUP(IF(I78="",E78,I78),{0,1,10,100,500,1000,3000,6000,15000,30000,75000,150000},{0,0.47,0.352,0.2195,0.15008,0.11536,0.1008,0.0952,0.0868,0.0812,0.0728,0.07}),"")</f>
        <v>0.47</v>
      </c>
      <c r="K78" s="15" t="n">
        <f aca="false">IFERROR(IF(I78="",E78,I78)*J78,"")</f>
        <v>2.35</v>
      </c>
      <c r="L78" s="0" t="s">
        <v>354</v>
      </c>
      <c r="M78" s="16" t="s">
        <v>23</v>
      </c>
      <c r="N78" s="0" t="n">
        <v>28408</v>
      </c>
      <c r="P78" s="15" t="n">
        <f aca="false">IFERROR(LOOKUP(IF(O78="",E78,O78),{0,1,10,100,1000,3000,9000,24000,45000,99000},{0,0.589,0.405,0.192,0.147,0.121,0.111,0.104,0.093,0.089}),"")</f>
        <v>0.589</v>
      </c>
      <c r="Q78" s="15" t="n">
        <f aca="false">IFERROR(IF(O78="",E78,O78)*P78,"")</f>
        <v>2.945</v>
      </c>
      <c r="R78" s="0" t="s">
        <v>355</v>
      </c>
      <c r="S78" s="16" t="s">
        <v>23</v>
      </c>
      <c r="T78" s="0" t="n">
        <v>6344</v>
      </c>
      <c r="V78" s="15" t="n">
        <f aca="false">IFERROR(LOOKUP(IF(U78="",E78,U78),{0,1,10,25,100,250,500,1000},{0,0.551,0.387,0.317,0.254,0.185,0.15,0.116}),"")</f>
        <v>0.551</v>
      </c>
      <c r="W78" s="15" t="n">
        <f aca="false">IFERROR(IF(U78="",E78,U78)*V78,"")</f>
        <v>2.755</v>
      </c>
      <c r="X78" s="0" t="s">
        <v>356</v>
      </c>
      <c r="Y78" s="16" t="s">
        <v>23</v>
      </c>
    </row>
    <row r="79" customFormat="false" ht="14.9" hidden="false" customHeight="false" outlineLevel="0" collapsed="false">
      <c r="A79" s="0" t="s">
        <v>357</v>
      </c>
      <c r="B79" s="0" t="s">
        <v>358</v>
      </c>
      <c r="D79" s="0" t="s">
        <v>359</v>
      </c>
      <c r="E79" s="0" t="n">
        <f aca="false">BoardQty*1</f>
        <v>5</v>
      </c>
      <c r="F79" s="15" t="n">
        <f aca="true">MINA(INDIRECT(ADDRESS(ROW(),COLUMN(newark_part_data)+2)),INDIRECT(ADDRESS(ROW(),COLUMN(digikey_part_data)+2)),INDIRECT(ADDRESS(ROW(),COLUMN(mouser_part_data)+2)))</f>
        <v>0.28</v>
      </c>
      <c r="G79" s="15" t="n">
        <f aca="false">IFERROR(E79*F79,"")</f>
        <v>1.4</v>
      </c>
      <c r="H79" s="0" t="n">
        <v>5321</v>
      </c>
      <c r="J79" s="15" t="n">
        <f aca="false">IFERROR(LOOKUP(IF(I79="",E79,I79),{0,1,25,100,3300},{0,0.28,0.27,0.26,0.26}),"")</f>
        <v>0.28</v>
      </c>
      <c r="K79" s="15" t="n">
        <f aca="false">IFERROR(IF(I79="",E79,I79)*J79,"")</f>
        <v>1.4</v>
      </c>
      <c r="L79" s="0" t="s">
        <v>360</v>
      </c>
      <c r="M79" s="16" t="s">
        <v>23</v>
      </c>
      <c r="N79" s="0" t="n">
        <v>672</v>
      </c>
      <c r="P79" s="15" t="n">
        <f aca="false">IFERROR(LOOKUP(IF(O79="",E79,O79),{0,1,10,25,100,3300},{0,0.336,0.276,0.266,0.256,0.256}),"")</f>
        <v>0.336</v>
      </c>
      <c r="Q79" s="15" t="n">
        <f aca="false">IFERROR(IF(O79="",E79,O79)*P79,"")</f>
        <v>1.68</v>
      </c>
      <c r="R79" s="0" t="s">
        <v>361</v>
      </c>
      <c r="S79" s="16" t="s">
        <v>23</v>
      </c>
      <c r="Y79" s="16" t="s">
        <v>23</v>
      </c>
    </row>
    <row r="80" customFormat="false" ht="14.9" hidden="false" customHeight="false" outlineLevel="0" collapsed="false">
      <c r="A80" s="0" t="s">
        <v>362</v>
      </c>
      <c r="B80" s="0" t="s">
        <v>363</v>
      </c>
      <c r="D80" s="0" t="s">
        <v>21</v>
      </c>
      <c r="E80" s="0" t="n">
        <f aca="false">BoardQty*4</f>
        <v>20</v>
      </c>
      <c r="F80" s="15" t="n">
        <f aca="true">MINA(INDIRECT(ADDRESS(ROW(),COLUMN(newark_part_data)+2)),INDIRECT(ADDRESS(ROW(),COLUMN(digikey_part_data)+2)),INDIRECT(ADDRESS(ROW(),COLUMN(mouser_part_data)+2)))</f>
        <v>0.008</v>
      </c>
      <c r="G80" s="15" t="n">
        <f aca="false">IFERROR(E80*F80,"")</f>
        <v>0.16</v>
      </c>
      <c r="H80" s="0" t="n">
        <v>2501447</v>
      </c>
      <c r="J80" s="15" t="n">
        <f aca="false">IFERROR(LOOKUP(IF(I80="",E80,I80),{0,1,10,25,100,250,500,1000,2500,5000,10000,25000,50000,125000},{0,0.1,0.011,0.008,0.0044,0.00336,0.0027,0.00198,0.00172,0.00129,0.00112,0.00099,0.0009,0.00089}),"")</f>
        <v>0.011</v>
      </c>
      <c r="K80" s="15" t="n">
        <f aca="false">IFERROR(IF(I80="",E80,I80)*J80,"")</f>
        <v>0.22</v>
      </c>
      <c r="L80" s="0" t="s">
        <v>22</v>
      </c>
      <c r="M80" s="16" t="s">
        <v>23</v>
      </c>
      <c r="N80" s="0" t="n">
        <v>147081</v>
      </c>
      <c r="P80" s="15" t="n">
        <f aca="false">IFERROR(LOOKUP(IF(O80="",E80,O80),{0,1,10,100,1000,5000,50000},{0,0.099,0.008,0.003,0.002,0.002,0.001}),"")</f>
        <v>0.008</v>
      </c>
      <c r="Q80" s="15" t="n">
        <f aca="false">IFERROR(IF(O80="",E80,O80)*P80,"")</f>
        <v>0.16</v>
      </c>
      <c r="R80" s="0" t="s">
        <v>24</v>
      </c>
      <c r="S80" s="16" t="s">
        <v>23</v>
      </c>
      <c r="T80" s="0" t="n">
        <v>3635</v>
      </c>
      <c r="V80" s="15" t="n">
        <f aca="false">IFERROR(LOOKUP(IF(U80="",E80,U80),{0,1,10,25,100,250,1000},{0,0.06,0.01,0.007,0.004,0.003,0.002}),"")</f>
        <v>0.01</v>
      </c>
      <c r="W80" s="15" t="n">
        <f aca="false">IFERROR(IF(U80="",E80,U80)*V80,"")</f>
        <v>0.2</v>
      </c>
      <c r="X80" s="0" t="s">
        <v>25</v>
      </c>
      <c r="Y80" s="16" t="s">
        <v>23</v>
      </c>
    </row>
    <row r="81" customFormat="false" ht="14.9" hidden="false" customHeight="false" outlineLevel="0" collapsed="false">
      <c r="A81" s="0" t="s">
        <v>364</v>
      </c>
      <c r="B81" s="0" t="s">
        <v>365</v>
      </c>
      <c r="D81" s="0" t="s">
        <v>366</v>
      </c>
      <c r="E81" s="0" t="n">
        <f aca="false">BoardQty*1</f>
        <v>5</v>
      </c>
      <c r="F81" s="15" t="n">
        <f aca="true">MINA(INDIRECT(ADDRESS(ROW(),COLUMN(newark_part_data)+2)),INDIRECT(ADDRESS(ROW(),COLUMN(digikey_part_data)+2)),INDIRECT(ADDRESS(ROW(),COLUMN(mouser_part_data)+2)))</f>
        <v>0</v>
      </c>
      <c r="G81" s="15" t="n">
        <f aca="false">IFERROR(E81*F81,"")</f>
        <v>0</v>
      </c>
      <c r="M81" s="16" t="s">
        <v>23</v>
      </c>
      <c r="S81" s="16" t="s">
        <v>23</v>
      </c>
      <c r="Y81" s="16" t="s">
        <v>23</v>
      </c>
    </row>
    <row r="82" customFormat="false" ht="14.9" hidden="false" customHeight="false" outlineLevel="0" collapsed="false">
      <c r="A82" s="0" t="s">
        <v>367</v>
      </c>
      <c r="B82" s="0" t="s">
        <v>368</v>
      </c>
      <c r="D82" s="0" t="s">
        <v>368</v>
      </c>
      <c r="E82" s="0" t="n">
        <f aca="false">BoardQty*1</f>
        <v>5</v>
      </c>
      <c r="F82" s="15" t="n">
        <f aca="true">MINA(INDIRECT(ADDRESS(ROW(),COLUMN(newark_part_data)+2)),INDIRECT(ADDRESS(ROW(),COLUMN(digikey_part_data)+2)),INDIRECT(ADDRESS(ROW(),COLUMN(mouser_part_data)+2)))</f>
        <v>0.355</v>
      </c>
      <c r="G82" s="15" t="n">
        <f aca="false">IFERROR(E82*F82,"")</f>
        <v>1.775</v>
      </c>
      <c r="H82" s="0" t="n">
        <v>4851</v>
      </c>
      <c r="J82" s="15" t="n">
        <f aca="false">IFERROR(LOOKUP(IF(I82="",E82,I82),{0,1,5,10,50,100,250,500,1000,2500,5000,12500},{0,0.38,0.364,0.353,0.2974,0.2468,0.2244,0.19074,0.1683,0.1428,0.1377,0.1326}),"")</f>
        <v>0.364</v>
      </c>
      <c r="K82" s="15" t="n">
        <f aca="false">IFERROR(IF(I82="",E82,I82)*J82,"")</f>
        <v>1.82</v>
      </c>
      <c r="L82" s="0" t="s">
        <v>369</v>
      </c>
      <c r="M82" s="16" t="s">
        <v>23</v>
      </c>
      <c r="N82" s="0" t="n">
        <v>3115</v>
      </c>
      <c r="P82" s="15" t="n">
        <f aca="false">IFERROR(LOOKUP(IF(O82="",E82,O82),{0,1,10,100,250,500,1000,2500,5000,10000},{0,0.355,0.28,0.233,0.213,0.18,0.159,0.141,0.136,0.134}),"")</f>
        <v>0.355</v>
      </c>
      <c r="Q82" s="15" t="n">
        <f aca="false">IFERROR(IF(O82="",E82,O82)*P82,"")</f>
        <v>1.775</v>
      </c>
      <c r="R82" s="0" t="s">
        <v>370</v>
      </c>
      <c r="S82" s="16" t="s">
        <v>23</v>
      </c>
      <c r="Y82" s="16" t="s">
        <v>23</v>
      </c>
    </row>
    <row r="83" customFormat="false" ht="14.9" hidden="false" customHeight="false" outlineLevel="0" collapsed="false">
      <c r="A83" s="0" t="s">
        <v>371</v>
      </c>
      <c r="B83" s="0" t="s">
        <v>368</v>
      </c>
      <c r="D83" s="0" t="s">
        <v>372</v>
      </c>
      <c r="E83" s="0" t="n">
        <f aca="false">BoardQty*2</f>
        <v>10</v>
      </c>
      <c r="F83" s="15" t="n">
        <f aca="true">MINA(INDIRECT(ADDRESS(ROW(),COLUMN(newark_part_data)+2)),INDIRECT(ADDRESS(ROW(),COLUMN(digikey_part_data)+2)),INDIRECT(ADDRESS(ROW(),COLUMN(mouser_part_data)+2)))</f>
        <v>0.208</v>
      </c>
      <c r="G83" s="15" t="n">
        <f aca="false">IFERROR(E83*F83,"")</f>
        <v>2.08</v>
      </c>
      <c r="H83" s="0" t="n">
        <v>3872</v>
      </c>
      <c r="J83" s="15" t="n">
        <f aca="false">IFERROR(LOOKUP(IF(I83="",E83,I83),{0,1,10,25,50,100,250,500,1000,3000,6000,15000},{0,0.29,0.273,0.252,0.2432,0.2264,0.2016,0.168,0.1592,0.128,0.12,0.112}),"")</f>
        <v>0.273</v>
      </c>
      <c r="K83" s="15" t="n">
        <f aca="false">IFERROR(IF(I83="",E83,I83)*J83,"")</f>
        <v>2.73</v>
      </c>
      <c r="L83" s="0" t="s">
        <v>373</v>
      </c>
      <c r="M83" s="16" t="s">
        <v>23</v>
      </c>
      <c r="N83" s="0" t="n">
        <v>7081</v>
      </c>
      <c r="P83" s="15" t="n">
        <f aca="false">IFERROR(LOOKUP(IF(O83="",E83,O83),{0,1,10,100,250,500,1000,3000,6000,9000},{0,0.3,0.251,0.233,0.207,0.173,0.165,0.132,0.124,0.116}),"")</f>
        <v>0.251</v>
      </c>
      <c r="Q83" s="15" t="n">
        <f aca="false">IFERROR(IF(O83="",E83,O83)*P83,"")</f>
        <v>2.51</v>
      </c>
      <c r="R83" s="0" t="s">
        <v>374</v>
      </c>
      <c r="S83" s="16" t="s">
        <v>23</v>
      </c>
      <c r="T83" s="0" t="n">
        <v>374</v>
      </c>
      <c r="V83" s="15" t="n">
        <f aca="false">IFERROR(LOOKUP(IF(U83="",E83,U83),{0,1,10,100,250,500,1000},{0,0.288,0.208,0.192,0.183,0.167,0.141}),"")</f>
        <v>0.208</v>
      </c>
      <c r="W83" s="15" t="n">
        <f aca="false">IFERROR(IF(U83="",E83,U83)*V83,"")</f>
        <v>2.08</v>
      </c>
      <c r="X83" s="0" t="s">
        <v>375</v>
      </c>
      <c r="Y83" s="16" t="s">
        <v>23</v>
      </c>
    </row>
    <row r="84" customFormat="false" ht="13.8" hidden="false" customHeight="false" outlineLevel="0" collapsed="false">
      <c r="A84" s="0" t="s">
        <v>376</v>
      </c>
      <c r="B84" s="0" t="s">
        <v>377</v>
      </c>
      <c r="E84" s="0" t="n">
        <f aca="false">BoardQty*6</f>
        <v>30</v>
      </c>
      <c r="F84" s="15" t="n">
        <f aca="true">MINA(INDIRECT(ADDRESS(ROW(),COLUMN(newark_part_data)+2)),INDIRECT(ADDRESS(ROW(),COLUMN(digikey_part_data)+2)),INDIRECT(ADDRESS(ROW(),COLUMN(mouser_part_data)+2)))</f>
        <v>0</v>
      </c>
      <c r="G84" s="15" t="n">
        <f aca="false">IFERROR(E84*F84,"")</f>
        <v>0</v>
      </c>
    </row>
    <row r="85" customFormat="false" ht="14.9" hidden="false" customHeight="false" outlineLevel="0" collapsed="false">
      <c r="A85" s="0" t="s">
        <v>378</v>
      </c>
      <c r="B85" s="0" t="s">
        <v>368</v>
      </c>
      <c r="D85" s="0" t="s">
        <v>372</v>
      </c>
      <c r="E85" s="0" t="n">
        <f aca="false">BoardQty*1</f>
        <v>5</v>
      </c>
      <c r="F85" s="15" t="n">
        <f aca="true">MINA(INDIRECT(ADDRESS(ROW(),COLUMN(newark_part_data)+2)),INDIRECT(ADDRESS(ROW(),COLUMN(digikey_part_data)+2)),INDIRECT(ADDRESS(ROW(),COLUMN(mouser_part_data)+2)))</f>
        <v>0.288</v>
      </c>
      <c r="G85" s="15" t="n">
        <f aca="false">IFERROR(E85*F85,"")</f>
        <v>1.44</v>
      </c>
      <c r="H85" s="0" t="n">
        <v>3872</v>
      </c>
      <c r="J85" s="15" t="n">
        <f aca="false">IFERROR(LOOKUP(IF(I85="",E85,I85),{0,1,10,25,50,100,250,500,1000,3000,6000,15000},{0,0.29,0.273,0.252,0.2432,0.2264,0.2016,0.168,0.1592,0.128,0.12,0.112}),"")</f>
        <v>0.29</v>
      </c>
      <c r="K85" s="15" t="n">
        <f aca="false">IFERROR(IF(I85="",E85,I85)*J85,"")</f>
        <v>1.45</v>
      </c>
      <c r="L85" s="0" t="s">
        <v>373</v>
      </c>
      <c r="M85" s="16" t="s">
        <v>23</v>
      </c>
      <c r="N85" s="0" t="n">
        <v>7081</v>
      </c>
      <c r="P85" s="15" t="n">
        <f aca="false">IFERROR(LOOKUP(IF(O85="",E85,O85),{0,1,10,100,250,500,1000,3000,6000,9000},{0,0.3,0.251,0.233,0.207,0.173,0.165,0.132,0.124,0.116}),"")</f>
        <v>0.3</v>
      </c>
      <c r="Q85" s="15" t="n">
        <f aca="false">IFERROR(IF(O85="",E85,O85)*P85,"")</f>
        <v>1.5</v>
      </c>
      <c r="R85" s="0" t="s">
        <v>374</v>
      </c>
      <c r="S85" s="16" t="s">
        <v>23</v>
      </c>
      <c r="T85" s="0" t="n">
        <v>374</v>
      </c>
      <c r="V85" s="15" t="n">
        <f aca="false">IFERROR(LOOKUP(IF(U85="",E85,U85),{0,1,10,100,250,500,1000},{0,0.288,0.208,0.192,0.183,0.167,0.141}),"")</f>
        <v>0.288</v>
      </c>
      <c r="W85" s="15" t="n">
        <f aca="false">IFERROR(IF(U85="",E85,U85)*V85,"")</f>
        <v>1.44</v>
      </c>
      <c r="X85" s="0" t="s">
        <v>375</v>
      </c>
      <c r="Y85" s="16" t="s">
        <v>23</v>
      </c>
    </row>
    <row r="86" customFormat="false" ht="14.9" hidden="false" customHeight="false" outlineLevel="0" collapsed="false">
      <c r="A86" s="0" t="s">
        <v>379</v>
      </c>
      <c r="B86" s="0" t="s">
        <v>125</v>
      </c>
      <c r="D86" s="0" t="s">
        <v>126</v>
      </c>
      <c r="E86" s="0" t="n">
        <f aca="false">BoardQty*4</f>
        <v>20</v>
      </c>
      <c r="F86" s="15" t="n">
        <f aca="true">MINA(INDIRECT(ADDRESS(ROW(),COLUMN(newark_part_data)+2)),INDIRECT(ADDRESS(ROW(),COLUMN(digikey_part_data)+2)),INDIRECT(ADDRESS(ROW(),COLUMN(mouser_part_data)+2)))</f>
        <v>0.036</v>
      </c>
      <c r="G86" s="15" t="n">
        <f aca="false">IFERROR(E86*F86,"")</f>
        <v>0.72</v>
      </c>
      <c r="H86" s="0" t="n">
        <v>1808</v>
      </c>
      <c r="J86" s="15" t="n">
        <f aca="false">IFERROR(LOOKUP(IF(I86="",E86,I86),{0,1,10,50,100,250,500,1000,4000,8000,12000,28000,100000},{0,0.1,0.048,0.026,0.022,0.018,0.0154,0.012,0.0092,0.0084,0.008,0.0076,0.0055}),"")</f>
        <v>0.048</v>
      </c>
      <c r="K86" s="15" t="n">
        <f aca="false">IFERROR(IF(I86="",E86,I86)*J86,"")</f>
        <v>0.96</v>
      </c>
      <c r="L86" s="0" t="s">
        <v>127</v>
      </c>
      <c r="M86" s="16" t="s">
        <v>23</v>
      </c>
      <c r="N86" s="0" t="n">
        <v>14783</v>
      </c>
      <c r="P86" s="15" t="n">
        <f aca="false">IFERROR(LOOKUP(IF(O86="",E86,O86),{0,1,10,100,500,1000,4000,8000,48000},{0,0.099,0.036,0.026,0.022,0.016,0.013,0.011,0.009}),"")</f>
        <v>0.036</v>
      </c>
      <c r="Q86" s="15" t="n">
        <f aca="false">IFERROR(IF(O86="",E86,O86)*P86,"")</f>
        <v>0.72</v>
      </c>
      <c r="R86" s="0" t="s">
        <v>128</v>
      </c>
      <c r="S86" s="16" t="s">
        <v>23</v>
      </c>
      <c r="Y86" s="16" t="s">
        <v>23</v>
      </c>
    </row>
    <row r="87" customFormat="false" ht="14.9" hidden="false" customHeight="false" outlineLevel="0" collapsed="false">
      <c r="A87" s="0" t="s">
        <v>380</v>
      </c>
      <c r="B87" s="0" t="s">
        <v>381</v>
      </c>
      <c r="D87" s="0" t="s">
        <v>382</v>
      </c>
      <c r="E87" s="0" t="n">
        <f aca="false">BoardQty*2</f>
        <v>10</v>
      </c>
      <c r="F87" s="15" t="n">
        <f aca="true">MINA(INDIRECT(ADDRESS(ROW(),COLUMN(newark_part_data)+2)),INDIRECT(ADDRESS(ROW(),COLUMN(digikey_part_data)+2)),INDIRECT(ADDRESS(ROW(),COLUMN(mouser_part_data)+2)))</f>
        <v>2.54</v>
      </c>
      <c r="G87" s="15" t="n">
        <f aca="false">IFERROR(E87*F87,"")</f>
        <v>25.4</v>
      </c>
      <c r="H87" s="0" t="n">
        <v>25</v>
      </c>
      <c r="J87" s="15" t="n">
        <f aca="false">IFERROR(LOOKUP(IF(I87="",E87,I87),{0,1,10,25,100,250,500,1000,2500,5000,12500,25000},{0,3.06,2.55,2.142,1.836,1.632,1.479,1.3566,1.3005,1.2648,1.01675,0.996}),"")</f>
        <v>2.55</v>
      </c>
      <c r="K87" s="15" t="n">
        <f aca="false">IFERROR(IF(I87="",E87,I87)*J87,"")</f>
        <v>25.5</v>
      </c>
      <c r="L87" s="0" t="s">
        <v>383</v>
      </c>
      <c r="M87" s="16" t="s">
        <v>23</v>
      </c>
      <c r="N87" s="0" t="n">
        <v>182</v>
      </c>
      <c r="P87" s="15" t="n">
        <f aca="false">IFERROR(LOOKUP(IF(O87="",E87,O87),{0,1,10,100,500,1000},{0,2.75,2.54,2.04,1.82,1.53}),"")</f>
        <v>2.54</v>
      </c>
      <c r="Q87" s="15" t="n">
        <f aca="false">IFERROR(IF(O87="",E87,O87)*P87,"")</f>
        <v>25.4</v>
      </c>
      <c r="R87" s="0" t="s">
        <v>384</v>
      </c>
      <c r="S87" s="16" t="s">
        <v>23</v>
      </c>
    </row>
    <row r="88" customFormat="false" ht="13.8" hidden="false" customHeight="false" outlineLevel="0" collapsed="false">
      <c r="A88" s="0" t="s">
        <v>385</v>
      </c>
      <c r="B88" s="0" t="s">
        <v>386</v>
      </c>
      <c r="E88" s="0" t="n">
        <f aca="false">BoardQty*4</f>
        <v>20</v>
      </c>
      <c r="F88" s="15" t="n">
        <f aca="true">MINA(INDIRECT(ADDRESS(ROW(),COLUMN(newark_part_data)+2)),INDIRECT(ADDRESS(ROW(),COLUMN(digikey_part_data)+2)),INDIRECT(ADDRESS(ROW(),COLUMN(mouser_part_data)+2)))</f>
        <v>0</v>
      </c>
      <c r="G88" s="15" t="n">
        <f aca="false">IFERROR(E88*F88,"")</f>
        <v>0</v>
      </c>
    </row>
    <row r="89" customFormat="false" ht="14.9" hidden="false" customHeight="false" outlineLevel="0" collapsed="false">
      <c r="A89" s="0" t="s">
        <v>387</v>
      </c>
      <c r="B89" s="0" t="s">
        <v>388</v>
      </c>
      <c r="D89" s="0" t="s">
        <v>389</v>
      </c>
      <c r="E89" s="0" t="n">
        <f aca="false">BoardQty*1</f>
        <v>5</v>
      </c>
      <c r="F89" s="15" t="n">
        <f aca="true">MINA(INDIRECT(ADDRESS(ROW(),COLUMN(newark_part_data)+2)),INDIRECT(ADDRESS(ROW(),COLUMN(digikey_part_data)+2)),INDIRECT(ADDRESS(ROW(),COLUMN(mouser_part_data)+2)))</f>
        <v>0.08</v>
      </c>
      <c r="G89" s="15" t="n">
        <f aca="false">IFERROR(E89*F89,"")</f>
        <v>0.4</v>
      </c>
      <c r="H89" s="0" t="n">
        <v>632542</v>
      </c>
      <c r="J89" s="15" t="n">
        <f aca="false">IFERROR(LOOKUP(IF(I89="",E89,I89),{0,1,10,25,100,250,500,1000,2500,5000,10000,25000,50000,125000},{0,0.1,0.014,0.01,0.0057,0.00436,0.00348,0.00257,0.00223,0.00167,0.00145,0.00128,0.00117,0.00115}),"")</f>
        <v>0.1</v>
      </c>
      <c r="K89" s="15" t="n">
        <f aca="false">IFERROR(IF(I89="",E89,I89)*J89,"")</f>
        <v>0.5</v>
      </c>
      <c r="L89" s="0" t="s">
        <v>390</v>
      </c>
      <c r="M89" s="16" t="s">
        <v>23</v>
      </c>
      <c r="N89" s="0" t="n">
        <v>672003</v>
      </c>
      <c r="P89" s="15" t="n">
        <f aca="false">IFERROR(LOOKUP(IF(O89="",E89,O89),{0,1,10,100,1000,5000,10000},{0,0.099,0.01,0.003,0.002,0.002,0.001}),"")</f>
        <v>0.099</v>
      </c>
      <c r="Q89" s="15" t="n">
        <f aca="false">IFERROR(IF(O89="",E89,O89)*P89,"")</f>
        <v>0.495</v>
      </c>
      <c r="R89" s="0" t="s">
        <v>391</v>
      </c>
      <c r="S89" s="16" t="s">
        <v>23</v>
      </c>
      <c r="T89" s="0" t="n">
        <v>4499</v>
      </c>
      <c r="V89" s="15" t="n">
        <f aca="false">IFERROR(LOOKUP(IF(U89="",E89,U89),{0,1,10,25,100,250,1000},{0,0.08,0.014,0.01,0.006,0.004,0.003}),"")</f>
        <v>0.08</v>
      </c>
      <c r="W89" s="15" t="n">
        <f aca="false">IFERROR(IF(U89="",E89,U89)*V89,"")</f>
        <v>0.4</v>
      </c>
      <c r="X89" s="0" t="s">
        <v>392</v>
      </c>
      <c r="Y89" s="16" t="s">
        <v>23</v>
      </c>
    </row>
    <row r="90" customFormat="false" ht="14.9" hidden="false" customHeight="false" outlineLevel="0" collapsed="false">
      <c r="A90" s="0" t="s">
        <v>393</v>
      </c>
      <c r="B90" s="0" t="s">
        <v>388</v>
      </c>
      <c r="D90" s="0" t="s">
        <v>389</v>
      </c>
      <c r="E90" s="0" t="n">
        <f aca="false">BoardQty*5</f>
        <v>25</v>
      </c>
      <c r="F90" s="15" t="n">
        <f aca="true">MINA(INDIRECT(ADDRESS(ROW(),COLUMN(newark_part_data)+2)),INDIRECT(ADDRESS(ROW(),COLUMN(digikey_part_data)+2)),INDIRECT(ADDRESS(ROW(),COLUMN(mouser_part_data)+2)))</f>
        <v>0.01</v>
      </c>
      <c r="G90" s="15" t="n">
        <f aca="false">IFERROR(E90*F90,"")</f>
        <v>0.25</v>
      </c>
      <c r="H90" s="0" t="n">
        <v>632542</v>
      </c>
      <c r="J90" s="15" t="n">
        <f aca="false">IFERROR(LOOKUP(IF(I90="",E90,I90),{0,1,10,25,100,250,500,1000,2500,5000,10000,25000,50000,125000},{0,0.1,0.014,0.01,0.0057,0.00436,0.00348,0.00257,0.00223,0.00167,0.00145,0.00128,0.00117,0.00115}),"")</f>
        <v>0.01</v>
      </c>
      <c r="K90" s="15" t="n">
        <f aca="false">IFERROR(IF(I90="",E90,I90)*J90,"")</f>
        <v>0.25</v>
      </c>
      <c r="L90" s="0" t="s">
        <v>390</v>
      </c>
      <c r="M90" s="16" t="s">
        <v>23</v>
      </c>
      <c r="N90" s="0" t="n">
        <v>672003</v>
      </c>
      <c r="P90" s="15" t="n">
        <f aca="false">IFERROR(LOOKUP(IF(O90="",E90,O90),{0,1,10,100,1000,5000,10000},{0,0.099,0.01,0.003,0.002,0.002,0.001}),"")</f>
        <v>0.01</v>
      </c>
      <c r="Q90" s="15" t="n">
        <f aca="false">IFERROR(IF(O90="",E90,O90)*P90,"")</f>
        <v>0.25</v>
      </c>
      <c r="R90" s="0" t="s">
        <v>391</v>
      </c>
      <c r="S90" s="16" t="s">
        <v>23</v>
      </c>
      <c r="T90" s="0" t="n">
        <v>4499</v>
      </c>
      <c r="V90" s="15" t="n">
        <f aca="false">IFERROR(LOOKUP(IF(U90="",E90,U90),{0,1,10,25,100,250,1000},{0,0.08,0.014,0.01,0.006,0.004,0.003}),"")</f>
        <v>0.01</v>
      </c>
      <c r="W90" s="15" t="n">
        <f aca="false">IFERROR(IF(U90="",E90,U90)*V90,"")</f>
        <v>0.25</v>
      </c>
      <c r="X90" s="0" t="s">
        <v>392</v>
      </c>
      <c r="Y90" s="16" t="s">
        <v>23</v>
      </c>
    </row>
    <row r="91" customFormat="false" ht="14.9" hidden="false" customHeight="false" outlineLevel="0" collapsed="false">
      <c r="A91" s="0" t="s">
        <v>394</v>
      </c>
      <c r="B91" s="0" t="s">
        <v>395</v>
      </c>
      <c r="D91" s="0" t="s">
        <v>396</v>
      </c>
      <c r="E91" s="0" t="n">
        <f aca="false">BoardQty*1</f>
        <v>5</v>
      </c>
      <c r="F91" s="15" t="n">
        <f aca="true">MINA(INDIRECT(ADDRESS(ROW(),COLUMN(newark_part_data)+2)),INDIRECT(ADDRESS(ROW(),COLUMN(digikey_part_data)+2)),INDIRECT(ADDRESS(ROW(),COLUMN(mouser_part_data)+2)))</f>
        <v>0</v>
      </c>
      <c r="G91" s="15" t="n">
        <f aca="false">IFERROR(E91*F91,"")</f>
        <v>0</v>
      </c>
      <c r="M91" s="16" t="s">
        <v>23</v>
      </c>
      <c r="S91" s="16" t="s">
        <v>23</v>
      </c>
    </row>
    <row r="92" customFormat="false" ht="14.9" hidden="false" customHeight="false" outlineLevel="0" collapsed="false">
      <c r="A92" s="0" t="s">
        <v>397</v>
      </c>
      <c r="B92" s="0" t="s">
        <v>395</v>
      </c>
      <c r="D92" s="0" t="s">
        <v>398</v>
      </c>
      <c r="E92" s="0" t="n">
        <f aca="false">BoardQty*1</f>
        <v>5</v>
      </c>
      <c r="F92" s="15" t="n">
        <f aca="true">MINA(INDIRECT(ADDRESS(ROW(),COLUMN(newark_part_data)+2)),INDIRECT(ADDRESS(ROW(),COLUMN(digikey_part_data)+2)),INDIRECT(ADDRESS(ROW(),COLUMN(mouser_part_data)+2)))</f>
        <v>0.78</v>
      </c>
      <c r="G92" s="15" t="n">
        <f aca="false">IFERROR(E92*F92,"")</f>
        <v>3.9</v>
      </c>
      <c r="M92" s="16" t="s">
        <v>23</v>
      </c>
      <c r="S92" s="16" t="s">
        <v>23</v>
      </c>
      <c r="T92" s="0" t="n">
        <v>3000</v>
      </c>
      <c r="V92" s="15" t="n">
        <f aca="false">IFERROR(LOOKUP(IF(U92="",E92,U92),{0,1,1000,2000},{0,0.78,0.78,0.759}),"")</f>
        <v>0.78</v>
      </c>
      <c r="W92" s="15" t="n">
        <f aca="false">IFERROR(IF(U92="",E92,U92)*V92,"")</f>
        <v>3.9</v>
      </c>
      <c r="X92" s="0" t="s">
        <v>399</v>
      </c>
      <c r="Y92" s="16" t="s">
        <v>23</v>
      </c>
    </row>
    <row r="93" customFormat="false" ht="14.9" hidden="false" customHeight="false" outlineLevel="0" collapsed="false">
      <c r="A93" s="0" t="s">
        <v>400</v>
      </c>
      <c r="B93" s="0" t="s">
        <v>401</v>
      </c>
      <c r="D93" s="0" t="s">
        <v>402</v>
      </c>
      <c r="E93" s="0" t="n">
        <f aca="false">BoardQty*4</f>
        <v>20</v>
      </c>
      <c r="F93" s="15" t="n">
        <f aca="true">MINA(INDIRECT(ADDRESS(ROW(),COLUMN(newark_part_data)+2)),INDIRECT(ADDRESS(ROW(),COLUMN(digikey_part_data)+2)),INDIRECT(ADDRESS(ROW(),COLUMN(mouser_part_data)+2)))</f>
        <v>0.245</v>
      </c>
      <c r="G93" s="15" t="n">
        <f aca="false">IFERROR(E93*F93,"")</f>
        <v>4.9</v>
      </c>
      <c r="H93" s="0" t="n">
        <v>8546</v>
      </c>
      <c r="J93" s="15" t="n">
        <f aca="false">IFERROR(LOOKUP(IF(I93="",E93,I93),{0,1,50,100,250,500,1000,5000,10000,25000,50000,125000},{0,0.63,0.2494,0.1924,0.14964,0.10546,0.07695,0.04275,0.0399,0.03791,0.03714,0.03634}),"")</f>
        <v>0.63</v>
      </c>
      <c r="K93" s="15" t="n">
        <f aca="false">IFERROR(IF(I93="",E93,I93)*J93,"")</f>
        <v>12.6</v>
      </c>
      <c r="L93" s="0" t="s">
        <v>403</v>
      </c>
      <c r="M93" s="16" t="s">
        <v>23</v>
      </c>
      <c r="N93" s="0" t="n">
        <v>4632</v>
      </c>
      <c r="P93" s="15" t="n">
        <f aca="false">IFERROR(LOOKUP(IF(O93="",E93,O93),{0,1,10,100,500,1000,5000,10000,25000},{0,0.621,0.245,0.147,0.104,0.075,0.041,0.038,0.037}),"")</f>
        <v>0.245</v>
      </c>
      <c r="Q93" s="15" t="n">
        <f aca="false">IFERROR(IF(O93="",E93,O93)*P93,"")</f>
        <v>4.9</v>
      </c>
      <c r="R93" s="0" t="s">
        <v>404</v>
      </c>
      <c r="S93" s="16" t="s">
        <v>23</v>
      </c>
      <c r="Y93" s="16" t="s">
        <v>23</v>
      </c>
    </row>
    <row r="94" customFormat="false" ht="14.9" hidden="false" customHeight="false" outlineLevel="0" collapsed="false">
      <c r="A94" s="0" t="s">
        <v>405</v>
      </c>
      <c r="B94" s="0" t="s">
        <v>406</v>
      </c>
      <c r="D94" s="0" t="s">
        <v>193</v>
      </c>
      <c r="E94" s="0" t="n">
        <f aca="false">BoardQty*2</f>
        <v>10</v>
      </c>
      <c r="F94" s="15" t="n">
        <f aca="true">MINA(INDIRECT(ADDRESS(ROW(),COLUMN(newark_part_data)+2)),INDIRECT(ADDRESS(ROW(),COLUMN(digikey_part_data)+2)),INDIRECT(ADDRESS(ROW(),COLUMN(mouser_part_data)+2)))</f>
        <v>0.269</v>
      </c>
      <c r="G94" s="15" t="n">
        <f aca="false">IFERROR(E94*F94,"")</f>
        <v>2.69</v>
      </c>
      <c r="H94" s="0" t="n">
        <v>10550</v>
      </c>
      <c r="J94" s="15" t="n">
        <f aca="false">IFERROR(LOOKUP(IF(I94="",E94,I94),{0,1,10,25,100,250,500,1000,2000,6000,10000,50000,100000},{0,0.41,0.297,0.2276,0.1485,0.10892,0.0924,0.0759,0.06,0.054,0.048,0.0405,0.039}),"")</f>
        <v>0.297</v>
      </c>
      <c r="K94" s="15" t="n">
        <f aca="false">IFERROR(IF(I94="",E94,I94)*J94,"")</f>
        <v>2.97</v>
      </c>
      <c r="L94" s="0" t="s">
        <v>194</v>
      </c>
      <c r="M94" s="16" t="s">
        <v>23</v>
      </c>
      <c r="N94" s="0" t="n">
        <v>103</v>
      </c>
      <c r="P94" s="15" t="n">
        <f aca="false">IFERROR(LOOKUP(IF(O94="",E94,O94),{0,1,10,100,250,500,1000,2000,4000,10000},{0,0.379,0.269,0.158,0.111,0.096,0.075,0.06,0.053,0.048}),"")</f>
        <v>0.269</v>
      </c>
      <c r="Q94" s="15" t="n">
        <f aca="false">IFERROR(IF(O94="",E94,O94)*P94,"")</f>
        <v>2.69</v>
      </c>
      <c r="R94" s="0" t="s">
        <v>195</v>
      </c>
      <c r="S94" s="16" t="s">
        <v>23</v>
      </c>
    </row>
    <row r="95" customFormat="false" ht="14.9" hidden="false" customHeight="false" outlineLevel="0" collapsed="false">
      <c r="A95" s="0" t="s">
        <v>407</v>
      </c>
      <c r="B95" s="0" t="s">
        <v>408</v>
      </c>
      <c r="D95" s="0" t="s">
        <v>409</v>
      </c>
      <c r="E95" s="0" t="n">
        <f aca="false">BoardQty*1</f>
        <v>5</v>
      </c>
      <c r="F95" s="15" t="n">
        <f aca="true">MINA(INDIRECT(ADDRESS(ROW(),COLUMN(newark_part_data)+2)),INDIRECT(ADDRESS(ROW(),COLUMN(digikey_part_data)+2)),INDIRECT(ADDRESS(ROW(),COLUMN(mouser_part_data)+2)))</f>
        <v>0.296</v>
      </c>
      <c r="G95" s="15" t="n">
        <f aca="false">IFERROR(E95*F95,"")</f>
        <v>1.48</v>
      </c>
      <c r="H95" s="0" t="n">
        <v>49787</v>
      </c>
      <c r="J95" s="15" t="n">
        <f aca="false">IFERROR(LOOKUP(IF(I95="",E95,I95),{0,1,10,50,100,250,500,1000,2500,5000,15000,30000,75000,105000},{0,0.37,0.309,0.1738,0.1544,0.1158,0.1023,0.09071,0.08106,0.07527,0.06408,0.06176,0.0579,0.05115}),"")</f>
        <v>0.37</v>
      </c>
      <c r="K95" s="15" t="n">
        <f aca="false">IFERROR(IF(I95="",E95,I95)*J95,"")</f>
        <v>1.85</v>
      </c>
      <c r="L95" s="0" t="s">
        <v>410</v>
      </c>
      <c r="M95" s="16" t="s">
        <v>23</v>
      </c>
      <c r="N95" s="0" t="n">
        <v>15000</v>
      </c>
      <c r="P95" s="15" t="n">
        <f aca="false">IFERROR(LOOKUP(IF(O95="",E95,O95),{0,1,500,1500,4500,9000,15000,45000,90000},{0,0.296,0.175,0.107,0.097,0.087,0.064,0.059,0.057}),"")</f>
        <v>0.296</v>
      </c>
      <c r="Q95" s="15" t="n">
        <f aca="false">IFERROR(IF(O95="",E95,O95)*P95,"")</f>
        <v>1.48</v>
      </c>
      <c r="R95" s="0" t="s">
        <v>411</v>
      </c>
      <c r="S95" s="16" t="s">
        <v>23</v>
      </c>
      <c r="Y95" s="16" t="s">
        <v>23</v>
      </c>
    </row>
    <row r="96" customFormat="false" ht="14.9" hidden="false" customHeight="false" outlineLevel="0" collapsed="false">
      <c r="A96" s="0" t="s">
        <v>412</v>
      </c>
      <c r="B96" s="0" t="s">
        <v>413</v>
      </c>
      <c r="D96" s="0" t="s">
        <v>414</v>
      </c>
      <c r="E96" s="0" t="n">
        <f aca="false">BoardQty*1</f>
        <v>5</v>
      </c>
      <c r="F96" s="15" t="n">
        <f aca="true">MINA(INDIRECT(ADDRESS(ROW(),COLUMN(newark_part_data)+2)),INDIRECT(ADDRESS(ROW(),COLUMN(digikey_part_data)+2)),INDIRECT(ADDRESS(ROW(),COLUMN(mouser_part_data)+2)))</f>
        <v>2.08</v>
      </c>
      <c r="G96" s="15" t="n">
        <f aca="false">IFERROR(E96*F96,"")</f>
        <v>10.4</v>
      </c>
      <c r="H96" s="0" t="n">
        <v>44101</v>
      </c>
      <c r="J96" s="15" t="n">
        <f aca="false">IFERROR(LOOKUP(IF(I96="",E96,I96),{0,1,10,100,500,1000,2500},{0,2.19,1.966,1.5768,1.296,0.9,0.9}),"")</f>
        <v>2.19</v>
      </c>
      <c r="K96" s="15" t="n">
        <f aca="false">IFERROR(IF(I96="",E96,I96)*J96,"")</f>
        <v>10.95</v>
      </c>
      <c r="L96" s="0" t="s">
        <v>415</v>
      </c>
      <c r="M96" s="16" t="s">
        <v>23</v>
      </c>
      <c r="N96" s="0" t="n">
        <v>35826</v>
      </c>
      <c r="P96" s="15" t="n">
        <f aca="false">IFERROR(LOOKUP(IF(O96="",E96,O96),{0,1,10,25,50,100,250,500,1000,2500},{0,2.09,1.87,1.73,1.69,1.5,1.42,1.24,0.91,0.91}),"")</f>
        <v>2.09</v>
      </c>
      <c r="Q96" s="15" t="n">
        <f aca="false">IFERROR(IF(O96="",E96,O96)*P96,"")</f>
        <v>10.45</v>
      </c>
      <c r="R96" s="0" t="s">
        <v>416</v>
      </c>
      <c r="S96" s="16" t="s">
        <v>23</v>
      </c>
      <c r="T96" s="0" t="n">
        <v>1181</v>
      </c>
      <c r="V96" s="15" t="n">
        <f aca="false">IFERROR(LOOKUP(IF(U96="",E96,U96),{0,1,10,100,500,1000},{0,2.08,1.8,1.44,1.26,1.04}),"")</f>
        <v>2.08</v>
      </c>
      <c r="W96" s="15" t="n">
        <f aca="false">IFERROR(IF(U96="",E96,U96)*V96,"")</f>
        <v>10.4</v>
      </c>
      <c r="X96" s="0" t="s">
        <v>417</v>
      </c>
      <c r="Y96" s="16" t="s">
        <v>23</v>
      </c>
    </row>
    <row r="97" customFormat="false" ht="14.9" hidden="false" customHeight="false" outlineLevel="0" collapsed="false">
      <c r="A97" s="0" t="s">
        <v>418</v>
      </c>
      <c r="B97" s="0" t="s">
        <v>419</v>
      </c>
      <c r="D97" s="0" t="s">
        <v>420</v>
      </c>
      <c r="E97" s="0" t="n">
        <f aca="false">BoardQty*4</f>
        <v>20</v>
      </c>
      <c r="F97" s="15" t="n">
        <f aca="true">MINA(INDIRECT(ADDRESS(ROW(),COLUMN(newark_part_data)+2)),INDIRECT(ADDRESS(ROW(),COLUMN(digikey_part_data)+2)),INDIRECT(ADDRESS(ROW(),COLUMN(mouser_part_data)+2)))</f>
        <v>0.611</v>
      </c>
      <c r="G97" s="15" t="n">
        <f aca="false">IFERROR(E97*F97,"")</f>
        <v>12.22</v>
      </c>
      <c r="H97" s="0" t="n">
        <v>16494</v>
      </c>
      <c r="J97" s="15" t="n">
        <f aca="false">IFERROR(LOOKUP(IF(I97="",E97,I97),{0,1,25,100,3000},{0,0.62,0.52,0.47,0.47}),"")</f>
        <v>0.62</v>
      </c>
      <c r="K97" s="15" t="n">
        <f aca="false">IFERROR(IF(I97="",E97,I97)*J97,"")</f>
        <v>12.4</v>
      </c>
      <c r="L97" s="0" t="s">
        <v>421</v>
      </c>
      <c r="M97" s="16" t="s">
        <v>23</v>
      </c>
      <c r="N97" s="0" t="n">
        <v>26665</v>
      </c>
      <c r="P97" s="15" t="n">
        <f aca="false">IFERROR(LOOKUP(IF(O97="",E97,O97),{0,1,10,25,100,3000},{0,0.67,0.611,0.513,0.463,0.463}),"")</f>
        <v>0.611</v>
      </c>
      <c r="Q97" s="15" t="n">
        <f aca="false">IFERROR(IF(O97="",E97,O97)*P97,"")</f>
        <v>12.22</v>
      </c>
      <c r="R97" s="0" t="s">
        <v>422</v>
      </c>
      <c r="S97" s="16" t="s">
        <v>23</v>
      </c>
      <c r="T97" s="0" t="n">
        <v>5405</v>
      </c>
      <c r="V97" s="15" t="n">
        <f aca="false">IFERROR(LOOKUP(IF(U97="",E97,U97),{0,1,10,25,50,100},{0,0.828,0.632,0.615,0.593,0.572}),"")</f>
        <v>0.632</v>
      </c>
      <c r="W97" s="15" t="n">
        <f aca="false">IFERROR(IF(U97="",E97,U97)*V97,"")</f>
        <v>12.64</v>
      </c>
      <c r="X97" s="0" t="s">
        <v>423</v>
      </c>
      <c r="Y97" s="16" t="s">
        <v>23</v>
      </c>
    </row>
    <row r="98" customFormat="false" ht="14.9" hidden="false" customHeight="false" outlineLevel="0" collapsed="false">
      <c r="A98" s="0" t="s">
        <v>424</v>
      </c>
      <c r="B98" s="0" t="s">
        <v>425</v>
      </c>
      <c r="D98" s="0" t="s">
        <v>426</v>
      </c>
      <c r="E98" s="0" t="n">
        <f aca="false">BoardQty*1</f>
        <v>5</v>
      </c>
      <c r="F98" s="15" t="n">
        <f aca="true">MINA(INDIRECT(ADDRESS(ROW(),COLUMN(newark_part_data)+2)),INDIRECT(ADDRESS(ROW(),COLUMN(digikey_part_data)+2)),INDIRECT(ADDRESS(ROW(),COLUMN(mouser_part_data)+2)))</f>
        <v>0.31</v>
      </c>
      <c r="G98" s="15" t="n">
        <f aca="false">IFERROR(E98*F98,"")</f>
        <v>1.55</v>
      </c>
      <c r="M98" s="16" t="s">
        <v>23</v>
      </c>
      <c r="N98" s="0" t="n">
        <v>2298</v>
      </c>
      <c r="P98" s="15" t="n">
        <f aca="false">IFERROR(LOOKUP(IF(O98="",E98,O98),{0,1,10,25,100,3000},{0,0.336,0.306,0.256,0.237,0.237}),"")</f>
        <v>0.336</v>
      </c>
      <c r="Q98" s="15" t="n">
        <f aca="false">IFERROR(IF(O98="",E98,O98)*P98,"")</f>
        <v>1.68</v>
      </c>
      <c r="R98" s="0" t="s">
        <v>427</v>
      </c>
      <c r="S98" s="16" t="s">
        <v>23</v>
      </c>
      <c r="T98" s="0" t="n">
        <v>7</v>
      </c>
      <c r="V98" s="15" t="n">
        <f aca="false">IFERROR(LOOKUP(IF(U98="",E98,U98),{0,1,25,100},{0,0.31,0.26,0.24}),"")</f>
        <v>0.31</v>
      </c>
      <c r="W98" s="15" t="n">
        <f aca="false">IFERROR(IF(U98="",E98,U98)*V98,"")</f>
        <v>1.55</v>
      </c>
      <c r="X98" s="0" t="s">
        <v>428</v>
      </c>
      <c r="Y98" s="16" t="s">
        <v>23</v>
      </c>
    </row>
    <row r="99" customFormat="false" ht="14.9" hidden="false" customHeight="false" outlineLevel="0" collapsed="false">
      <c r="A99" s="0" t="s">
        <v>429</v>
      </c>
      <c r="B99" s="0" t="s">
        <v>430</v>
      </c>
      <c r="D99" s="0" t="s">
        <v>431</v>
      </c>
      <c r="E99" s="0" t="n">
        <f aca="false">BoardQty*1</f>
        <v>5</v>
      </c>
      <c r="F99" s="15" t="n">
        <f aca="true">MINA(INDIRECT(ADDRESS(ROW(),COLUMN(newark_part_data)+2)),INDIRECT(ADDRESS(ROW(),COLUMN(digikey_part_data)+2)),INDIRECT(ADDRESS(ROW(),COLUMN(mouser_part_data)+2)))</f>
        <v>0.483</v>
      </c>
      <c r="G99" s="15" t="n">
        <f aca="false">IFERROR(E99*F99,"")</f>
        <v>2.415</v>
      </c>
      <c r="M99" s="16" t="s">
        <v>23</v>
      </c>
      <c r="N99" s="0" t="n">
        <v>0</v>
      </c>
      <c r="P99" s="15" t="n">
        <f aca="false">IFERROR(LOOKUP(IF(O99="",E99,O99),{0,1,10,100,750},{0,0.483,0.324,0.288,0.288}),"")</f>
        <v>0.483</v>
      </c>
      <c r="Q99" s="15" t="n">
        <f aca="false">IFERROR(IF(O99="",E99,O99)*P99,"")</f>
        <v>2.415</v>
      </c>
      <c r="R99" s="0" t="s">
        <v>432</v>
      </c>
      <c r="S99" s="16" t="s">
        <v>23</v>
      </c>
      <c r="Y99" s="16" t="s">
        <v>23</v>
      </c>
    </row>
    <row r="100" customFormat="false" ht="14.9" hidden="false" customHeight="false" outlineLevel="0" collapsed="false">
      <c r="A100" s="0" t="s">
        <v>433</v>
      </c>
      <c r="B100" s="0" t="s">
        <v>434</v>
      </c>
      <c r="D100" s="0" t="s">
        <v>66</v>
      </c>
      <c r="E100" s="0" t="n">
        <f aca="false">BoardQty*2</f>
        <v>10</v>
      </c>
      <c r="F100" s="15" t="n">
        <f aca="true">MINA(INDIRECT(ADDRESS(ROW(),COLUMN(newark_part_data)+2)),INDIRECT(ADDRESS(ROW(),COLUMN(digikey_part_data)+2)),INDIRECT(ADDRESS(ROW(),COLUMN(mouser_part_data)+2)))</f>
        <v>0.202</v>
      </c>
      <c r="G100" s="15" t="n">
        <f aca="false">IFERROR(E100*F100,"")</f>
        <v>2.02</v>
      </c>
      <c r="H100" s="0" t="n">
        <v>53495</v>
      </c>
      <c r="J100" s="15" t="n">
        <f aca="false">IFERROR(LOOKUP(IF(I100="",E100,I100),{0,1,10,50,100,250,500,1000,2000,4000,9000,10000,14000,18000,27000,50000,63000,100000,225000},{0,0.35,0.308,0.187,0.154,0.1232,0.1122,0.1012,0.0792,0.0748,0.064,0.0704,0.0682,0.062,0.06,0.0616,0.056,0.0572,0.052}),"")</f>
        <v>0.308</v>
      </c>
      <c r="K100" s="15" t="n">
        <f aca="false">IFERROR(IF(I100="",E100,I100)*J100,"")</f>
        <v>3.08</v>
      </c>
      <c r="L100" s="0" t="s">
        <v>67</v>
      </c>
      <c r="M100" s="16" t="s">
        <v>23</v>
      </c>
      <c r="N100" s="0" t="n">
        <v>15945</v>
      </c>
      <c r="P100" s="15" t="n">
        <f aca="false">IFERROR(LOOKUP(IF(O100="",E100,O100),{0,1,10,100,500,1000,5000,9000,18000,45000},{0,0.346,0.202,0.121,0.11,0.087,0.073,0.068,0.064,0.058}),"")</f>
        <v>0.202</v>
      </c>
      <c r="Q100" s="15" t="n">
        <f aca="false">IFERROR(IF(O100="",E100,O100)*P100,"")</f>
        <v>2.02</v>
      </c>
      <c r="R100" s="0" t="s">
        <v>68</v>
      </c>
      <c r="S100" s="16" t="s">
        <v>23</v>
      </c>
      <c r="Y100" s="16" t="s">
        <v>23</v>
      </c>
    </row>
    <row r="101" customFormat="false" ht="14.9" hidden="false" customHeight="false" outlineLevel="0" collapsed="false">
      <c r="A101" s="0" t="s">
        <v>435</v>
      </c>
      <c r="B101" s="0" t="s">
        <v>436</v>
      </c>
      <c r="D101" s="0" t="s">
        <v>437</v>
      </c>
      <c r="E101" s="0" t="n">
        <f aca="false">BoardQty*1</f>
        <v>5</v>
      </c>
      <c r="F101" s="15" t="n">
        <f aca="true">MINA(INDIRECT(ADDRESS(ROW(),COLUMN(newark_part_data)+2)),INDIRECT(ADDRESS(ROW(),COLUMN(digikey_part_data)+2)),INDIRECT(ADDRESS(ROW(),COLUMN(mouser_part_data)+2)))</f>
        <v>2.81</v>
      </c>
      <c r="G101" s="15" t="n">
        <f aca="false">IFERROR(E101*F101,"")</f>
        <v>14.05</v>
      </c>
      <c r="H101" s="0" t="n">
        <v>4285</v>
      </c>
      <c r="J101" s="15" t="n">
        <f aca="false">IFERROR(LOOKUP(IF(I101="",E101,I101),{0,1,25,100,3300},{0,2.86,2.76,2.675,2.675}),"")</f>
        <v>2.86</v>
      </c>
      <c r="K101" s="15" t="n">
        <f aca="false">IFERROR(IF(I101="",E101,I101)*J101,"")</f>
        <v>14.3</v>
      </c>
      <c r="L101" s="0" t="s">
        <v>438</v>
      </c>
      <c r="M101" s="16" t="s">
        <v>23</v>
      </c>
      <c r="N101" s="0" t="n">
        <v>2011</v>
      </c>
      <c r="P101" s="15" t="n">
        <f aca="false">IFERROR(LOOKUP(IF(O101="",E101,O101),{0,1,10,25,100,3300},{0,3.38,2.82,2.73,2.7,2.7}),"")</f>
        <v>3.38</v>
      </c>
      <c r="Q101" s="15" t="n">
        <f aca="false">IFERROR(IF(O101="",E101,O101)*P101,"")</f>
        <v>16.9</v>
      </c>
      <c r="R101" s="0" t="s">
        <v>439</v>
      </c>
      <c r="S101" s="16" t="s">
        <v>23</v>
      </c>
      <c r="T101" s="0" t="n">
        <v>2777</v>
      </c>
      <c r="V101" s="15" t="n">
        <f aca="false">IFERROR(LOOKUP(IF(U101="",E101,U101),{0,1},{0,2.81}),"")</f>
        <v>2.81</v>
      </c>
      <c r="W101" s="15" t="n">
        <f aca="false">IFERROR(IF(U101="",E101,U101)*V101,"")</f>
        <v>14.05</v>
      </c>
      <c r="X101" s="0" t="s">
        <v>440</v>
      </c>
      <c r="Y101" s="16" t="s">
        <v>23</v>
      </c>
    </row>
    <row r="102" customFormat="false" ht="14.9" hidden="false" customHeight="false" outlineLevel="0" collapsed="false">
      <c r="A102" s="0" t="s">
        <v>441</v>
      </c>
      <c r="B102" s="0" t="s">
        <v>442</v>
      </c>
      <c r="D102" s="0" t="s">
        <v>443</v>
      </c>
      <c r="E102" s="0" t="n">
        <f aca="false">BoardQty*1</f>
        <v>5</v>
      </c>
      <c r="F102" s="15" t="n">
        <f aca="true">MINA(INDIRECT(ADDRESS(ROW(),COLUMN(newark_part_data)+2)),INDIRECT(ADDRESS(ROW(),COLUMN(digikey_part_data)+2)),INDIRECT(ADDRESS(ROW(),COLUMN(mouser_part_data)+2)))</f>
        <v>0.035</v>
      </c>
      <c r="G102" s="15" t="n">
        <f aca="false">IFERROR(E102*F102,"")</f>
        <v>0.175</v>
      </c>
      <c r="H102" s="0" t="n">
        <v>47245</v>
      </c>
      <c r="J102" s="15" t="n">
        <f aca="false">IFERROR(LOOKUP(IF(I102="",E102,I102),{0,1,10,100,500,1000,3000,6000,10000,15000,30000,50000,75000,100000,150000,250000},{0,0.12,0.105,0.0575,0.03534,0.0241,0.01989,0.01794,0.0156,0.0156,0.01404,0.01248,0.01248,0.0117,0.01037,0.01037}),"")</f>
        <v>0.12</v>
      </c>
      <c r="K102" s="15" t="n">
        <f aca="false">IFERROR(IF(I102="",E102,I102)*J102,"")</f>
        <v>0.6</v>
      </c>
      <c r="L102" s="0" t="s">
        <v>444</v>
      </c>
      <c r="M102" s="16" t="s">
        <v>23</v>
      </c>
      <c r="N102" s="0" t="n">
        <v>48268</v>
      </c>
      <c r="P102" s="15" t="n">
        <f aca="false">IFERROR(LOOKUP(IF(O102="",E102,O102),{0,1,10,100,1000,2500,10000,20000,50000,100000},{0,0.099,0.097,0.034,0.023,0.016,0.015,0.014,0.012,0.01}),"")</f>
        <v>0.099</v>
      </c>
      <c r="Q102" s="15" t="n">
        <f aca="false">IFERROR(IF(O102="",E102,O102)*P102,"")</f>
        <v>0.495</v>
      </c>
      <c r="R102" s="0" t="s">
        <v>445</v>
      </c>
      <c r="S102" s="16" t="s">
        <v>23</v>
      </c>
      <c r="T102" s="0" t="n">
        <v>11766</v>
      </c>
      <c r="V102" s="15" t="n">
        <f aca="false">IFERROR(LOOKUP(IF(U102="",E102,U102),{0,1,250,500,1000,5000},{0,0.035,0.026,0.023,0.021,0.019}),"")</f>
        <v>0.035</v>
      </c>
      <c r="W102" s="15" t="n">
        <f aca="false">IFERROR(IF(U102="",E102,U102)*V102,"")</f>
        <v>0.175</v>
      </c>
      <c r="X102" s="0" t="s">
        <v>446</v>
      </c>
      <c r="Y102" s="16" t="s">
        <v>23</v>
      </c>
    </row>
    <row r="103" customFormat="false" ht="14.9" hidden="false" customHeight="false" outlineLevel="0" collapsed="false">
      <c r="A103" s="0" t="s">
        <v>447</v>
      </c>
      <c r="B103" s="0" t="s">
        <v>448</v>
      </c>
      <c r="D103" s="0" t="s">
        <v>244</v>
      </c>
      <c r="E103" s="0" t="n">
        <f aca="false">BoardQty*1</f>
        <v>5</v>
      </c>
      <c r="F103" s="15" t="n">
        <f aca="true">MINA(INDIRECT(ADDRESS(ROW(),COLUMN(newark_part_data)+2)),INDIRECT(ADDRESS(ROW(),COLUMN(digikey_part_data)+2)),INDIRECT(ADDRESS(ROW(),COLUMN(mouser_part_data)+2)))</f>
        <v>0.099</v>
      </c>
      <c r="G103" s="15" t="n">
        <f aca="false">IFERROR(E103*F103,"")</f>
        <v>0.495</v>
      </c>
      <c r="H103" s="0" t="n">
        <v>5504340</v>
      </c>
      <c r="J103" s="15" t="n">
        <f aca="false">IFERROR(LOOKUP(IF(I103="",E103,I103),{0,1,10,25,100,250,500,1000,2500,5000,10000,25000,50000,125000},{0,0.1,0.011,0.008,0.0044,0.00336,0.0027,0.00198,0.00172,0.00129,0.00112,0.00099,0.0009,0.00089}),"")</f>
        <v>0.1</v>
      </c>
      <c r="K103" s="15" t="n">
        <f aca="false">IFERROR(IF(I103="",E103,I103)*J103,"")</f>
        <v>0.5</v>
      </c>
      <c r="L103" s="0" t="s">
        <v>245</v>
      </c>
      <c r="M103" s="16" t="s">
        <v>23</v>
      </c>
      <c r="N103" s="0" t="n">
        <v>825062</v>
      </c>
      <c r="P103" s="15" t="n">
        <f aca="false">IFERROR(LOOKUP(IF(O103="",E103,O103),{0,1,10,100,1000,5000,50000},{0,0.099,0.008,0.003,0.002,0.002,0.001}),"")</f>
        <v>0.099</v>
      </c>
      <c r="Q103" s="15" t="n">
        <f aca="false">IFERROR(IF(O103="",E103,O103)*P103,"")</f>
        <v>0.495</v>
      </c>
      <c r="R103" s="0" t="s">
        <v>246</v>
      </c>
      <c r="S103" s="16" t="s">
        <v>23</v>
      </c>
      <c r="Y103" s="16" t="s">
        <v>23</v>
      </c>
    </row>
    <row r="104" customFormat="false" ht="14.9" hidden="false" customHeight="false" outlineLevel="0" collapsed="false">
      <c r="A104" s="0" t="s">
        <v>449</v>
      </c>
      <c r="B104" s="0" t="s">
        <v>448</v>
      </c>
      <c r="D104" s="0" t="s">
        <v>244</v>
      </c>
      <c r="E104" s="0" t="n">
        <f aca="false">BoardQty*2</f>
        <v>10</v>
      </c>
      <c r="F104" s="15" t="n">
        <f aca="true">MINA(INDIRECT(ADDRESS(ROW(),COLUMN(newark_part_data)+2)),INDIRECT(ADDRESS(ROW(),COLUMN(digikey_part_data)+2)),INDIRECT(ADDRESS(ROW(),COLUMN(mouser_part_data)+2)))</f>
        <v>0.008</v>
      </c>
      <c r="G104" s="15" t="n">
        <f aca="false">IFERROR(E104*F104,"")</f>
        <v>0.08</v>
      </c>
      <c r="H104" s="0" t="n">
        <v>5504340</v>
      </c>
      <c r="J104" s="15" t="n">
        <f aca="false">IFERROR(LOOKUP(IF(I104="",E104,I104),{0,1,10,25,100,250,500,1000,2500,5000,10000,25000,50000,125000},{0,0.1,0.011,0.008,0.0044,0.00336,0.0027,0.00198,0.00172,0.00129,0.00112,0.00099,0.0009,0.00089}),"")</f>
        <v>0.011</v>
      </c>
      <c r="K104" s="15" t="n">
        <f aca="false">IFERROR(IF(I104="",E104,I104)*J104,"")</f>
        <v>0.11</v>
      </c>
      <c r="L104" s="0" t="s">
        <v>245</v>
      </c>
      <c r="M104" s="16" t="s">
        <v>23</v>
      </c>
      <c r="N104" s="0" t="n">
        <v>825062</v>
      </c>
      <c r="P104" s="15" t="n">
        <f aca="false">IFERROR(LOOKUP(IF(O104="",E104,O104),{0,1,10,100,1000,5000,50000},{0,0.099,0.008,0.003,0.002,0.002,0.001}),"")</f>
        <v>0.008</v>
      </c>
      <c r="Q104" s="15" t="n">
        <f aca="false">IFERROR(IF(O104="",E104,O104)*P104,"")</f>
        <v>0.08</v>
      </c>
      <c r="R104" s="0" t="s">
        <v>246</v>
      </c>
      <c r="S104" s="16" t="s">
        <v>23</v>
      </c>
      <c r="Y104" s="16" t="s">
        <v>23</v>
      </c>
    </row>
    <row r="105" customFormat="false" ht="14.9" hidden="false" customHeight="false" outlineLevel="0" collapsed="false">
      <c r="A105" s="0" t="s">
        <v>450</v>
      </c>
      <c r="B105" s="0" t="s">
        <v>448</v>
      </c>
      <c r="D105" s="0" t="s">
        <v>244</v>
      </c>
      <c r="E105" s="0" t="n">
        <f aca="false">BoardQty*3</f>
        <v>15</v>
      </c>
      <c r="F105" s="15" t="n">
        <f aca="true">MINA(INDIRECT(ADDRESS(ROW(),COLUMN(newark_part_data)+2)),INDIRECT(ADDRESS(ROW(),COLUMN(digikey_part_data)+2)),INDIRECT(ADDRESS(ROW(),COLUMN(mouser_part_data)+2)))</f>
        <v>0.008</v>
      </c>
      <c r="G105" s="15" t="n">
        <f aca="false">IFERROR(E105*F105,"")</f>
        <v>0.12</v>
      </c>
      <c r="H105" s="0" t="n">
        <v>5504340</v>
      </c>
      <c r="J105" s="15" t="n">
        <f aca="false">IFERROR(LOOKUP(IF(I105="",E105,I105),{0,1,10,25,100,250,500,1000,2500,5000,10000,25000,50000,125000},{0,0.1,0.011,0.008,0.0044,0.00336,0.0027,0.00198,0.00172,0.00129,0.00112,0.00099,0.0009,0.00089}),"")</f>
        <v>0.011</v>
      </c>
      <c r="K105" s="15" t="n">
        <f aca="false">IFERROR(IF(I105="",E105,I105)*J105,"")</f>
        <v>0.165</v>
      </c>
      <c r="L105" s="0" t="s">
        <v>245</v>
      </c>
      <c r="M105" s="16" t="s">
        <v>23</v>
      </c>
      <c r="N105" s="0" t="n">
        <v>825062</v>
      </c>
      <c r="P105" s="15" t="n">
        <f aca="false">IFERROR(LOOKUP(IF(O105="",E105,O105),{0,1,10,100,1000,5000,50000},{0,0.099,0.008,0.003,0.002,0.002,0.001}),"")</f>
        <v>0.008</v>
      </c>
      <c r="Q105" s="15" t="n">
        <f aca="false">IFERROR(IF(O105="",E105,O105)*P105,"")</f>
        <v>0.12</v>
      </c>
      <c r="R105" s="0" t="s">
        <v>246</v>
      </c>
      <c r="S105" s="16" t="s">
        <v>23</v>
      </c>
      <c r="Y105" s="16" t="s">
        <v>23</v>
      </c>
    </row>
    <row r="106" customFormat="false" ht="14.9" hidden="false" customHeight="false" outlineLevel="0" collapsed="false">
      <c r="A106" s="0" t="s">
        <v>451</v>
      </c>
      <c r="B106" s="0" t="s">
        <v>452</v>
      </c>
      <c r="D106" s="0" t="s">
        <v>453</v>
      </c>
      <c r="E106" s="0" t="n">
        <f aca="false">BoardQty*5</f>
        <v>25</v>
      </c>
      <c r="F106" s="15" t="n">
        <f aca="true">MINA(INDIRECT(ADDRESS(ROW(),COLUMN(newark_part_data)+2)),INDIRECT(ADDRESS(ROW(),COLUMN(digikey_part_data)+2)),INDIRECT(ADDRESS(ROW(),COLUMN(mouser_part_data)+2)))</f>
        <v>0.19</v>
      </c>
      <c r="G106" s="15" t="n">
        <f aca="false">IFERROR(E106*F106,"")</f>
        <v>4.75</v>
      </c>
      <c r="H106" s="0" t="n">
        <v>14041</v>
      </c>
      <c r="J106" s="15" t="n">
        <f aca="false">IFERROR(LOOKUP(IF(I106="",E106,I106),{0,1,10,100,500,1000,3000,6000,15000,30000,75000,150000},{0,0.28,0.229,0.1215,0.0799,0.05444,0.04761,0.0414,0.03519,0.03312,0.03105,0.02691}),"")</f>
        <v>0.229</v>
      </c>
      <c r="K106" s="15" t="n">
        <f aca="false">IFERROR(IF(I106="",E106,I106)*J106,"")</f>
        <v>5.725</v>
      </c>
      <c r="L106" s="0" t="s">
        <v>454</v>
      </c>
      <c r="M106" s="16" t="s">
        <v>23</v>
      </c>
      <c r="N106" s="0" t="n">
        <v>33985</v>
      </c>
      <c r="P106" s="15" t="n">
        <f aca="false">IFERROR(LOOKUP(IF(O106="",E106,O106),{0,1,10,100,1000,3000,24000,45000,99000},{0,0.286,0.19,0.078,0.053,0.04,0.033,0.031,0.027}),"")</f>
        <v>0.19</v>
      </c>
      <c r="Q106" s="15" t="n">
        <f aca="false">IFERROR(IF(O106="",E106,O106)*P106,"")</f>
        <v>4.75</v>
      </c>
      <c r="R106" s="0" t="s">
        <v>455</v>
      </c>
      <c r="S106" s="16" t="s">
        <v>23</v>
      </c>
      <c r="T106" s="0" t="n">
        <v>3087</v>
      </c>
      <c r="V106" s="15" t="n">
        <f aca="false">IFERROR(LOOKUP(IF(U106="",E106,U106),{0,1,10,100,1000},{0,0.288,0.192,0.081,0.055}),"")</f>
        <v>0.192</v>
      </c>
      <c r="W106" s="15" t="n">
        <f aca="false">IFERROR(IF(U106="",E106,U106)*V106,"")</f>
        <v>4.8</v>
      </c>
      <c r="X106" s="0" t="s">
        <v>456</v>
      </c>
      <c r="Y106" s="16" t="s">
        <v>23</v>
      </c>
    </row>
    <row r="107" customFormat="false" ht="14.9" hidden="false" customHeight="false" outlineLevel="0" collapsed="false">
      <c r="A107" s="0" t="s">
        <v>457</v>
      </c>
      <c r="B107" s="0" t="s">
        <v>448</v>
      </c>
      <c r="D107" s="0" t="s">
        <v>244</v>
      </c>
      <c r="E107" s="0" t="n">
        <f aca="false">BoardQty*4</f>
        <v>20</v>
      </c>
      <c r="F107" s="15" t="n">
        <f aca="true">MINA(INDIRECT(ADDRESS(ROW(),COLUMN(newark_part_data)+2)),INDIRECT(ADDRESS(ROW(),COLUMN(digikey_part_data)+2)),INDIRECT(ADDRESS(ROW(),COLUMN(mouser_part_data)+2)))</f>
        <v>0.008</v>
      </c>
      <c r="G107" s="15" t="n">
        <f aca="false">IFERROR(E107*F107,"")</f>
        <v>0.16</v>
      </c>
      <c r="H107" s="0" t="n">
        <v>5504340</v>
      </c>
      <c r="J107" s="15" t="n">
        <f aca="false">IFERROR(LOOKUP(IF(I107="",E107,I107),{0,1,10,25,100,250,500,1000,2500,5000,10000,25000,50000,125000},{0,0.1,0.011,0.008,0.0044,0.00336,0.0027,0.00198,0.00172,0.00129,0.00112,0.00099,0.0009,0.00089}),"")</f>
        <v>0.011</v>
      </c>
      <c r="K107" s="15" t="n">
        <f aca="false">IFERROR(IF(I107="",E107,I107)*J107,"")</f>
        <v>0.22</v>
      </c>
      <c r="L107" s="0" t="s">
        <v>245</v>
      </c>
      <c r="M107" s="16" t="s">
        <v>23</v>
      </c>
      <c r="N107" s="0" t="n">
        <v>825062</v>
      </c>
      <c r="P107" s="15" t="n">
        <f aca="false">IFERROR(LOOKUP(IF(O107="",E107,O107),{0,1,10,100,1000,5000,50000},{0,0.099,0.008,0.003,0.002,0.002,0.001}),"")</f>
        <v>0.008</v>
      </c>
      <c r="Q107" s="15" t="n">
        <f aca="false">IFERROR(IF(O107="",E107,O107)*P107,"")</f>
        <v>0.16</v>
      </c>
      <c r="R107" s="0" t="s">
        <v>246</v>
      </c>
      <c r="S107" s="16" t="s">
        <v>23</v>
      </c>
      <c r="Y107" s="16" t="s">
        <v>23</v>
      </c>
    </row>
    <row r="108" customFormat="false" ht="14.9" hidden="false" customHeight="false" outlineLevel="0" collapsed="false">
      <c r="A108" s="0" t="s">
        <v>458</v>
      </c>
      <c r="B108" s="0" t="s">
        <v>459</v>
      </c>
      <c r="D108" s="0" t="s">
        <v>460</v>
      </c>
      <c r="E108" s="0" t="n">
        <f aca="false">BoardQty*8</f>
        <v>40</v>
      </c>
      <c r="F108" s="15" t="n">
        <f aca="true">MINA(INDIRECT(ADDRESS(ROW(),COLUMN(newark_part_data)+2)),INDIRECT(ADDRESS(ROW(),COLUMN(digikey_part_data)+2)),INDIRECT(ADDRESS(ROW(),COLUMN(mouser_part_data)+2)))</f>
        <v>0.021</v>
      </c>
      <c r="G108" s="15" t="n">
        <f aca="false">IFERROR(E108*F108,"")</f>
        <v>0.84</v>
      </c>
      <c r="H108" s="0" t="n">
        <v>551563</v>
      </c>
      <c r="J108" s="15" t="n">
        <f aca="false">IFERROR(LOOKUP(IF(I108="",E108,I108),{0,1,50,100,250,500,1000,5000,10000,25000,50000,125000},{0,0.1,0.0212,0.0156,0.01188,0.0095,0.007,0.00456,0.00396,0.00348,0.00319,0.00313}),"")</f>
        <v>0.1</v>
      </c>
      <c r="K108" s="15" t="n">
        <f aca="false">IFERROR(IF(I108="",E108,I108)*J108,"")</f>
        <v>4</v>
      </c>
      <c r="L108" s="0" t="s">
        <v>461</v>
      </c>
      <c r="M108" s="16" t="s">
        <v>23</v>
      </c>
      <c r="N108" s="0" t="n">
        <v>79683</v>
      </c>
      <c r="P108" s="15" t="n">
        <f aca="false">IFERROR(LOOKUP(IF(O108="",E108,O108),{0,1,10,100,1000,5000,10000},{0,0.099,0.021,0.009,0.007,0.004,0.003}),"")</f>
        <v>0.021</v>
      </c>
      <c r="Q108" s="15" t="n">
        <f aca="false">IFERROR(IF(O108="",E108,O108)*P108,"")</f>
        <v>0.84</v>
      </c>
      <c r="R108" s="0" t="s">
        <v>462</v>
      </c>
      <c r="S108" s="16" t="s">
        <v>23</v>
      </c>
      <c r="T108" s="0" t="n">
        <v>2267</v>
      </c>
      <c r="V108" s="15" t="n">
        <f aca="false">IFERROR(LOOKUP(IF(U108="",E108,U108),{0,1,50,100,250,500,1000,2500},{0,0.088,0.025,0.019,0.014,0.011,0.007,0.006}),"")</f>
        <v>0.088</v>
      </c>
      <c r="W108" s="15" t="n">
        <f aca="false">IFERROR(IF(U108="",E108,U108)*V108,"")</f>
        <v>3.52</v>
      </c>
      <c r="X108" s="0" t="s">
        <v>463</v>
      </c>
      <c r="Y108" s="16" t="s">
        <v>23</v>
      </c>
    </row>
    <row r="109" customFormat="false" ht="14.9" hidden="false" customHeight="false" outlineLevel="0" collapsed="false">
      <c r="A109" s="0" t="s">
        <v>464</v>
      </c>
      <c r="B109" s="0" t="s">
        <v>368</v>
      </c>
      <c r="D109" s="0" t="s">
        <v>372</v>
      </c>
      <c r="E109" s="0" t="n">
        <f aca="false">BoardQty*1</f>
        <v>5</v>
      </c>
      <c r="F109" s="15" t="n">
        <f aca="true">MINA(INDIRECT(ADDRESS(ROW(),COLUMN(newark_part_data)+2)),INDIRECT(ADDRESS(ROW(),COLUMN(digikey_part_data)+2)),INDIRECT(ADDRESS(ROW(),COLUMN(mouser_part_data)+2)))</f>
        <v>0.288</v>
      </c>
      <c r="G109" s="15" t="n">
        <f aca="false">IFERROR(E109*F109,"")</f>
        <v>1.44</v>
      </c>
      <c r="H109" s="0" t="n">
        <v>3872</v>
      </c>
      <c r="J109" s="15" t="n">
        <f aca="false">IFERROR(LOOKUP(IF(I109="",E109,I109),{0,1,10,25,50,100,250,500,1000,3000,6000,15000},{0,0.29,0.273,0.252,0.2432,0.2264,0.2016,0.168,0.1592,0.128,0.12,0.112}),"")</f>
        <v>0.29</v>
      </c>
      <c r="K109" s="15" t="n">
        <f aca="false">IFERROR(IF(I109="",E109,I109)*J109,"")</f>
        <v>1.45</v>
      </c>
      <c r="L109" s="0" t="s">
        <v>373</v>
      </c>
      <c r="M109" s="16" t="s">
        <v>23</v>
      </c>
      <c r="N109" s="0" t="n">
        <v>7081</v>
      </c>
      <c r="P109" s="15" t="n">
        <f aca="false">IFERROR(LOOKUP(IF(O109="",E109,O109),{0,1,10,100,250,500,1000,3000,6000,9000},{0,0.3,0.251,0.233,0.207,0.173,0.165,0.132,0.124,0.116}),"")</f>
        <v>0.3</v>
      </c>
      <c r="Q109" s="15" t="n">
        <f aca="false">IFERROR(IF(O109="",E109,O109)*P109,"")</f>
        <v>1.5</v>
      </c>
      <c r="R109" s="0" t="s">
        <v>374</v>
      </c>
      <c r="S109" s="16" t="s">
        <v>23</v>
      </c>
      <c r="T109" s="0" t="n">
        <v>374</v>
      </c>
      <c r="V109" s="15" t="n">
        <f aca="false">IFERROR(LOOKUP(IF(U109="",E109,U109),{0,1,10,100,250,500,1000},{0,0.288,0.208,0.192,0.183,0.167,0.141}),"")</f>
        <v>0.288</v>
      </c>
      <c r="W109" s="15" t="n">
        <f aca="false">IFERROR(IF(U109="",E109,U109)*V109,"")</f>
        <v>1.44</v>
      </c>
      <c r="X109" s="0" t="s">
        <v>375</v>
      </c>
      <c r="Y109" s="16" t="s">
        <v>23</v>
      </c>
    </row>
    <row r="110" customFormat="false" ht="14.9" hidden="false" customHeight="false" outlineLevel="0" collapsed="false">
      <c r="A110" s="0" t="s">
        <v>465</v>
      </c>
      <c r="B110" s="0" t="s">
        <v>65</v>
      </c>
      <c r="D110" s="0" t="s">
        <v>66</v>
      </c>
      <c r="E110" s="0" t="n">
        <f aca="false">BoardQty*1</f>
        <v>5</v>
      </c>
      <c r="F110" s="15" t="n">
        <f aca="true">MINA(INDIRECT(ADDRESS(ROW(),COLUMN(newark_part_data)+2)),INDIRECT(ADDRESS(ROW(),COLUMN(digikey_part_data)+2)),INDIRECT(ADDRESS(ROW(),COLUMN(mouser_part_data)+2)))</f>
        <v>0.346</v>
      </c>
      <c r="G110" s="15" t="n">
        <f aca="false">IFERROR(E110*F110,"")</f>
        <v>1.73</v>
      </c>
      <c r="H110" s="0" t="n">
        <v>53495</v>
      </c>
      <c r="J110" s="15" t="n">
        <f aca="false">IFERROR(LOOKUP(IF(I110="",E110,I110),{0,1,10,50,100,250,500,1000,2000,4000,9000,10000,14000,18000,27000,50000,63000,100000,225000},{0,0.35,0.308,0.187,0.154,0.1232,0.1122,0.1012,0.0792,0.0748,0.064,0.0704,0.0682,0.062,0.06,0.0616,0.056,0.0572,0.052}),"")</f>
        <v>0.35</v>
      </c>
      <c r="K110" s="15" t="n">
        <f aca="false">IFERROR(IF(I110="",E110,I110)*J110,"")</f>
        <v>1.75</v>
      </c>
      <c r="L110" s="0" t="s">
        <v>67</v>
      </c>
      <c r="M110" s="16" t="s">
        <v>23</v>
      </c>
      <c r="N110" s="0" t="n">
        <v>15945</v>
      </c>
      <c r="P110" s="15" t="n">
        <f aca="false">IFERROR(LOOKUP(IF(O110="",E110,O110),{0,1,10,100,500,1000,5000,9000,18000,45000},{0,0.346,0.202,0.121,0.11,0.087,0.073,0.068,0.064,0.058}),"")</f>
        <v>0.346</v>
      </c>
      <c r="Q110" s="15" t="n">
        <f aca="false">IFERROR(IF(O110="",E110,O110)*P110,"")</f>
        <v>1.73</v>
      </c>
      <c r="R110" s="0" t="s">
        <v>68</v>
      </c>
      <c r="S110" s="16" t="s">
        <v>23</v>
      </c>
      <c r="Y110" s="16" t="s">
        <v>23</v>
      </c>
    </row>
    <row r="111" customFormat="false" ht="14.9" hidden="false" customHeight="false" outlineLevel="0" collapsed="false">
      <c r="A111" s="0" t="s">
        <v>466</v>
      </c>
      <c r="B111" s="0" t="s">
        <v>65</v>
      </c>
      <c r="D111" s="0" t="s">
        <v>70</v>
      </c>
      <c r="E111" s="0" t="n">
        <f aca="false">BoardQty*1</f>
        <v>5</v>
      </c>
      <c r="F111" s="15" t="n">
        <f aca="true">MINA(INDIRECT(ADDRESS(ROW(),COLUMN(newark_part_data)+2)),INDIRECT(ADDRESS(ROW(),COLUMN(digikey_part_data)+2)),INDIRECT(ADDRESS(ROW(),COLUMN(mouser_part_data)+2)))</f>
        <v>0.252</v>
      </c>
      <c r="G111" s="15" t="n">
        <f aca="false">IFERROR(E111*F111,"")</f>
        <v>1.26</v>
      </c>
      <c r="H111" s="0" t="n">
        <v>53495</v>
      </c>
      <c r="J111" s="15" t="n">
        <f aca="false">IFERROR(LOOKUP(IF(I111="",E111,I111),{0,1,10,50,100,250,500,1000,2000,4000,9000,10000,14000,18000,27000,50000,63000,100000,225000},{0,0.35,0.308,0.187,0.154,0.1232,0.1122,0.1012,0.0792,0.0748,0.064,0.0704,0.0682,0.062,0.06,0.0616,0.056,0.0572,0.052}),"")</f>
        <v>0.35</v>
      </c>
      <c r="K111" s="15" t="n">
        <f aca="false">IFERROR(IF(I111="",E111,I111)*J111,"")</f>
        <v>1.75</v>
      </c>
      <c r="L111" s="0" t="s">
        <v>67</v>
      </c>
      <c r="M111" s="16" t="s">
        <v>23</v>
      </c>
      <c r="N111" s="0" t="n">
        <v>14340</v>
      </c>
      <c r="P111" s="15" t="n">
        <f aca="false">IFERROR(LOOKUP(IF(O111="",E111,O111),{0,1,10,100,500,1000,2000,10000,24000,50000},{0,0.346,0.202,0.121,0.11,0.099,0.073,0.068,0.062,0.058}),"")</f>
        <v>0.346</v>
      </c>
      <c r="Q111" s="15" t="n">
        <f aca="false">IFERROR(IF(O111="",E111,O111)*P111,"")</f>
        <v>1.73</v>
      </c>
      <c r="R111" s="0" t="s">
        <v>71</v>
      </c>
      <c r="S111" s="16" t="s">
        <v>23</v>
      </c>
      <c r="T111" s="0" t="n">
        <v>1652</v>
      </c>
      <c r="V111" s="15" t="n">
        <f aca="false">IFERROR(LOOKUP(IF(U111="",E111,U111),{0,1,10,25,50,100,250,1000},{0,0.252,0.219,0.155,0.132,0.109,0.087,0.07}),"")</f>
        <v>0.252</v>
      </c>
      <c r="W111" s="15" t="n">
        <f aca="false">IFERROR(IF(U111="",E111,U111)*V111,"")</f>
        <v>1.26</v>
      </c>
      <c r="X111" s="0" t="s">
        <v>72</v>
      </c>
      <c r="Y111" s="16" t="s">
        <v>23</v>
      </c>
    </row>
    <row r="112" customFormat="false" ht="14.9" hidden="false" customHeight="false" outlineLevel="0" collapsed="false">
      <c r="A112" s="0" t="s">
        <v>467</v>
      </c>
      <c r="B112" s="0" t="s">
        <v>468</v>
      </c>
      <c r="D112" s="0" t="s">
        <v>21</v>
      </c>
      <c r="E112" s="0" t="n">
        <f aca="false">BoardQty*5</f>
        <v>25</v>
      </c>
      <c r="F112" s="15" t="n">
        <f aca="true">MINA(INDIRECT(ADDRESS(ROW(),COLUMN(newark_part_data)+2)),INDIRECT(ADDRESS(ROW(),COLUMN(digikey_part_data)+2)),INDIRECT(ADDRESS(ROW(),COLUMN(mouser_part_data)+2)))</f>
        <v>0.007</v>
      </c>
      <c r="G112" s="15" t="n">
        <f aca="false">IFERROR(E112*F112,"")</f>
        <v>0.175</v>
      </c>
      <c r="H112" s="0" t="n">
        <v>2501447</v>
      </c>
      <c r="J112" s="15" t="n">
        <f aca="false">IFERROR(LOOKUP(IF(I112="",E112,I112),{0,1,10,25,100,250,500,1000,2500,5000,10000,25000,50000,125000},{0,0.1,0.011,0.008,0.0044,0.00336,0.0027,0.00198,0.00172,0.00129,0.00112,0.00099,0.0009,0.00089}),"")</f>
        <v>0.008</v>
      </c>
      <c r="K112" s="15" t="n">
        <f aca="false">IFERROR(IF(I112="",E112,I112)*J112,"")</f>
        <v>0.2</v>
      </c>
      <c r="L112" s="0" t="s">
        <v>22</v>
      </c>
      <c r="M112" s="16" t="s">
        <v>23</v>
      </c>
      <c r="N112" s="0" t="n">
        <v>147081</v>
      </c>
      <c r="P112" s="15" t="n">
        <f aca="false">IFERROR(LOOKUP(IF(O112="",E112,O112),{0,1,10,100,1000,5000,50000},{0,0.099,0.008,0.003,0.002,0.002,0.001}),"")</f>
        <v>0.008</v>
      </c>
      <c r="Q112" s="15" t="n">
        <f aca="false">IFERROR(IF(O112="",E112,O112)*P112,"")</f>
        <v>0.2</v>
      </c>
      <c r="R112" s="0" t="s">
        <v>24</v>
      </c>
      <c r="S112" s="16" t="s">
        <v>23</v>
      </c>
      <c r="T112" s="0" t="n">
        <v>3635</v>
      </c>
      <c r="V112" s="15" t="n">
        <f aca="false">IFERROR(LOOKUP(IF(U112="",E112,U112),{0,1,10,25,100,250,1000},{0,0.06,0.01,0.007,0.004,0.003,0.002}),"")</f>
        <v>0.007</v>
      </c>
      <c r="W112" s="15" t="n">
        <f aca="false">IFERROR(IF(U112="",E112,U112)*V112,"")</f>
        <v>0.175</v>
      </c>
      <c r="X112" s="0" t="s">
        <v>25</v>
      </c>
      <c r="Y112" s="16" t="s">
        <v>23</v>
      </c>
    </row>
    <row r="113" customFormat="false" ht="14.9" hidden="false" customHeight="false" outlineLevel="0" collapsed="false">
      <c r="A113" s="0" t="s">
        <v>469</v>
      </c>
      <c r="B113" s="0" t="s">
        <v>470</v>
      </c>
      <c r="D113" s="0" t="s">
        <v>471</v>
      </c>
      <c r="E113" s="0" t="n">
        <f aca="false">BoardQty*1</f>
        <v>5</v>
      </c>
      <c r="F113" s="15" t="n">
        <f aca="true">MINA(INDIRECT(ADDRESS(ROW(),COLUMN(newark_part_data)+2)),INDIRECT(ADDRESS(ROW(),COLUMN(digikey_part_data)+2)),INDIRECT(ADDRESS(ROW(),COLUMN(mouser_part_data)+2)))</f>
        <v>0.08</v>
      </c>
      <c r="G113" s="15" t="n">
        <f aca="false">IFERROR(E113*F113,"")</f>
        <v>0.4</v>
      </c>
      <c r="H113" s="0" t="n">
        <v>1377548</v>
      </c>
      <c r="J113" s="15" t="n">
        <f aca="false">IFERROR(LOOKUP(IF(I113="",E113,I113),{0,1,10,25,100,250,500,1000,2500,5000,10000,25000,50000,125000},{0,0.1,0.014,0.01,0.0057,0.00436,0.00348,0.00257,0.00223,0.00167,0.00145,0.00128,0.00117,0.00115}),"")</f>
        <v>0.1</v>
      </c>
      <c r="K113" s="15" t="n">
        <f aca="false">IFERROR(IF(I113="",E113,I113)*J113,"")</f>
        <v>0.5</v>
      </c>
      <c r="L113" s="0" t="s">
        <v>472</v>
      </c>
      <c r="M113" s="16" t="s">
        <v>23</v>
      </c>
      <c r="N113" s="0" t="n">
        <v>484369</v>
      </c>
      <c r="P113" s="15" t="n">
        <f aca="false">IFERROR(LOOKUP(IF(O113="",E113,O113),{0,1,10,100,1000,5000},{0,0.099,0.01,0.003,0.002,0.002}),"")</f>
        <v>0.099</v>
      </c>
      <c r="Q113" s="15" t="n">
        <f aca="false">IFERROR(IF(O113="",E113,O113)*P113,"")</f>
        <v>0.495</v>
      </c>
      <c r="R113" s="0" t="s">
        <v>473</v>
      </c>
      <c r="S113" s="16" t="s">
        <v>23</v>
      </c>
      <c r="T113" s="0" t="n">
        <v>3648</v>
      </c>
      <c r="V113" s="15" t="n">
        <f aca="false">IFERROR(LOOKUP(IF(U113="",E113,U113),{0,1,10,25,100,250,1000},{0,0.08,0.014,0.01,0.006,0.004,0.003}),"")</f>
        <v>0.08</v>
      </c>
      <c r="W113" s="15" t="n">
        <f aca="false">IFERROR(IF(U113="",E113,U113)*V113,"")</f>
        <v>0.4</v>
      </c>
      <c r="X113" s="0" t="s">
        <v>474</v>
      </c>
      <c r="Y113" s="16" t="s">
        <v>23</v>
      </c>
    </row>
    <row r="114" customFormat="false" ht="14.9" hidden="false" customHeight="false" outlineLevel="0" collapsed="false">
      <c r="A114" s="0" t="s">
        <v>475</v>
      </c>
      <c r="B114" s="0" t="s">
        <v>476</v>
      </c>
      <c r="D114" s="0" t="s">
        <v>477</v>
      </c>
      <c r="E114" s="0" t="n">
        <f aca="false">BoardQty*1</f>
        <v>5</v>
      </c>
      <c r="F114" s="15" t="n">
        <f aca="true">MINA(INDIRECT(ADDRESS(ROW(),COLUMN(newark_part_data)+2)),INDIRECT(ADDRESS(ROW(),COLUMN(digikey_part_data)+2)),INDIRECT(ADDRESS(ROW(),COLUMN(mouser_part_data)+2)))</f>
        <v>0.52</v>
      </c>
      <c r="G114" s="15" t="n">
        <f aca="false">IFERROR(E114*F114,"")</f>
        <v>2.6</v>
      </c>
      <c r="H114" s="0" t="n">
        <v>31177</v>
      </c>
      <c r="J114" s="15" t="n">
        <f aca="false">IFERROR(LOOKUP(IF(I114="",E114,I114),{0,1,10,100,500,1000,3000,6000,15000,30000,75000,150000},{0,0.52,0.448,0.3347,0.26286,0.20265,0.17949,0.16791,0.15633,0.14822,0.14475,0.13896}),"")</f>
        <v>0.52</v>
      </c>
      <c r="K114" s="15" t="n">
        <f aca="false">IFERROR(IF(I114="",E114,I114)*J114,"")</f>
        <v>2.6</v>
      </c>
      <c r="L114" s="0" t="s">
        <v>478</v>
      </c>
      <c r="M114" s="16" t="s">
        <v>23</v>
      </c>
      <c r="N114" s="0" t="n">
        <v>7981</v>
      </c>
      <c r="P114" s="15" t="n">
        <f aca="false">IFERROR(LOOKUP(IF(O114="",E114,O114),{0,1,10,100,1000,3000,9000,24000,45000},{0,0.774,0.63,0.396,0.296,0.253,0.234,0.222,0.218}),"")</f>
        <v>0.774</v>
      </c>
      <c r="Q114" s="15" t="n">
        <f aca="false">IFERROR(IF(O114="",E114,O114)*P114,"")</f>
        <v>3.87</v>
      </c>
      <c r="R114" s="0" t="s">
        <v>479</v>
      </c>
      <c r="S114" s="16" t="s">
        <v>23</v>
      </c>
      <c r="T114" s="0" t="n">
        <v>1500</v>
      </c>
      <c r="V114" s="15" t="n">
        <f aca="false">IFERROR(LOOKUP(IF(U114="",E114,U114),{0,1,10,25,100,250,500,1000},{0,0.568,0.477,0.418,0.357,0.311,0.262,0.202}),"")</f>
        <v>0.568</v>
      </c>
      <c r="W114" s="15" t="n">
        <f aca="false">IFERROR(IF(U114="",E114,U114)*V114,"")</f>
        <v>2.84</v>
      </c>
      <c r="X114" s="0" t="s">
        <v>480</v>
      </c>
      <c r="Y114" s="16" t="s">
        <v>23</v>
      </c>
    </row>
    <row r="115" customFormat="false" ht="14.9" hidden="false" customHeight="false" outlineLevel="0" collapsed="false">
      <c r="A115" s="0" t="s">
        <v>481</v>
      </c>
      <c r="B115" s="0" t="s">
        <v>482</v>
      </c>
      <c r="D115" s="0" t="s">
        <v>483</v>
      </c>
      <c r="E115" s="0" t="n">
        <f aca="false">BoardQty*2</f>
        <v>10</v>
      </c>
      <c r="F115" s="15" t="n">
        <f aca="true">MINA(INDIRECT(ADDRESS(ROW(),COLUMN(newark_part_data)+2)),INDIRECT(ADDRESS(ROW(),COLUMN(digikey_part_data)+2)),INDIRECT(ADDRESS(ROW(),COLUMN(mouser_part_data)+2)))</f>
        <v>0.204</v>
      </c>
      <c r="G115" s="15" t="n">
        <f aca="false">IFERROR(E115*F115,"")</f>
        <v>2.04</v>
      </c>
      <c r="M115" s="16" t="s">
        <v>23</v>
      </c>
      <c r="N115" s="0" t="n">
        <v>1882</v>
      </c>
      <c r="P115" s="15" t="n">
        <f aca="false">IFERROR(LOOKUP(IF(O115="",E115,O115),{0,1,10,100,250,500,1000,2000,4000,10000},{0,0.517,0.376,0.347,0.33,0.302,0.255,0.197,0.193,0.191}),"")</f>
        <v>0.376</v>
      </c>
      <c r="Q115" s="15" t="n">
        <f aca="false">IFERROR(IF(O115="",E115,O115)*P115,"")</f>
        <v>3.76</v>
      </c>
      <c r="R115" s="0" t="s">
        <v>484</v>
      </c>
      <c r="S115" s="16" t="s">
        <v>23</v>
      </c>
      <c r="T115" s="0" t="n">
        <v>388</v>
      </c>
      <c r="V115" s="15" t="n">
        <f aca="false">IFERROR(LOOKUP(IF(U115="",E115,U115),{0,1,10,100,250,500,1000,2500,5000},{0,0.255,0.204,0.197,0.18,0.165,0.148,0.13,0.112}),"")</f>
        <v>0.204</v>
      </c>
      <c r="W115" s="15" t="n">
        <f aca="false">IFERROR(IF(U115="",E115,U115)*V115,"")</f>
        <v>2.04</v>
      </c>
      <c r="X115" s="0" t="s">
        <v>485</v>
      </c>
      <c r="Y115" s="16" t="s">
        <v>23</v>
      </c>
    </row>
    <row r="116" customFormat="false" ht="14.9" hidden="false" customHeight="false" outlineLevel="0" collapsed="false">
      <c r="A116" s="0" t="s">
        <v>486</v>
      </c>
      <c r="B116" s="0" t="s">
        <v>487</v>
      </c>
      <c r="D116" s="0" t="s">
        <v>159</v>
      </c>
      <c r="E116" s="0" t="n">
        <f aca="false">BoardQty*1</f>
        <v>5</v>
      </c>
      <c r="F116" s="15" t="n">
        <f aca="true">MINA(INDIRECT(ADDRESS(ROW(),COLUMN(newark_part_data)+2)),INDIRECT(ADDRESS(ROW(),COLUMN(digikey_part_data)+2)),INDIRECT(ADDRESS(ROW(),COLUMN(mouser_part_data)+2)))</f>
        <v>0.06</v>
      </c>
      <c r="G116" s="15" t="n">
        <f aca="false">IFERROR(E116*F116,"")</f>
        <v>0.3</v>
      </c>
      <c r="H116" s="0" t="n">
        <v>198916</v>
      </c>
      <c r="J116" s="15" t="n">
        <f aca="false">IFERROR(LOOKUP(IF(I116="",E116,I116),{0,1,10,25,100,250,500,1000,2500,5000,10000,25000,50000,125000},{0,0.1,0.011,0.008,0.0044,0.00336,0.0027,0.00198,0.00172,0.00129,0.00112,0.00099,0.0009,0.00089}),"")</f>
        <v>0.1</v>
      </c>
      <c r="K116" s="15" t="n">
        <f aca="false">IFERROR(IF(I116="",E116,I116)*J116,"")</f>
        <v>0.5</v>
      </c>
      <c r="L116" s="0" t="s">
        <v>160</v>
      </c>
      <c r="M116" s="16" t="s">
        <v>23</v>
      </c>
      <c r="N116" s="0" t="n">
        <v>129743</v>
      </c>
      <c r="P116" s="15" t="n">
        <f aca="false">IFERROR(LOOKUP(IF(O116="",E116,O116),{0,1,10,100,1000,5000,50000},{0,0.099,0.008,0.003,0.002,0.002,0.001}),"")</f>
        <v>0.099</v>
      </c>
      <c r="Q116" s="15" t="n">
        <f aca="false">IFERROR(IF(O116="",E116,O116)*P116,"")</f>
        <v>0.495</v>
      </c>
      <c r="R116" s="0" t="s">
        <v>161</v>
      </c>
      <c r="S116" s="16" t="s">
        <v>23</v>
      </c>
      <c r="T116" s="0" t="n">
        <v>11857</v>
      </c>
      <c r="V116" s="15" t="n">
        <f aca="false">IFERROR(LOOKUP(IF(U116="",E116,U116),{0,1,10,25,100,250,1000},{0,0.06,0.01,0.007,0.004,0.003,0.002}),"")</f>
        <v>0.06</v>
      </c>
      <c r="W116" s="15" t="n">
        <f aca="false">IFERROR(IF(U116="",E116,U116)*V116,"")</f>
        <v>0.3</v>
      </c>
      <c r="X116" s="0" t="s">
        <v>162</v>
      </c>
      <c r="Y116" s="16" t="s">
        <v>23</v>
      </c>
    </row>
    <row r="117" customFormat="false" ht="14.9" hidden="false" customHeight="false" outlineLevel="0" collapsed="false">
      <c r="A117" s="0" t="s">
        <v>488</v>
      </c>
      <c r="B117" s="0" t="s">
        <v>452</v>
      </c>
      <c r="D117" s="0" t="s">
        <v>453</v>
      </c>
      <c r="E117" s="0" t="n">
        <f aca="false">BoardQty*1</f>
        <v>5</v>
      </c>
      <c r="F117" s="15" t="n">
        <f aca="true">MINA(INDIRECT(ADDRESS(ROW(),COLUMN(newark_part_data)+2)),INDIRECT(ADDRESS(ROW(),COLUMN(digikey_part_data)+2)),INDIRECT(ADDRESS(ROW(),COLUMN(mouser_part_data)+2)))</f>
        <v>0.28</v>
      </c>
      <c r="G117" s="15" t="n">
        <f aca="false">IFERROR(E117*F117,"")</f>
        <v>1.4</v>
      </c>
      <c r="H117" s="0" t="n">
        <v>14041</v>
      </c>
      <c r="J117" s="15" t="n">
        <f aca="false">IFERROR(LOOKUP(IF(I117="",E117,I117),{0,1,10,100,500,1000,3000,6000,15000,30000,75000,150000},{0,0.28,0.229,0.1215,0.0799,0.05444,0.04761,0.0414,0.03519,0.03312,0.03105,0.02691}),"")</f>
        <v>0.28</v>
      </c>
      <c r="K117" s="15" t="n">
        <f aca="false">IFERROR(IF(I117="",E117,I117)*J117,"")</f>
        <v>1.4</v>
      </c>
      <c r="L117" s="0" t="s">
        <v>454</v>
      </c>
      <c r="M117" s="16" t="s">
        <v>23</v>
      </c>
      <c r="N117" s="0" t="n">
        <v>33985</v>
      </c>
      <c r="P117" s="15" t="n">
        <f aca="false">IFERROR(LOOKUP(IF(O117="",E117,O117),{0,1,10,100,1000,3000,24000,45000,99000},{0,0.286,0.19,0.078,0.053,0.04,0.033,0.031,0.027}),"")</f>
        <v>0.286</v>
      </c>
      <c r="Q117" s="15" t="n">
        <f aca="false">IFERROR(IF(O117="",E117,O117)*P117,"")</f>
        <v>1.43</v>
      </c>
      <c r="R117" s="0" t="s">
        <v>455</v>
      </c>
      <c r="S117" s="16" t="s">
        <v>23</v>
      </c>
      <c r="T117" s="0" t="n">
        <v>3087</v>
      </c>
      <c r="V117" s="15" t="n">
        <f aca="false">IFERROR(LOOKUP(IF(U117="",E117,U117),{0,1,10,100,1000},{0,0.288,0.192,0.081,0.055}),"")</f>
        <v>0.288</v>
      </c>
      <c r="W117" s="15" t="n">
        <f aca="false">IFERROR(IF(U117="",E117,U117)*V117,"")</f>
        <v>1.44</v>
      </c>
      <c r="X117" s="0" t="s">
        <v>456</v>
      </c>
      <c r="Y117" s="16" t="s">
        <v>23</v>
      </c>
    </row>
    <row r="118" customFormat="false" ht="14.9" hidden="false" customHeight="false" outlineLevel="0" collapsed="false">
      <c r="A118" s="0" t="s">
        <v>489</v>
      </c>
      <c r="B118" s="0" t="s">
        <v>490</v>
      </c>
      <c r="D118" s="0" t="s">
        <v>491</v>
      </c>
      <c r="E118" s="0" t="n">
        <f aca="false">BoardQty*1</f>
        <v>5</v>
      </c>
      <c r="F118" s="15" t="n">
        <f aca="true">MINA(INDIRECT(ADDRESS(ROW(),COLUMN(newark_part_data)+2)),INDIRECT(ADDRESS(ROW(),COLUMN(digikey_part_data)+2)),INDIRECT(ADDRESS(ROW(),COLUMN(mouser_part_data)+2)))</f>
        <v>0.3</v>
      </c>
      <c r="G118" s="15" t="n">
        <f aca="false">IFERROR(E118*F118,"")</f>
        <v>1.5</v>
      </c>
      <c r="H118" s="0" t="n">
        <v>15886</v>
      </c>
      <c r="J118" s="15" t="n">
        <f aca="false">IFERROR(LOOKUP(IF(I118="",E118,I118),{0,1,10,100,500,1000,2500,5000,12500,25000,62500,125000},{0,0.47,0.351,0.2185,0.1495,0.115,0.1035,0.09775,0.08912,0.08338,0.07475,0.07188}),"")</f>
        <v>0.47</v>
      </c>
      <c r="K118" s="15" t="n">
        <f aca="false">IFERROR(IF(I118="",E118,I118)*J118,"")</f>
        <v>2.35</v>
      </c>
      <c r="L118" s="0" t="s">
        <v>492</v>
      </c>
      <c r="M118" s="16" t="s">
        <v>23</v>
      </c>
      <c r="N118" s="0" t="n">
        <v>8199</v>
      </c>
      <c r="P118" s="15" t="n">
        <f aca="false">IFERROR(LOOKUP(IF(O118="",E118,O118),{0,1,10,100,1000,2500,10000,25000,50000},{0,0.453,0.322,0.148,0.113,0.097,0.088,0.082,0.074}),"")</f>
        <v>0.453</v>
      </c>
      <c r="Q118" s="15" t="n">
        <f aca="false">IFERROR(IF(O118="",E118,O118)*P118,"")</f>
        <v>2.265</v>
      </c>
      <c r="R118" s="0" t="s">
        <v>493</v>
      </c>
      <c r="S118" s="16" t="s">
        <v>23</v>
      </c>
      <c r="T118" s="0" t="n">
        <v>4211</v>
      </c>
      <c r="V118" s="15" t="n">
        <f aca="false">IFERROR(LOOKUP(IF(U118="",E118,U118),{0,1,10,100,1000,2500,10000,25000,50000},{0,0.3,0.212,0.098,0.075,0.064,0.058,0.054,0.049}),"")</f>
        <v>0.3</v>
      </c>
      <c r="W118" s="15" t="n">
        <f aca="false">IFERROR(IF(U118="",E118,U118)*V118,"")</f>
        <v>1.5</v>
      </c>
      <c r="X118" s="0" t="s">
        <v>494</v>
      </c>
      <c r="Y118" s="16" t="s">
        <v>23</v>
      </c>
    </row>
    <row r="119" customFormat="false" ht="14.9" hidden="false" customHeight="false" outlineLevel="0" collapsed="false">
      <c r="A119" s="0" t="s">
        <v>495</v>
      </c>
      <c r="B119" s="0" t="s">
        <v>496</v>
      </c>
      <c r="D119" s="0" t="s">
        <v>471</v>
      </c>
      <c r="E119" s="0" t="n">
        <f aca="false">BoardQty*4</f>
        <v>20</v>
      </c>
      <c r="F119" s="15" t="n">
        <f aca="true">MINA(INDIRECT(ADDRESS(ROW(),COLUMN(newark_part_data)+2)),INDIRECT(ADDRESS(ROW(),COLUMN(digikey_part_data)+2)),INDIRECT(ADDRESS(ROW(),COLUMN(mouser_part_data)+2)))</f>
        <v>0.01</v>
      </c>
      <c r="G119" s="15" t="n">
        <f aca="false">IFERROR(E119*F119,"")</f>
        <v>0.2</v>
      </c>
      <c r="H119" s="0" t="n">
        <v>1377548</v>
      </c>
      <c r="J119" s="15" t="n">
        <f aca="false">IFERROR(LOOKUP(IF(I119="",E119,I119),{0,1,10,25,100,250,500,1000,2500,5000,10000,25000,50000,125000},{0,0.1,0.014,0.01,0.0057,0.00436,0.00348,0.00257,0.00223,0.00167,0.00145,0.00128,0.00117,0.00115}),"")</f>
        <v>0.014</v>
      </c>
      <c r="K119" s="15" t="n">
        <f aca="false">IFERROR(IF(I119="",E119,I119)*J119,"")</f>
        <v>0.28</v>
      </c>
      <c r="L119" s="0" t="s">
        <v>472</v>
      </c>
      <c r="M119" s="16" t="s">
        <v>23</v>
      </c>
      <c r="N119" s="0" t="n">
        <v>484369</v>
      </c>
      <c r="P119" s="15" t="n">
        <f aca="false">IFERROR(LOOKUP(IF(O119="",E119,O119),{0,1,10,100,1000,5000},{0,0.099,0.01,0.003,0.002,0.002}),"")</f>
        <v>0.01</v>
      </c>
      <c r="Q119" s="15" t="n">
        <f aca="false">IFERROR(IF(O119="",E119,O119)*P119,"")</f>
        <v>0.2</v>
      </c>
      <c r="R119" s="0" t="s">
        <v>473</v>
      </c>
      <c r="S119" s="16" t="s">
        <v>23</v>
      </c>
      <c r="T119" s="0" t="n">
        <v>3648</v>
      </c>
      <c r="V119" s="15" t="n">
        <f aca="false">IFERROR(LOOKUP(IF(U119="",E119,U119),{0,1,10,25,100,250,1000},{0,0.08,0.014,0.01,0.006,0.004,0.003}),"")</f>
        <v>0.014</v>
      </c>
      <c r="W119" s="15" t="n">
        <f aca="false">IFERROR(IF(U119="",E119,U119)*V119,"")</f>
        <v>0.28</v>
      </c>
      <c r="X119" s="0" t="s">
        <v>474</v>
      </c>
      <c r="Y119" s="16" t="s">
        <v>23</v>
      </c>
    </row>
    <row r="120" customFormat="false" ht="14.9" hidden="false" customHeight="false" outlineLevel="0" collapsed="false">
      <c r="A120" s="0" t="s">
        <v>497</v>
      </c>
      <c r="B120" s="0" t="s">
        <v>498</v>
      </c>
      <c r="D120" s="0" t="s">
        <v>499</v>
      </c>
      <c r="E120" s="0" t="n">
        <f aca="false">BoardQty*5</f>
        <v>25</v>
      </c>
      <c r="F120" s="15" t="n">
        <f aca="true">MINA(INDIRECT(ADDRESS(ROW(),COLUMN(newark_part_data)+2)),INDIRECT(ADDRESS(ROW(),COLUMN(digikey_part_data)+2)),INDIRECT(ADDRESS(ROW(),COLUMN(mouser_part_data)+2)))</f>
        <v>0.399</v>
      </c>
      <c r="G120" s="15" t="n">
        <f aca="false">IFERROR(E120*F120,"")</f>
        <v>9.975</v>
      </c>
      <c r="H120" s="0" t="n">
        <v>32493</v>
      </c>
      <c r="J120" s="15" t="n">
        <f aca="false">IFERROR(LOOKUP(IF(I120="",E120,I120),{0,1,10,50,100,250,500,1000,2500,5000},{0,0.42,0.399,0.2908,0.2793,0.2508,0.2394,0.1995,0.1824,0.171}),"")</f>
        <v>0.399</v>
      </c>
      <c r="K120" s="15" t="n">
        <f aca="false">IFERROR(IF(I120="",E120,I120)*J120,"")</f>
        <v>9.975</v>
      </c>
      <c r="L120" s="0" t="s">
        <v>500</v>
      </c>
      <c r="M120" s="16" t="s">
        <v>23</v>
      </c>
      <c r="T120" s="0" t="n">
        <v>1295</v>
      </c>
      <c r="V120" s="15" t="n">
        <f aca="false">IFERROR(LOOKUP(IF(U120="",E120,U120),{0,1,10,100,500,1000},{0,0.708,0.64,0.568,0.495,0.422}),"")</f>
        <v>0.64</v>
      </c>
      <c r="W120" s="15" t="n">
        <f aca="false">IFERROR(IF(U120="",E120,U120)*V120,"")</f>
        <v>16</v>
      </c>
      <c r="X120" s="0" t="s">
        <v>501</v>
      </c>
      <c r="Y120" s="16" t="s">
        <v>23</v>
      </c>
    </row>
    <row r="121" customFormat="false" ht="13.8" hidden="false" customHeight="false" outlineLevel="0" collapsed="false">
      <c r="A121" s="0" t="s">
        <v>502</v>
      </c>
      <c r="B121" s="0" t="s">
        <v>503</v>
      </c>
      <c r="E121" s="0" t="n">
        <f aca="false">BoardQty*1</f>
        <v>5</v>
      </c>
      <c r="F121" s="15" t="n">
        <f aca="true">MINA(INDIRECT(ADDRESS(ROW(),COLUMN(newark_part_data)+2)),INDIRECT(ADDRESS(ROW(),COLUMN(digikey_part_data)+2)),INDIRECT(ADDRESS(ROW(),COLUMN(mouser_part_data)+2)))</f>
        <v>0</v>
      </c>
      <c r="G121" s="15" t="n">
        <f aca="false">IFERROR(E121*F121,"")</f>
        <v>0</v>
      </c>
    </row>
    <row r="122" customFormat="false" ht="14.9" hidden="false" customHeight="false" outlineLevel="0" collapsed="false">
      <c r="A122" s="0" t="s">
        <v>504</v>
      </c>
      <c r="B122" s="0" t="s">
        <v>505</v>
      </c>
      <c r="D122" s="0" t="s">
        <v>506</v>
      </c>
      <c r="E122" s="0" t="n">
        <f aca="false">BoardQty*2</f>
        <v>10</v>
      </c>
      <c r="F122" s="15" t="n">
        <f aca="true">MINA(INDIRECT(ADDRESS(ROW(),COLUMN(newark_part_data)+2)),INDIRECT(ADDRESS(ROW(),COLUMN(digikey_part_data)+2)),INDIRECT(ADDRESS(ROW(),COLUMN(mouser_part_data)+2)))</f>
        <v>0.209</v>
      </c>
      <c r="G122" s="15" t="n">
        <f aca="false">IFERROR(E122*F122,"")</f>
        <v>2.09</v>
      </c>
      <c r="M122" s="16" t="s">
        <v>23</v>
      </c>
      <c r="N122" s="0" t="n">
        <v>2858</v>
      </c>
      <c r="P122" s="15" t="n">
        <f aca="false">IFERROR(LOOKUP(IF(O122="",E122,O122),{0,1,50,100,500,1000,2000,4000,8000,24000},{0,0.209,0.186,0.164,0.137,0.126,0.122,0.105,0.08,0.077}),"")</f>
        <v>0.209</v>
      </c>
      <c r="Q122" s="15" t="n">
        <f aca="false">IFERROR(IF(O122="",E122,O122)*P122,"")</f>
        <v>2.09</v>
      </c>
      <c r="R122" s="0" t="s">
        <v>507</v>
      </c>
      <c r="S122" s="16" t="s">
        <v>23</v>
      </c>
    </row>
    <row r="123" customFormat="false" ht="14.9" hidden="false" customHeight="false" outlineLevel="0" collapsed="false">
      <c r="A123" s="0" t="s">
        <v>508</v>
      </c>
      <c r="B123" s="0" t="s">
        <v>509</v>
      </c>
      <c r="D123" s="0" t="s">
        <v>509</v>
      </c>
      <c r="E123" s="0" t="n">
        <f aca="false">BoardQty*1</f>
        <v>5</v>
      </c>
      <c r="F123" s="15" t="n">
        <f aca="true">MINA(INDIRECT(ADDRESS(ROW(),COLUMN(newark_part_data)+2)),INDIRECT(ADDRESS(ROW(),COLUMN(digikey_part_data)+2)),INDIRECT(ADDRESS(ROW(),COLUMN(mouser_part_data)+2)))</f>
        <v>0.355</v>
      </c>
      <c r="G123" s="15" t="n">
        <f aca="false">IFERROR(E123*F123,"")</f>
        <v>1.775</v>
      </c>
      <c r="H123" s="0" t="n">
        <v>6007</v>
      </c>
      <c r="J123" s="15" t="n">
        <f aca="false">IFERROR(LOOKUP(IF(I123="",E123,I123),{0,1,10,100,500,1000,4000,8000,12000,28000,100000,200000},{0,0.36,0.292,0.199,0.14894,0.11156,0.0995,0.09347,0.08744,0.0802,0.07538,0.07417}),"")</f>
        <v>0.36</v>
      </c>
      <c r="K123" s="15" t="n">
        <f aca="false">IFERROR(IF(I123="",E123,I123)*J123,"")</f>
        <v>1.8</v>
      </c>
      <c r="L123" s="0" t="s">
        <v>510</v>
      </c>
      <c r="M123" s="16" t="s">
        <v>23</v>
      </c>
      <c r="N123" s="0" t="n">
        <v>6595</v>
      </c>
      <c r="P123" s="15" t="n">
        <f aca="false">IFERROR(LOOKUP(IF(O123="",E123,O123),{0,1,10,100,1000,4000,8000,24000,48000},{0,0.355,0.264,0.147,0.108,0.092,0.086,0.078,0.076}),"")</f>
        <v>0.355</v>
      </c>
      <c r="Q123" s="15" t="n">
        <f aca="false">IFERROR(IF(O123="",E123,O123)*P123,"")</f>
        <v>1.775</v>
      </c>
      <c r="R123" s="0" t="s">
        <v>511</v>
      </c>
      <c r="S123" s="16" t="s">
        <v>23</v>
      </c>
      <c r="Y123" s="16" t="s">
        <v>23</v>
      </c>
    </row>
    <row r="124" customFormat="false" ht="13.8" hidden="false" customHeight="false" outlineLevel="0" collapsed="false">
      <c r="A124" s="0" t="s">
        <v>512</v>
      </c>
      <c r="B124" s="0" t="s">
        <v>513</v>
      </c>
      <c r="E124" s="0" t="n">
        <f aca="false">BoardQty*1</f>
        <v>5</v>
      </c>
      <c r="F124" s="15" t="n">
        <f aca="true">MINA(INDIRECT(ADDRESS(ROW(),COLUMN(newark_part_data)+2)),INDIRECT(ADDRESS(ROW(),COLUMN(digikey_part_data)+2)),INDIRECT(ADDRESS(ROW(),COLUMN(mouser_part_data)+2)))</f>
        <v>0</v>
      </c>
      <c r="G124" s="15" t="n">
        <f aca="false">IFERROR(E124*F124,"")</f>
        <v>0</v>
      </c>
    </row>
    <row r="125" customFormat="false" ht="14.9" hidden="false" customHeight="false" outlineLevel="0" collapsed="false">
      <c r="A125" s="0" t="s">
        <v>514</v>
      </c>
      <c r="B125" s="0" t="s">
        <v>515</v>
      </c>
      <c r="D125" s="0" t="s">
        <v>515</v>
      </c>
      <c r="E125" s="0" t="n">
        <f aca="false">BoardQty*1</f>
        <v>5</v>
      </c>
      <c r="F125" s="15" t="n">
        <f aca="true">MINA(INDIRECT(ADDRESS(ROW(),COLUMN(newark_part_data)+2)),INDIRECT(ADDRESS(ROW(),COLUMN(digikey_part_data)+2)),INDIRECT(ADDRESS(ROW(),COLUMN(mouser_part_data)+2)))</f>
        <v>0.82</v>
      </c>
      <c r="G125" s="15" t="n">
        <f aca="false">IFERROR(E125*F125,"")</f>
        <v>4.1</v>
      </c>
      <c r="H125" s="0" t="n">
        <v>4633</v>
      </c>
      <c r="J125" s="15" t="n">
        <f aca="false">IFERROR(LOOKUP(IF(I125="",E125,I125),{0,1,25,100,2500},{0,0.82,0.68,0.62,0.62}),"")</f>
        <v>0.82</v>
      </c>
      <c r="K125" s="15" t="n">
        <f aca="false">IFERROR(IF(I125="",E125,I125)*J125,"")</f>
        <v>4.1</v>
      </c>
      <c r="L125" s="0" t="s">
        <v>516</v>
      </c>
      <c r="M125" s="16" t="s">
        <v>23</v>
      </c>
      <c r="N125" s="0" t="n">
        <v>1025</v>
      </c>
      <c r="P125" s="15" t="n">
        <f aca="false">IFERROR(LOOKUP(IF(O125="",E125,O125),{0,1,10,25,100,250,500,1000},{0,0.967,0.809,0.67,0.611,0.528,0.453,0.395}),"")</f>
        <v>0.967</v>
      </c>
      <c r="Q125" s="15" t="n">
        <f aca="false">IFERROR(IF(O125="",E125,O125)*P125,"")</f>
        <v>4.835</v>
      </c>
      <c r="R125" s="0" t="s">
        <v>517</v>
      </c>
      <c r="S125" s="16" t="s">
        <v>23</v>
      </c>
      <c r="T125" s="0" t="n">
        <v>550</v>
      </c>
      <c r="V125" s="15" t="n">
        <f aca="false">IFERROR(LOOKUP(IF(U125="",E125,U125),{0,1,25,100,500,1000},{0,1.07,0.955,0.866,0.774,0.722}),"")</f>
        <v>1.07</v>
      </c>
      <c r="W125" s="15" t="n">
        <f aca="false">IFERROR(IF(U125="",E125,U125)*V125,"")</f>
        <v>5.35</v>
      </c>
      <c r="X125" s="0" t="s">
        <v>518</v>
      </c>
      <c r="Y125" s="16" t="s">
        <v>23</v>
      </c>
    </row>
    <row r="126" customFormat="false" ht="14.9" hidden="false" customHeight="false" outlineLevel="0" collapsed="false">
      <c r="A126" s="0" t="s">
        <v>519</v>
      </c>
      <c r="B126" s="0" t="s">
        <v>520</v>
      </c>
      <c r="D126" s="0" t="s">
        <v>521</v>
      </c>
      <c r="E126" s="0" t="n">
        <f aca="false">BoardQty*1</f>
        <v>5</v>
      </c>
      <c r="F126" s="15" t="n">
        <f aca="true">MINA(INDIRECT(ADDRESS(ROW(),COLUMN(newark_part_data)+2)),INDIRECT(ADDRESS(ROW(),COLUMN(digikey_part_data)+2)),INDIRECT(ADDRESS(ROW(),COLUMN(mouser_part_data)+2)))</f>
        <v>0.313</v>
      </c>
      <c r="G126" s="15" t="n">
        <f aca="false">IFERROR(E126*F126,"")</f>
        <v>1.565</v>
      </c>
      <c r="H126" s="0" t="n">
        <v>14003</v>
      </c>
      <c r="J126" s="15" t="n">
        <f aca="false">IFERROR(LOOKUP(IF(I126="",E126,I126),{0,1,10,100,500,1000,2500,5000,10000,12500,25000},{0,0.77,0.68,0.52,0.412,0.33,0.348,0.324,0.312,0.26,0.25}),"")</f>
        <v>0.77</v>
      </c>
      <c r="K126" s="15" t="n">
        <f aca="false">IFERROR(IF(I126="",E126,I126)*J126,"")</f>
        <v>3.85</v>
      </c>
      <c r="L126" s="0" t="s">
        <v>522</v>
      </c>
      <c r="M126" s="16" t="s">
        <v>23</v>
      </c>
      <c r="N126" s="0" t="n">
        <v>21096</v>
      </c>
      <c r="P126" s="15" t="n">
        <f aca="false">IFERROR(LOOKUP(IF(O126="",E126,O126),{0,1,10,100,1000,2500,5000,10000,25000},{0,0.73,0.611,0.395,0.316,0.266,0.265,0.255,0.252}),"")</f>
        <v>0.73</v>
      </c>
      <c r="Q126" s="15" t="n">
        <f aca="false">IFERROR(IF(O126="",E126,O126)*P126,"")</f>
        <v>3.65</v>
      </c>
      <c r="R126" s="0" t="s">
        <v>523</v>
      </c>
      <c r="S126" s="16" t="s">
        <v>23</v>
      </c>
      <c r="T126" s="0" t="n">
        <v>5000</v>
      </c>
      <c r="V126" s="15" t="n">
        <f aca="false">IFERROR(LOOKUP(IF(U126="",E126,U126),{0,1,2500,5000,10000,25000},{0,0.313,0.313,0.313,0.301,0.29}),"")</f>
        <v>0.313</v>
      </c>
      <c r="W126" s="15" t="n">
        <f aca="false">IFERROR(IF(U126="",E126,U126)*V126,"")</f>
        <v>1.565</v>
      </c>
      <c r="X126" s="0" t="s">
        <v>524</v>
      </c>
      <c r="Y126" s="16" t="s">
        <v>23</v>
      </c>
    </row>
    <row r="127" customFormat="false" ht="14.9" hidden="false" customHeight="false" outlineLevel="0" collapsed="false">
      <c r="A127" s="0" t="s">
        <v>525</v>
      </c>
      <c r="B127" s="0" t="s">
        <v>526</v>
      </c>
      <c r="D127" s="0" t="s">
        <v>290</v>
      </c>
      <c r="E127" s="0" t="n">
        <f aca="false">BoardQty*1</f>
        <v>5</v>
      </c>
      <c r="F127" s="15" t="n">
        <f aca="true">MINA(INDIRECT(ADDRESS(ROW(),COLUMN(newark_part_data)+2)),INDIRECT(ADDRESS(ROW(),COLUMN(digikey_part_data)+2)),INDIRECT(ADDRESS(ROW(),COLUMN(mouser_part_data)+2)))</f>
        <v>0.002</v>
      </c>
      <c r="G127" s="15" t="n">
        <f aca="false">IFERROR(E127*F127,"")</f>
        <v>0.01</v>
      </c>
      <c r="H127" s="0" t="n">
        <v>189654</v>
      </c>
      <c r="J127" s="15" t="n">
        <f aca="false">IFERROR(LOOKUP(IF(I127="",E127,I127),{0,1,10,25,100,250,500,1000,2500,5000,10000,25000,50000,125000},{0,0.1,0.014,0.01,0.0057,0.00436,0.00348,0.00257,0.00223,0.00167,0.00145,0.00128,0.00117,0.00115}),"")</f>
        <v>0.1</v>
      </c>
      <c r="K127" s="15" t="n">
        <f aca="false">IFERROR(IF(I127="",E127,I127)*J127,"")</f>
        <v>0.5</v>
      </c>
      <c r="L127" s="0" t="s">
        <v>291</v>
      </c>
      <c r="M127" s="16" t="s">
        <v>23</v>
      </c>
      <c r="N127" s="0" t="n">
        <v>65639</v>
      </c>
      <c r="P127" s="15" t="n">
        <f aca="false">IFERROR(LOOKUP(IF(O127="",E127,O127),{0,1,10,100,1000,5000,10000},{0,0.099,0.01,0.003,0.002,0.002,0.001}),"")</f>
        <v>0.099</v>
      </c>
      <c r="Q127" s="15" t="n">
        <f aca="false">IFERROR(IF(O127="",E127,O127)*P127,"")</f>
        <v>0.495</v>
      </c>
      <c r="R127" s="0" t="s">
        <v>292</v>
      </c>
      <c r="S127" s="16" t="s">
        <v>23</v>
      </c>
      <c r="T127" s="0" t="n">
        <v>20000</v>
      </c>
      <c r="V127" s="15" t="n">
        <f aca="false">IFERROR(LOOKUP(IF(U127="",E127,U127),{0,1,5000,10000},{0,0.002,0.002,0.001}),"")</f>
        <v>0.002</v>
      </c>
      <c r="W127" s="15" t="n">
        <f aca="false">IFERROR(IF(U127="",E127,U127)*V127,"")</f>
        <v>0.01</v>
      </c>
      <c r="X127" s="0" t="s">
        <v>293</v>
      </c>
      <c r="Y127" s="16" t="s">
        <v>23</v>
      </c>
    </row>
    <row r="128" customFormat="false" ht="13.8" hidden="false" customHeight="false" outlineLevel="0" collapsed="false">
      <c r="A128" s="0" t="s">
        <v>527</v>
      </c>
      <c r="B128" s="0" t="s">
        <v>528</v>
      </c>
      <c r="E128" s="0" t="n">
        <f aca="false">BoardQty*5</f>
        <v>25</v>
      </c>
      <c r="F128" s="15" t="n">
        <f aca="true">MINA(INDIRECT(ADDRESS(ROW(),COLUMN(newark_part_data)+2)),INDIRECT(ADDRESS(ROW(),COLUMN(digikey_part_data)+2)),INDIRECT(ADDRESS(ROW(),COLUMN(mouser_part_data)+2)))</f>
        <v>0</v>
      </c>
      <c r="G128" s="15" t="n">
        <f aca="false">IFERROR(E128*F128,"")</f>
        <v>0</v>
      </c>
    </row>
    <row r="129" customFormat="false" ht="14.9" hidden="false" customHeight="false" outlineLevel="0" collapsed="false">
      <c r="A129" s="0" t="s">
        <v>529</v>
      </c>
      <c r="B129" s="0" t="s">
        <v>530</v>
      </c>
      <c r="D129" s="0" t="s">
        <v>531</v>
      </c>
      <c r="E129" s="0" t="n">
        <f aca="false">BoardQty*1</f>
        <v>5</v>
      </c>
      <c r="F129" s="15" t="n">
        <f aca="true">MINA(INDIRECT(ADDRESS(ROW(),COLUMN(newark_part_data)+2)),INDIRECT(ADDRESS(ROW(),COLUMN(digikey_part_data)+2)),INDIRECT(ADDRESS(ROW(),COLUMN(mouser_part_data)+2)))</f>
        <v>6.69</v>
      </c>
      <c r="G129" s="15" t="n">
        <f aca="false">IFERROR(E129*F129,"")</f>
        <v>33.45</v>
      </c>
      <c r="H129" s="0" t="n">
        <v>8099</v>
      </c>
      <c r="J129" s="15" t="n">
        <f aca="false">IFERROR(LOOKUP(IF(I129="",E129,I129),{0,1,10,50,100,160,250,500,1000},{0,6.71,6.2,5.77,5.4,5.4,4.56,4.06,3.69999}),"")</f>
        <v>6.71</v>
      </c>
      <c r="K129" s="15" t="n">
        <f aca="false">IFERROR(IF(I129="",E129,I129)*J129,"")</f>
        <v>33.55</v>
      </c>
      <c r="L129" s="0" t="s">
        <v>532</v>
      </c>
      <c r="M129" s="16" t="s">
        <v>23</v>
      </c>
      <c r="N129" s="0" t="n">
        <v>0</v>
      </c>
      <c r="P129" s="15" t="n">
        <f aca="false">IFERROR(LOOKUP(IF(O129="",E129,O129),{0,1,10,50,100,250,500,1000,2500},{0,6.69,6.18,5.76,5.38,4.55,4.04,3.68,3.64}),"")</f>
        <v>6.69</v>
      </c>
      <c r="Q129" s="15" t="n">
        <f aca="false">IFERROR(IF(O129="",E129,O129)*P129,"")</f>
        <v>33.45</v>
      </c>
      <c r="R129" s="0" t="s">
        <v>533</v>
      </c>
      <c r="S129" s="16" t="s">
        <v>23</v>
      </c>
      <c r="T129" s="0" t="n">
        <v>7005</v>
      </c>
      <c r="V129" s="15" t="n">
        <f aca="false">IFERROR(LOOKUP(IF(U129="",E129,U129),{0,1,50,100,250,500},{0,10.7,9.67,8.9,8.2,7.67}),"")</f>
        <v>10.7</v>
      </c>
      <c r="W129" s="15" t="n">
        <f aca="false">IFERROR(IF(U129="",E129,U129)*V129,"")</f>
        <v>53.5</v>
      </c>
      <c r="X129" s="0" t="s">
        <v>534</v>
      </c>
      <c r="Y129" s="16" t="s">
        <v>23</v>
      </c>
    </row>
    <row r="130" customFormat="false" ht="14.9" hidden="false" customHeight="false" outlineLevel="0" collapsed="false">
      <c r="A130" s="0" t="s">
        <v>535</v>
      </c>
      <c r="B130" s="0" t="s">
        <v>536</v>
      </c>
      <c r="D130" s="0" t="s">
        <v>536</v>
      </c>
      <c r="E130" s="0" t="n">
        <f aca="false">BoardQty*4</f>
        <v>20</v>
      </c>
      <c r="F130" s="15" t="n">
        <f aca="true">MINA(INDIRECT(ADDRESS(ROW(),COLUMN(newark_part_data)+2)),INDIRECT(ADDRESS(ROW(),COLUMN(digikey_part_data)+2)),INDIRECT(ADDRESS(ROW(),COLUMN(mouser_part_data)+2)))</f>
        <v>0.268</v>
      </c>
      <c r="G130" s="15" t="n">
        <f aca="false">IFERROR(E130*F130,"")</f>
        <v>5.36</v>
      </c>
      <c r="H130" s="0" t="n">
        <v>414774</v>
      </c>
      <c r="J130" s="15" t="n">
        <f aca="false">IFERROR(LOOKUP(IF(I130="",E130,I130),{0,1,10,100,500,1000,3000,6000,15000,30000,75000,150000},{0,0.4,0.331,0.1755,0.11542,0.07864,0.06877,0.0598,0.05083,0.04784,0.04485,0.03887}),"")</f>
        <v>0.331</v>
      </c>
      <c r="K130" s="15" t="n">
        <f aca="false">IFERROR(IF(I130="",E130,I130)*J130,"")</f>
        <v>6.62</v>
      </c>
      <c r="L130" s="0" t="s">
        <v>537</v>
      </c>
      <c r="M130" s="16" t="s">
        <v>23</v>
      </c>
      <c r="N130" s="0" t="n">
        <v>70730</v>
      </c>
      <c r="P130" s="15" t="n">
        <f aca="false">IFERROR(LOOKUP(IF(O130="",E130,O130),{0,1,10,100,1000,3000,9000,24000,45000,99000},{0,0.389,0.268,0.111,0.076,0.06,0.051,0.048,0.045,0.039}),"")</f>
        <v>0.268</v>
      </c>
      <c r="Q130" s="15" t="n">
        <f aca="false">IFERROR(IF(O130="",E130,O130)*P130,"")</f>
        <v>5.36</v>
      </c>
      <c r="R130" s="0" t="s">
        <v>538</v>
      </c>
      <c r="S130" s="16" t="s">
        <v>23</v>
      </c>
      <c r="T130" s="0" t="n">
        <v>2264</v>
      </c>
      <c r="V130" s="15" t="n">
        <f aca="false">IFERROR(LOOKUP(IF(U130="",E130,U130),{0,1,10,100,1000},{0,0.391,0.269,0.113,0.077}),"")</f>
        <v>0.269</v>
      </c>
      <c r="W130" s="15" t="n">
        <f aca="false">IFERROR(IF(U130="",E130,U130)*V130,"")</f>
        <v>5.38</v>
      </c>
      <c r="X130" s="0" t="s">
        <v>539</v>
      </c>
      <c r="Y130" s="16" t="s">
        <v>23</v>
      </c>
    </row>
    <row r="131" customFormat="false" ht="14.9" hidden="false" customHeight="false" outlineLevel="0" collapsed="false">
      <c r="A131" s="0" t="s">
        <v>540</v>
      </c>
      <c r="B131" s="0" t="s">
        <v>541</v>
      </c>
      <c r="D131" s="0" t="s">
        <v>409</v>
      </c>
      <c r="E131" s="0" t="n">
        <f aca="false">BoardQty*4</f>
        <v>20</v>
      </c>
      <c r="F131" s="15" t="n">
        <f aca="true">MINA(INDIRECT(ADDRESS(ROW(),COLUMN(newark_part_data)+2)),INDIRECT(ADDRESS(ROW(),COLUMN(digikey_part_data)+2)),INDIRECT(ADDRESS(ROW(),COLUMN(mouser_part_data)+2)))</f>
        <v>0.296</v>
      </c>
      <c r="G131" s="15" t="n">
        <f aca="false">IFERROR(E131*F131,"")</f>
        <v>5.92</v>
      </c>
      <c r="H131" s="0" t="n">
        <v>49787</v>
      </c>
      <c r="J131" s="15" t="n">
        <f aca="false">IFERROR(LOOKUP(IF(I131="",E131,I131),{0,1,10,50,100,250,500,1000,2500,5000,15000,30000,75000,105000},{0,0.37,0.309,0.1738,0.1544,0.1158,0.1023,0.09071,0.08106,0.07527,0.06408,0.06176,0.0579,0.05115}),"")</f>
        <v>0.309</v>
      </c>
      <c r="K131" s="15" t="n">
        <f aca="false">IFERROR(IF(I131="",E131,I131)*J131,"")</f>
        <v>6.18</v>
      </c>
      <c r="L131" s="0" t="s">
        <v>410</v>
      </c>
      <c r="M131" s="16" t="s">
        <v>23</v>
      </c>
      <c r="N131" s="0" t="n">
        <v>15000</v>
      </c>
      <c r="P131" s="15" t="n">
        <f aca="false">IFERROR(LOOKUP(IF(O131="",E131,O131),{0,1,500,1500,4500,9000,15000,45000,90000},{0,0.296,0.175,0.107,0.097,0.087,0.064,0.059,0.057}),"")</f>
        <v>0.296</v>
      </c>
      <c r="Q131" s="15" t="n">
        <f aca="false">IFERROR(IF(O131="",E131,O131)*P131,"")</f>
        <v>5.92</v>
      </c>
      <c r="R131" s="0" t="s">
        <v>411</v>
      </c>
      <c r="S131" s="16" t="s">
        <v>23</v>
      </c>
      <c r="Y131" s="16" t="s">
        <v>23</v>
      </c>
    </row>
    <row r="132" customFormat="false" ht="14.9" hidden="false" customHeight="false" outlineLevel="0" collapsed="false">
      <c r="A132" s="0" t="s">
        <v>542</v>
      </c>
      <c r="B132" s="0" t="s">
        <v>543</v>
      </c>
      <c r="D132" s="0" t="s">
        <v>544</v>
      </c>
      <c r="E132" s="0" t="n">
        <f aca="false">BoardQty*1</f>
        <v>5</v>
      </c>
      <c r="F132" s="15" t="n">
        <f aca="true">MINA(INDIRECT(ADDRESS(ROW(),COLUMN(newark_part_data)+2)),INDIRECT(ADDRESS(ROW(),COLUMN(digikey_part_data)+2)),INDIRECT(ADDRESS(ROW(),COLUMN(mouser_part_data)+2)))</f>
        <v>1.03</v>
      </c>
      <c r="G132" s="15" t="n">
        <f aca="false">IFERROR(E132*F132,"")</f>
        <v>5.15</v>
      </c>
      <c r="H132" s="0" t="n">
        <v>4651</v>
      </c>
      <c r="J132" s="15" t="n">
        <f aca="false">IFERROR(LOOKUP(IF(I132="",E132,I132),{0,1,10,50,100,250,500,750,1250,2500,6250,12500},{0,1.09,0.968,0.904,0.8,0.76,0.72,0.68,0.6,0.58,0.56,0.54}),"")</f>
        <v>1.09</v>
      </c>
      <c r="K132" s="15" t="n">
        <f aca="false">IFERROR(IF(I132="",E132,I132)*J132,"")</f>
        <v>5.45</v>
      </c>
      <c r="L132" s="0" t="s">
        <v>545</v>
      </c>
      <c r="M132" s="16" t="s">
        <v>23</v>
      </c>
      <c r="N132" s="0" t="n">
        <v>2428</v>
      </c>
      <c r="P132" s="15" t="n">
        <f aca="false">IFERROR(LOOKUP(IF(O132="",E132,O132),{0,1,10,100,250,500,1000,2000,5000,10000},{0,1.03,0.858,0.758,0.718,0.678,0.598,0.578,0.558,0.538}),"")</f>
        <v>1.03</v>
      </c>
      <c r="Q132" s="15" t="n">
        <f aca="false">IFERROR(IF(O132="",E132,O132)*P132,"")</f>
        <v>5.15</v>
      </c>
      <c r="R132" s="0" t="s">
        <v>546</v>
      </c>
      <c r="S132" s="16" t="s">
        <v>23</v>
      </c>
    </row>
    <row r="133" customFormat="false" ht="13.8" hidden="false" customHeight="false" outlineLevel="0" collapsed="false">
      <c r="A133" s="0" t="s">
        <v>547</v>
      </c>
      <c r="B133" s="0" t="s">
        <v>548</v>
      </c>
      <c r="E133" s="0" t="n">
        <f aca="false">BoardQty*1</f>
        <v>5</v>
      </c>
      <c r="F133" s="15" t="n">
        <f aca="true">MINA(INDIRECT(ADDRESS(ROW(),COLUMN(newark_part_data)+2)),INDIRECT(ADDRESS(ROW(),COLUMN(digikey_part_data)+2)),INDIRECT(ADDRESS(ROW(),COLUMN(mouser_part_data)+2)))</f>
        <v>0</v>
      </c>
      <c r="G133" s="15" t="n">
        <f aca="false">IFERROR(E133*F133,"")</f>
        <v>0</v>
      </c>
    </row>
    <row r="134" customFormat="false" ht="14.9" hidden="false" customHeight="false" outlineLevel="0" collapsed="false">
      <c r="A134" s="0" t="s">
        <v>549</v>
      </c>
      <c r="B134" s="0" t="s">
        <v>550</v>
      </c>
      <c r="D134" s="0" t="s">
        <v>551</v>
      </c>
      <c r="E134" s="0" t="n">
        <f aca="false">BoardQty*1</f>
        <v>5</v>
      </c>
      <c r="F134" s="15" t="n">
        <f aca="true">MINA(INDIRECT(ADDRESS(ROW(),COLUMN(newark_part_data)+2)),INDIRECT(ADDRESS(ROW(),COLUMN(digikey_part_data)+2)),INDIRECT(ADDRESS(ROW(),COLUMN(mouser_part_data)+2)))</f>
        <v>0.609</v>
      </c>
      <c r="G134" s="15" t="n">
        <f aca="false">IFERROR(E134*F134,"")</f>
        <v>3.045</v>
      </c>
      <c r="H134" s="0" t="n">
        <v>2427</v>
      </c>
      <c r="J134" s="15" t="n">
        <f aca="false">IFERROR(LOOKUP(IF(I134="",E134,I134),{0,1,10,25,50,100,250,500,1000,2000,4000,6000,10000},{0,0.63,0.594,0.5472,0.5004,0.4158,0.378,0.3204,0.2826,0.252,0.2475,0.243,0.234}),"")</f>
        <v>0.63</v>
      </c>
      <c r="K134" s="15" t="n">
        <f aca="false">IFERROR(IF(I134="",E134,I134)*J134,"")</f>
        <v>3.15</v>
      </c>
      <c r="L134" s="0" t="s">
        <v>552</v>
      </c>
      <c r="M134" s="16" t="s">
        <v>23</v>
      </c>
      <c r="N134" s="0" t="n">
        <v>3645</v>
      </c>
      <c r="P134" s="15" t="n">
        <f aca="false">IFERROR(LOOKUP(IF(O134="",E134,O134),{0,1,10,100,250,500,1000,2000,4000,10000},{0,0.651,0.517,0.428,0.39,0.33,0.291,0.261,0.251,0.242}),"")</f>
        <v>0.651</v>
      </c>
      <c r="Q134" s="15" t="n">
        <f aca="false">IFERROR(IF(O134="",E134,O134)*P134,"")</f>
        <v>3.255</v>
      </c>
      <c r="R134" s="0" t="s">
        <v>553</v>
      </c>
      <c r="S134" s="16" t="s">
        <v>23</v>
      </c>
      <c r="T134" s="0" t="n">
        <v>46</v>
      </c>
      <c r="V134" s="15" t="n">
        <f aca="false">IFERROR(LOOKUP(IF(U134="",E134,U134),{0,1,10,100,250,500,1000},{0,0.609,0.501,0.432,0.411,0.375,0.301}),"")</f>
        <v>0.609</v>
      </c>
      <c r="W134" s="15" t="n">
        <f aca="false">IFERROR(IF(U134="",E134,U134)*V134,"")</f>
        <v>3.045</v>
      </c>
      <c r="X134" s="0" t="s">
        <v>554</v>
      </c>
      <c r="Y134" s="16" t="s">
        <v>23</v>
      </c>
    </row>
    <row r="135" customFormat="false" ht="14.9" hidden="false" customHeight="false" outlineLevel="0" collapsed="false">
      <c r="A135" s="0" t="s">
        <v>555</v>
      </c>
      <c r="B135" s="0" t="s">
        <v>556</v>
      </c>
      <c r="D135" s="0" t="s">
        <v>557</v>
      </c>
      <c r="E135" s="0" t="n">
        <f aca="false">BoardQty*2</f>
        <v>10</v>
      </c>
      <c r="F135" s="15" t="n">
        <f aca="true">MINA(INDIRECT(ADDRESS(ROW(),COLUMN(newark_part_data)+2)),INDIRECT(ADDRESS(ROW(),COLUMN(digikey_part_data)+2)),INDIRECT(ADDRESS(ROW(),COLUMN(mouser_part_data)+2)))</f>
        <v>0.003</v>
      </c>
      <c r="G135" s="15" t="n">
        <f aca="false">IFERROR(E135*F135,"")</f>
        <v>0.03</v>
      </c>
      <c r="H135" s="0" t="n">
        <v>81646</v>
      </c>
      <c r="J135" s="15" t="n">
        <f aca="false">IFERROR(LOOKUP(IF(I135="",E135,I135),{0,1,10,25,100,250,500,1000,2500,5000,10000,25000,50000,125000},{0,0.1,0.014,0.01,0.0057,0.00436,0.00348,0.00257,0.00223,0.00167,0.00145,0.00128,0.00117,0.00115}),"")</f>
        <v>0.014</v>
      </c>
      <c r="K135" s="15" t="n">
        <f aca="false">IFERROR(IF(I135="",E135,I135)*J135,"")</f>
        <v>0.14</v>
      </c>
      <c r="L135" s="0" t="s">
        <v>558</v>
      </c>
      <c r="M135" s="16" t="s">
        <v>23</v>
      </c>
      <c r="N135" s="0" t="n">
        <v>29098</v>
      </c>
      <c r="P135" s="15" t="n">
        <f aca="false">IFERROR(LOOKUP(IF(O135="",E135,O135),{0,1,10,100,1000,5000,10000},{0,0.099,0.01,0.003,0.002,0.002,0.001}),"")</f>
        <v>0.01</v>
      </c>
      <c r="Q135" s="15" t="n">
        <f aca="false">IFERROR(IF(O135="",E135,O135)*P135,"")</f>
        <v>0.1</v>
      </c>
      <c r="R135" s="0" t="s">
        <v>559</v>
      </c>
      <c r="S135" s="16" t="s">
        <v>23</v>
      </c>
      <c r="T135" s="0" t="n">
        <v>10000</v>
      </c>
      <c r="V135" s="15" t="n">
        <f aca="false">IFERROR(LOOKUP(IF(U135="",E135,U135),{0,1,15000},{0,0.003,0.003}),"")</f>
        <v>0.003</v>
      </c>
      <c r="W135" s="15" t="n">
        <f aca="false">IFERROR(IF(U135="",E135,U135)*V135,"")</f>
        <v>0.03</v>
      </c>
      <c r="X135" s="0" t="s">
        <v>560</v>
      </c>
      <c r="Y135" s="16" t="s">
        <v>23</v>
      </c>
    </row>
    <row r="136" customFormat="false" ht="14.9" hidden="false" customHeight="false" outlineLevel="0" collapsed="false">
      <c r="A136" s="0" t="s">
        <v>561</v>
      </c>
      <c r="B136" s="0" t="s">
        <v>562</v>
      </c>
      <c r="D136" s="0" t="s">
        <v>563</v>
      </c>
      <c r="E136" s="0" t="n">
        <f aca="false">BoardQty*1</f>
        <v>5</v>
      </c>
      <c r="F136" s="15" t="n">
        <f aca="true">MINA(INDIRECT(ADDRESS(ROW(),COLUMN(newark_part_data)+2)),INDIRECT(ADDRESS(ROW(),COLUMN(digikey_part_data)+2)),INDIRECT(ADDRESS(ROW(),COLUMN(mouser_part_data)+2)))</f>
        <v>4.28</v>
      </c>
      <c r="G136" s="15" t="n">
        <f aca="false">IFERROR(E136*F136,"")</f>
        <v>21.4</v>
      </c>
      <c r="H136" s="0" t="n">
        <v>7742</v>
      </c>
      <c r="J136" s="15" t="n">
        <f aca="false">IFERROR(LOOKUP(IF(I136="",E136,I136),{0,1,10,25,50,100,250,500,1000,2500},{0,4.3,4.128,3.784,3.612,3.44,3.01,2.924,2.494,2.322}),"")</f>
        <v>4.3</v>
      </c>
      <c r="K136" s="15" t="n">
        <f aca="false">IFERROR(IF(I136="",E136,I136)*J136,"")</f>
        <v>21.5</v>
      </c>
      <c r="L136" s="0" t="s">
        <v>564</v>
      </c>
      <c r="M136" s="16" t="s">
        <v>23</v>
      </c>
      <c r="N136" s="0" t="n">
        <v>1321</v>
      </c>
      <c r="P136" s="15" t="n">
        <f aca="false">IFERROR(LOOKUP(IF(O136="",E136,O136),{0,1,10,25,50,100,250,500,1000,2500},{0,4.28,4.11,3.77,3.6,3.43,3,2.91,2.49,2.31}),"")</f>
        <v>4.28</v>
      </c>
      <c r="Q136" s="15" t="n">
        <f aca="false">IFERROR(IF(O136="",E136,O136)*P136,"")</f>
        <v>21.4</v>
      </c>
      <c r="R136" s="0" t="s">
        <v>565</v>
      </c>
      <c r="S136" s="16" t="s">
        <v>23</v>
      </c>
    </row>
    <row r="137" customFormat="false" ht="14.9" hidden="false" customHeight="false" outlineLevel="0" collapsed="false">
      <c r="A137" s="0" t="s">
        <v>566</v>
      </c>
      <c r="B137" s="0" t="s">
        <v>567</v>
      </c>
      <c r="D137" s="0" t="s">
        <v>568</v>
      </c>
      <c r="E137" s="0" t="n">
        <f aca="false">BoardQty*2</f>
        <v>10</v>
      </c>
      <c r="F137" s="15" t="n">
        <f aca="true">MINA(INDIRECT(ADDRESS(ROW(),COLUMN(newark_part_data)+2)),INDIRECT(ADDRESS(ROW(),COLUMN(digikey_part_data)+2)),INDIRECT(ADDRESS(ROW(),COLUMN(mouser_part_data)+2)))</f>
        <v>0.008</v>
      </c>
      <c r="G137" s="15" t="n">
        <f aca="false">IFERROR(E137*F137,"")</f>
        <v>0.08</v>
      </c>
      <c r="H137" s="0" t="n">
        <v>789081</v>
      </c>
      <c r="J137" s="15" t="n">
        <f aca="false">IFERROR(LOOKUP(IF(I137="",E137,I137),{0,1,10,25,100,250,500,1000,2500,5000,10000,25000,50000,125000},{0,0.1,0.011,0.008,0.0044,0.00336,0.0027,0.00198,0.00172,0.00129,0.00112,0.00099,0.0009,0.00089}),"")</f>
        <v>0.011</v>
      </c>
      <c r="K137" s="15" t="n">
        <f aca="false">IFERROR(IF(I137="",E137,I137)*J137,"")</f>
        <v>0.11</v>
      </c>
      <c r="L137" s="0" t="s">
        <v>569</v>
      </c>
      <c r="M137" s="16" t="s">
        <v>23</v>
      </c>
      <c r="N137" s="0" t="n">
        <v>40815</v>
      </c>
      <c r="P137" s="15" t="n">
        <f aca="false">IFERROR(LOOKUP(IF(O137="",E137,O137),{0,1,10,100,1000,5000,50000},{0,0.099,0.008,0.003,0.002,0.002,0.001}),"")</f>
        <v>0.008</v>
      </c>
      <c r="Q137" s="15" t="n">
        <f aca="false">IFERROR(IF(O137="",E137,O137)*P137,"")</f>
        <v>0.08</v>
      </c>
      <c r="R137" s="0" t="s">
        <v>570</v>
      </c>
      <c r="S137" s="16" t="s">
        <v>23</v>
      </c>
      <c r="T137" s="0" t="n">
        <v>4307</v>
      </c>
      <c r="V137" s="15" t="n">
        <f aca="false">IFERROR(LOOKUP(IF(U137="",E137,U137),{0,1,10,25,100,250,1000},{0,0.06,0.01,0.007,0.004,0.003,0.002}),"")</f>
        <v>0.01</v>
      </c>
      <c r="W137" s="15" t="n">
        <f aca="false">IFERROR(IF(U137="",E137,U137)*V137,"")</f>
        <v>0.1</v>
      </c>
      <c r="X137" s="0" t="s">
        <v>571</v>
      </c>
      <c r="Y137" s="16" t="s">
        <v>23</v>
      </c>
    </row>
    <row r="138" customFormat="false" ht="14.9" hidden="false" customHeight="false" outlineLevel="0" collapsed="false">
      <c r="A138" s="0" t="s">
        <v>572</v>
      </c>
      <c r="B138" s="0" t="s">
        <v>567</v>
      </c>
      <c r="D138" s="0" t="s">
        <v>568</v>
      </c>
      <c r="E138" s="0" t="n">
        <f aca="false">BoardQty*1</f>
        <v>5</v>
      </c>
      <c r="F138" s="15" t="n">
        <f aca="true">MINA(INDIRECT(ADDRESS(ROW(),COLUMN(newark_part_data)+2)),INDIRECT(ADDRESS(ROW(),COLUMN(digikey_part_data)+2)),INDIRECT(ADDRESS(ROW(),COLUMN(mouser_part_data)+2)))</f>
        <v>0.06</v>
      </c>
      <c r="G138" s="15" t="n">
        <f aca="false">IFERROR(E138*F138,"")</f>
        <v>0.3</v>
      </c>
      <c r="H138" s="0" t="n">
        <v>789081</v>
      </c>
      <c r="J138" s="15" t="n">
        <f aca="false">IFERROR(LOOKUP(IF(I138="",E138,I138),{0,1,10,25,100,250,500,1000,2500,5000,10000,25000,50000,125000},{0,0.1,0.011,0.008,0.0044,0.00336,0.0027,0.00198,0.00172,0.00129,0.00112,0.00099,0.0009,0.00089}),"")</f>
        <v>0.1</v>
      </c>
      <c r="K138" s="15" t="n">
        <f aca="false">IFERROR(IF(I138="",E138,I138)*J138,"")</f>
        <v>0.5</v>
      </c>
      <c r="L138" s="0" t="s">
        <v>569</v>
      </c>
      <c r="M138" s="16" t="s">
        <v>23</v>
      </c>
      <c r="N138" s="0" t="n">
        <v>40815</v>
      </c>
      <c r="P138" s="15" t="n">
        <f aca="false">IFERROR(LOOKUP(IF(O138="",E138,O138),{0,1,10,100,1000,5000,50000},{0,0.099,0.008,0.003,0.002,0.002,0.001}),"")</f>
        <v>0.099</v>
      </c>
      <c r="Q138" s="15" t="n">
        <f aca="false">IFERROR(IF(O138="",E138,O138)*P138,"")</f>
        <v>0.495</v>
      </c>
      <c r="R138" s="0" t="s">
        <v>570</v>
      </c>
      <c r="S138" s="16" t="s">
        <v>23</v>
      </c>
      <c r="T138" s="0" t="n">
        <v>4307</v>
      </c>
      <c r="V138" s="15" t="n">
        <f aca="false">IFERROR(LOOKUP(IF(U138="",E138,U138),{0,1,10,25,100,250,1000},{0,0.06,0.01,0.007,0.004,0.003,0.002}),"")</f>
        <v>0.06</v>
      </c>
      <c r="W138" s="15" t="n">
        <f aca="false">IFERROR(IF(U138="",E138,U138)*V138,"")</f>
        <v>0.3</v>
      </c>
      <c r="X138" s="0" t="s">
        <v>571</v>
      </c>
      <c r="Y138" s="16" t="s">
        <v>23</v>
      </c>
    </row>
    <row r="139" customFormat="false" ht="14.9" hidden="false" customHeight="false" outlineLevel="0" collapsed="false">
      <c r="A139" s="0" t="s">
        <v>573</v>
      </c>
      <c r="B139" s="0" t="s">
        <v>574</v>
      </c>
      <c r="D139" s="0" t="s">
        <v>575</v>
      </c>
      <c r="E139" s="0" t="n">
        <f aca="false">BoardQty*2</f>
        <v>10</v>
      </c>
      <c r="F139" s="15" t="n">
        <f aca="true">MINA(INDIRECT(ADDRESS(ROW(),COLUMN(newark_part_data)+2)),INDIRECT(ADDRESS(ROW(),COLUMN(digikey_part_data)+2)),INDIRECT(ADDRESS(ROW(),COLUMN(mouser_part_data)+2)))</f>
        <v>0.072</v>
      </c>
      <c r="G139" s="15" t="n">
        <f aca="false">IFERROR(E139*F139,"")</f>
        <v>0.72</v>
      </c>
      <c r="H139" s="0" t="n">
        <v>160245</v>
      </c>
      <c r="J139" s="15" t="n">
        <f aca="false">IFERROR(LOOKUP(IF(I139="",E139,I139),{0,1,10,100,250,500,1000,4000,8000,12000,28000,100000},{0,0.1,0.073,0.0436,0.03168,0.02904,0.02508,0.0192,0.0174,0.0168,0.0156,0.01542}),"")</f>
        <v>0.073</v>
      </c>
      <c r="K139" s="15" t="n">
        <f aca="false">IFERROR(IF(I139="",E139,I139)*J139,"")</f>
        <v>0.73</v>
      </c>
      <c r="L139" s="0" t="s">
        <v>576</v>
      </c>
      <c r="M139" s="16" t="s">
        <v>23</v>
      </c>
      <c r="N139" s="0" t="n">
        <v>8039</v>
      </c>
      <c r="P139" s="15" t="n">
        <f aca="false">IFERROR(LOOKUP(IF(O139="",E139,O139),{0,1,10,100,500,1000,4000,8000,24000},{0,0.099,0.072,0.044,0.028,0.025,0.02,0.016,0.015}),"")</f>
        <v>0.072</v>
      </c>
      <c r="Q139" s="15" t="n">
        <f aca="false">IFERROR(IF(O139="",E139,O139)*P139,"")</f>
        <v>0.72</v>
      </c>
      <c r="R139" s="0" t="s">
        <v>577</v>
      </c>
      <c r="S139" s="16" t="s">
        <v>23</v>
      </c>
      <c r="T139" s="0" t="n">
        <v>4497</v>
      </c>
      <c r="V139" s="15" t="n">
        <f aca="false">IFERROR(LOOKUP(IF(U139="",E139,U139),{0,1,10,100,250,500,1000},{0,0.172,0.12,0.057,0.048,0.04,0.033}),"")</f>
        <v>0.12</v>
      </c>
      <c r="W139" s="15" t="n">
        <f aca="false">IFERROR(IF(U139="",E139,U139)*V139,"")</f>
        <v>1.2</v>
      </c>
      <c r="X139" s="0" t="s">
        <v>578</v>
      </c>
      <c r="Y139" s="16" t="s">
        <v>23</v>
      </c>
    </row>
    <row r="140" customFormat="false" ht="14.9" hidden="false" customHeight="false" outlineLevel="0" collapsed="false">
      <c r="A140" s="0" t="s">
        <v>579</v>
      </c>
      <c r="B140" s="0" t="s">
        <v>574</v>
      </c>
      <c r="D140" s="0" t="s">
        <v>575</v>
      </c>
      <c r="E140" s="0" t="n">
        <f aca="false">BoardQty*2</f>
        <v>10</v>
      </c>
      <c r="F140" s="15" t="n">
        <f aca="true">MINA(INDIRECT(ADDRESS(ROW(),COLUMN(newark_part_data)+2)),INDIRECT(ADDRESS(ROW(),COLUMN(digikey_part_data)+2)),INDIRECT(ADDRESS(ROW(),COLUMN(mouser_part_data)+2)))</f>
        <v>0.072</v>
      </c>
      <c r="G140" s="15" t="n">
        <f aca="false">IFERROR(E140*F140,"")</f>
        <v>0.72</v>
      </c>
      <c r="H140" s="0" t="n">
        <v>160245</v>
      </c>
      <c r="J140" s="15" t="n">
        <f aca="false">IFERROR(LOOKUP(IF(I140="",E140,I140),{0,1,10,100,250,500,1000,4000,8000,12000,28000,100000},{0,0.1,0.073,0.0436,0.03168,0.02904,0.02508,0.0192,0.0174,0.0168,0.0156,0.01542}),"")</f>
        <v>0.073</v>
      </c>
      <c r="K140" s="15" t="n">
        <f aca="false">IFERROR(IF(I140="",E140,I140)*J140,"")</f>
        <v>0.73</v>
      </c>
      <c r="L140" s="0" t="s">
        <v>576</v>
      </c>
      <c r="M140" s="16" t="s">
        <v>23</v>
      </c>
      <c r="N140" s="0" t="n">
        <v>8039</v>
      </c>
      <c r="P140" s="15" t="n">
        <f aca="false">IFERROR(LOOKUP(IF(O140="",E140,O140),{0,1,10,100,500,1000,4000,8000,24000},{0,0.099,0.072,0.044,0.028,0.025,0.02,0.016,0.015}),"")</f>
        <v>0.072</v>
      </c>
      <c r="Q140" s="15" t="n">
        <f aca="false">IFERROR(IF(O140="",E140,O140)*P140,"")</f>
        <v>0.72</v>
      </c>
      <c r="R140" s="0" t="s">
        <v>577</v>
      </c>
      <c r="S140" s="16" t="s">
        <v>23</v>
      </c>
      <c r="T140" s="0" t="n">
        <v>4497</v>
      </c>
      <c r="V140" s="15" t="n">
        <f aca="false">IFERROR(LOOKUP(IF(U140="",E140,U140),{0,1,10,100,250,500,1000},{0,0.172,0.12,0.057,0.048,0.04,0.033}),"")</f>
        <v>0.12</v>
      </c>
      <c r="W140" s="15" t="n">
        <f aca="false">IFERROR(IF(U140="",E140,U140)*V140,"")</f>
        <v>1.2</v>
      </c>
      <c r="X140" s="0" t="s">
        <v>578</v>
      </c>
      <c r="Y140" s="16" t="s">
        <v>23</v>
      </c>
    </row>
    <row r="141" customFormat="false" ht="14.9" hidden="false" customHeight="false" outlineLevel="0" collapsed="false">
      <c r="A141" s="0" t="s">
        <v>580</v>
      </c>
      <c r="B141" s="0" t="s">
        <v>574</v>
      </c>
      <c r="D141" s="0" t="s">
        <v>575</v>
      </c>
      <c r="E141" s="0" t="n">
        <f aca="false">BoardQty*6</f>
        <v>30</v>
      </c>
      <c r="F141" s="15" t="n">
        <f aca="true">MINA(INDIRECT(ADDRESS(ROW(),COLUMN(newark_part_data)+2)),INDIRECT(ADDRESS(ROW(),COLUMN(digikey_part_data)+2)),INDIRECT(ADDRESS(ROW(),COLUMN(mouser_part_data)+2)))</f>
        <v>0.072</v>
      </c>
      <c r="G141" s="15" t="n">
        <f aca="false">IFERROR(E141*F141,"")</f>
        <v>2.16</v>
      </c>
      <c r="H141" s="0" t="n">
        <v>160245</v>
      </c>
      <c r="J141" s="15" t="n">
        <f aca="false">IFERROR(LOOKUP(IF(I141="",E141,I141),{0,1,10,100,250,500,1000,4000,8000,12000,28000,100000},{0,0.1,0.073,0.0436,0.03168,0.02904,0.02508,0.0192,0.0174,0.0168,0.0156,0.01542}),"")</f>
        <v>0.073</v>
      </c>
      <c r="K141" s="15" t="n">
        <f aca="false">IFERROR(IF(I141="",E141,I141)*J141,"")</f>
        <v>2.19</v>
      </c>
      <c r="L141" s="0" t="s">
        <v>576</v>
      </c>
      <c r="M141" s="16" t="s">
        <v>23</v>
      </c>
      <c r="N141" s="0" t="n">
        <v>8039</v>
      </c>
      <c r="P141" s="15" t="n">
        <f aca="false">IFERROR(LOOKUP(IF(O141="",E141,O141),{0,1,10,100,500,1000,4000,8000,24000},{0,0.099,0.072,0.044,0.028,0.025,0.02,0.016,0.015}),"")</f>
        <v>0.072</v>
      </c>
      <c r="Q141" s="15" t="n">
        <f aca="false">IFERROR(IF(O141="",E141,O141)*P141,"")</f>
        <v>2.16</v>
      </c>
      <c r="R141" s="0" t="s">
        <v>577</v>
      </c>
      <c r="S141" s="16" t="s">
        <v>23</v>
      </c>
      <c r="T141" s="0" t="n">
        <v>4497</v>
      </c>
      <c r="V141" s="15" t="n">
        <f aca="false">IFERROR(LOOKUP(IF(U141="",E141,U141),{0,1,10,100,250,500,1000},{0,0.172,0.12,0.057,0.048,0.04,0.033}),"")</f>
        <v>0.12</v>
      </c>
      <c r="W141" s="15" t="n">
        <f aca="false">IFERROR(IF(U141="",E141,U141)*V141,"")</f>
        <v>3.6</v>
      </c>
      <c r="X141" s="0" t="s">
        <v>578</v>
      </c>
      <c r="Y141" s="16" t="s">
        <v>23</v>
      </c>
    </row>
    <row r="142" customFormat="false" ht="14.9" hidden="false" customHeight="false" outlineLevel="0" collapsed="false">
      <c r="A142" s="0" t="s">
        <v>581</v>
      </c>
      <c r="B142" s="0" t="s">
        <v>582</v>
      </c>
      <c r="D142" s="0" t="s">
        <v>168</v>
      </c>
      <c r="E142" s="0" t="n">
        <f aca="false">BoardQty*9</f>
        <v>45</v>
      </c>
      <c r="F142" s="15" t="n">
        <f aca="true">MINA(INDIRECT(ADDRESS(ROW(),COLUMN(newark_part_data)+2)),INDIRECT(ADDRESS(ROW(),COLUMN(digikey_part_data)+2)),INDIRECT(ADDRESS(ROW(),COLUMN(mouser_part_data)+2)))</f>
        <v>0.008</v>
      </c>
      <c r="G142" s="15" t="n">
        <f aca="false">IFERROR(E142*F142,"")</f>
        <v>0.36</v>
      </c>
      <c r="H142" s="0" t="n">
        <v>2125582</v>
      </c>
      <c r="J142" s="15" t="n">
        <f aca="false">IFERROR(LOOKUP(IF(I142="",E142,I142),{0,1,10,25,100,250,500,1000,2500,5000,10000,25000,50000,125000},{0,0.1,0.011,0.008,0.0044,0.00336,0.0027,0.00198,0.00172,0.00129,0.00112,0.00099,0.0009,0.00089}),"")</f>
        <v>0.008</v>
      </c>
      <c r="K142" s="15" t="n">
        <f aca="false">IFERROR(IF(I142="",E142,I142)*J142,"")</f>
        <v>0.36</v>
      </c>
      <c r="L142" s="0" t="s">
        <v>169</v>
      </c>
      <c r="M142" s="16" t="s">
        <v>23</v>
      </c>
      <c r="N142" s="0" t="n">
        <v>116707</v>
      </c>
      <c r="P142" s="15" t="n">
        <f aca="false">IFERROR(LOOKUP(IF(O142="",E142,O142),{0,1,10,100,1000,5000,50000},{0,0.099,0.008,0.003,0.002,0.002,0.001}),"")</f>
        <v>0.008</v>
      </c>
      <c r="Q142" s="15" t="n">
        <f aca="false">IFERROR(IF(O142="",E142,O142)*P142,"")</f>
        <v>0.36</v>
      </c>
      <c r="R142" s="0" t="s">
        <v>170</v>
      </c>
      <c r="S142" s="16" t="s">
        <v>23</v>
      </c>
      <c r="Y142" s="16" t="s">
        <v>23</v>
      </c>
    </row>
    <row r="143" customFormat="false" ht="14.9" hidden="false" customHeight="false" outlineLevel="0" collapsed="false">
      <c r="A143" s="0" t="s">
        <v>583</v>
      </c>
      <c r="B143" s="0" t="s">
        <v>582</v>
      </c>
      <c r="D143" s="0" t="s">
        <v>168</v>
      </c>
      <c r="E143" s="0" t="n">
        <f aca="false">BoardQty*8</f>
        <v>40</v>
      </c>
      <c r="F143" s="15" t="n">
        <f aca="true">MINA(INDIRECT(ADDRESS(ROW(),COLUMN(newark_part_data)+2)),INDIRECT(ADDRESS(ROW(),COLUMN(digikey_part_data)+2)),INDIRECT(ADDRESS(ROW(),COLUMN(mouser_part_data)+2)))</f>
        <v>0.008</v>
      </c>
      <c r="G143" s="15" t="n">
        <f aca="false">IFERROR(E143*F143,"")</f>
        <v>0.32</v>
      </c>
      <c r="H143" s="0" t="n">
        <v>2125582</v>
      </c>
      <c r="J143" s="15" t="n">
        <f aca="false">IFERROR(LOOKUP(IF(I143="",E143,I143),{0,1,10,25,100,250,500,1000,2500,5000,10000,25000,50000,125000},{0,0.1,0.011,0.008,0.0044,0.00336,0.0027,0.00198,0.00172,0.00129,0.00112,0.00099,0.0009,0.00089}),"")</f>
        <v>0.008</v>
      </c>
      <c r="K143" s="15" t="n">
        <f aca="false">IFERROR(IF(I143="",E143,I143)*J143,"")</f>
        <v>0.32</v>
      </c>
      <c r="L143" s="0" t="s">
        <v>169</v>
      </c>
      <c r="M143" s="16" t="s">
        <v>23</v>
      </c>
      <c r="N143" s="0" t="n">
        <v>116707</v>
      </c>
      <c r="P143" s="15" t="n">
        <f aca="false">IFERROR(LOOKUP(IF(O143="",E143,O143),{0,1,10,100,1000,5000,50000},{0,0.099,0.008,0.003,0.002,0.002,0.001}),"")</f>
        <v>0.008</v>
      </c>
      <c r="Q143" s="15" t="n">
        <f aca="false">IFERROR(IF(O143="",E143,O143)*P143,"")</f>
        <v>0.32</v>
      </c>
      <c r="R143" s="0" t="s">
        <v>170</v>
      </c>
      <c r="S143" s="16" t="s">
        <v>23</v>
      </c>
      <c r="Y143" s="16" t="s">
        <v>23</v>
      </c>
    </row>
    <row r="144" customFormat="false" ht="14.9" hidden="false" customHeight="false" outlineLevel="0" collapsed="false">
      <c r="A144" s="0" t="s">
        <v>584</v>
      </c>
      <c r="B144" s="0" t="s">
        <v>585</v>
      </c>
      <c r="D144" s="0" t="s">
        <v>586</v>
      </c>
      <c r="E144" s="0" t="n">
        <f aca="false">BoardQty*1</f>
        <v>5</v>
      </c>
      <c r="F144" s="15" t="n">
        <f aca="true">MINA(INDIRECT(ADDRESS(ROW(),COLUMN(newark_part_data)+2)),INDIRECT(ADDRESS(ROW(),COLUMN(digikey_part_data)+2)),INDIRECT(ADDRESS(ROW(),COLUMN(mouser_part_data)+2)))</f>
        <v>13.07</v>
      </c>
      <c r="G144" s="15" t="n">
        <f aca="false">IFERROR(E144*F144,"")</f>
        <v>65.35</v>
      </c>
      <c r="H144" s="0" t="n">
        <v>62</v>
      </c>
      <c r="J144" s="15" t="n">
        <f aca="false">IFERROR(LOOKUP(IF(I144="",E144,I144),{0,1,25,100,700},{0,13.07,11.98,10.85,10.85999}),"")</f>
        <v>13.07</v>
      </c>
      <c r="K144" s="15" t="n">
        <f aca="false">IFERROR(IF(I144="",E144,I144)*J144,"")</f>
        <v>65.35</v>
      </c>
      <c r="L144" s="0" t="s">
        <v>587</v>
      </c>
      <c r="M144" s="16" t="s">
        <v>23</v>
      </c>
      <c r="N144" s="0" t="n">
        <v>105</v>
      </c>
      <c r="P144" s="15" t="n">
        <f aca="false">IFERROR(LOOKUP(IF(O144="",E144,O144),{0,1,10,25,100},{0,15.47,12.89,11.82,10.7}),"")</f>
        <v>15.47</v>
      </c>
      <c r="Q144" s="15" t="n">
        <f aca="false">IFERROR(IF(O144="",E144,O144)*P144,"")</f>
        <v>77.35</v>
      </c>
      <c r="R144" s="0" t="s">
        <v>588</v>
      </c>
      <c r="S144" s="16" t="s">
        <v>23</v>
      </c>
      <c r="Y144" s="16" t="s">
        <v>23</v>
      </c>
    </row>
    <row r="145" customFormat="false" ht="14.9" hidden="false" customHeight="false" outlineLevel="0" collapsed="false">
      <c r="A145" s="0" t="s">
        <v>589</v>
      </c>
      <c r="B145" s="0" t="s">
        <v>590</v>
      </c>
      <c r="D145" s="0" t="s">
        <v>590</v>
      </c>
      <c r="E145" s="0" t="n">
        <f aca="false">BoardQty*1</f>
        <v>5</v>
      </c>
      <c r="F145" s="15" t="n">
        <f aca="true">MINA(INDIRECT(ADDRESS(ROW(),COLUMN(newark_part_data)+2)),INDIRECT(ADDRESS(ROW(),COLUMN(digikey_part_data)+2)),INDIRECT(ADDRESS(ROW(),COLUMN(mouser_part_data)+2)))</f>
        <v>0.25</v>
      </c>
      <c r="G145" s="15" t="n">
        <f aca="false">IFERROR(E145*F145,"")</f>
        <v>1.25</v>
      </c>
      <c r="H145" s="0" t="n">
        <v>4662</v>
      </c>
      <c r="J145" s="15" t="n">
        <f aca="false">IFERROR(LOOKUP(IF(I145="",E145,I145),{0,1,10,25,50,100,250,500,1000,2000,4000,6000,10000},{0,0.25,0.235,0.2172,0.2098,0.1953,0.17388,0.1449,0.13731,0.1173,0.1104,0.1035,0.0966}),"")</f>
        <v>0.25</v>
      </c>
      <c r="K145" s="15" t="n">
        <f aca="false">IFERROR(IF(I145="",E145,I145)*J145,"")</f>
        <v>1.25</v>
      </c>
      <c r="L145" s="0" t="s">
        <v>591</v>
      </c>
      <c r="M145" s="16" t="s">
        <v>23</v>
      </c>
      <c r="N145" s="0" t="n">
        <v>3828</v>
      </c>
      <c r="P145" s="15" t="n">
        <f aca="false">IFERROR(LOOKUP(IF(O145="",E145,O145),{0,1,10,100,250,500,1000,2000,4000,10000},{0,0.258,0.216,0.202,0.179,0.148,0.142,0.121,0.107,0.099}),"")</f>
        <v>0.258</v>
      </c>
      <c r="Q145" s="15" t="n">
        <f aca="false">IFERROR(IF(O145="",E145,O145)*P145,"")</f>
        <v>1.29</v>
      </c>
      <c r="R145" s="0" t="s">
        <v>592</v>
      </c>
      <c r="S145" s="16" t="s">
        <v>23</v>
      </c>
      <c r="T145" s="0" t="n">
        <v>2075</v>
      </c>
      <c r="V145" s="15" t="n">
        <f aca="false">IFERROR(LOOKUP(IF(U145="",E145,U145),{0,1,10,100,250,500,1000},{0,0.25,0.185,0.166,0.158,0.136,0.116}),"")</f>
        <v>0.25</v>
      </c>
      <c r="W145" s="15" t="n">
        <f aca="false">IFERROR(IF(U145="",E145,U145)*V145,"")</f>
        <v>1.25</v>
      </c>
      <c r="X145" s="0" t="s">
        <v>593</v>
      </c>
      <c r="Y145" s="16" t="s">
        <v>23</v>
      </c>
    </row>
    <row r="146" customFormat="false" ht="14.9" hidden="false" customHeight="false" outlineLevel="0" collapsed="false">
      <c r="A146" s="0" t="s">
        <v>594</v>
      </c>
      <c r="B146" s="0" t="s">
        <v>595</v>
      </c>
      <c r="D146" s="0" t="s">
        <v>222</v>
      </c>
      <c r="E146" s="0" t="n">
        <f aca="false">BoardQty*1</f>
        <v>5</v>
      </c>
      <c r="F146" s="15" t="n">
        <f aca="true">MINA(INDIRECT(ADDRESS(ROW(),COLUMN(newark_part_data)+2)),INDIRECT(ADDRESS(ROW(),COLUMN(digikey_part_data)+2)),INDIRECT(ADDRESS(ROW(),COLUMN(mouser_part_data)+2)))</f>
        <v>0.06</v>
      </c>
      <c r="G146" s="15" t="n">
        <f aca="false">IFERROR(E146*F146,"")</f>
        <v>0.3</v>
      </c>
      <c r="H146" s="0" t="n">
        <v>2402083</v>
      </c>
      <c r="J146" s="15" t="n">
        <f aca="false">IFERROR(LOOKUP(IF(I146="",E146,I146),{0,1,10,25,100,250,500,1000,2500,5000,10000,25000,50000,125000},{0,0.1,0.011,0.008,0.0044,0.00336,0.0027,0.00198,0.00172,0.00129,0.00112,0.00099,0.0009,0.00089}),"")</f>
        <v>0.1</v>
      </c>
      <c r="K146" s="15" t="n">
        <f aca="false">IFERROR(IF(I146="",E146,I146)*J146,"")</f>
        <v>0.5</v>
      </c>
      <c r="L146" s="0" t="s">
        <v>223</v>
      </c>
      <c r="M146" s="16" t="s">
        <v>23</v>
      </c>
      <c r="N146" s="0" t="n">
        <v>175883</v>
      </c>
      <c r="P146" s="15" t="n">
        <f aca="false">IFERROR(LOOKUP(IF(O146="",E146,O146),{0,1,10,100,1000,5000,50000},{0,0.099,0.008,0.003,0.002,0.002,0.001}),"")</f>
        <v>0.099</v>
      </c>
      <c r="Q146" s="15" t="n">
        <f aca="false">IFERROR(IF(O146="",E146,O146)*P146,"")</f>
        <v>0.495</v>
      </c>
      <c r="R146" s="0" t="s">
        <v>224</v>
      </c>
      <c r="S146" s="16" t="s">
        <v>23</v>
      </c>
      <c r="T146" s="0" t="n">
        <v>973</v>
      </c>
      <c r="V146" s="15" t="n">
        <f aca="false">IFERROR(LOOKUP(IF(U146="",E146,U146),{0,1,10,25,100,250,1000},{0,0.06,0.01,0.007,0.004,0.003,0.002}),"")</f>
        <v>0.06</v>
      </c>
      <c r="W146" s="15" t="n">
        <f aca="false">IFERROR(IF(U146="",E146,U146)*V146,"")</f>
        <v>0.3</v>
      </c>
      <c r="X146" s="0" t="s">
        <v>225</v>
      </c>
      <c r="Y146" s="16" t="s">
        <v>23</v>
      </c>
    </row>
    <row r="147" customFormat="false" ht="14.9" hidden="false" customHeight="false" outlineLevel="0" collapsed="false">
      <c r="A147" s="0" t="s">
        <v>596</v>
      </c>
      <c r="B147" s="0" t="s">
        <v>597</v>
      </c>
      <c r="D147" s="0" t="s">
        <v>598</v>
      </c>
      <c r="E147" s="0" t="n">
        <f aca="false">BoardQty*2</f>
        <v>10</v>
      </c>
      <c r="F147" s="15" t="n">
        <f aca="true">MINA(INDIRECT(ADDRESS(ROW(),COLUMN(newark_part_data)+2)),INDIRECT(ADDRESS(ROW(),COLUMN(digikey_part_data)+2)),INDIRECT(ADDRESS(ROW(),COLUMN(mouser_part_data)+2)))</f>
        <v>0.251</v>
      </c>
      <c r="G147" s="15" t="n">
        <f aca="false">IFERROR(E147*F147,"")</f>
        <v>2.51</v>
      </c>
      <c r="H147" s="0" t="n">
        <v>11728</v>
      </c>
      <c r="J147" s="15" t="n">
        <f aca="false">IFERROR(LOOKUP(IF(I147="",E147,I147),{0,1,10,25,50,100,250,500,1000,3000,6000,15000},{0,0.29,0.273,0.252,0.2432,0.2264,0.2016,0.168,0.1592,0.128,0.12,0.112}),"")</f>
        <v>0.273</v>
      </c>
      <c r="K147" s="15" t="n">
        <f aca="false">IFERROR(IF(I147="",E147,I147)*J147,"")</f>
        <v>2.73</v>
      </c>
      <c r="L147" s="0" t="s">
        <v>599</v>
      </c>
      <c r="M147" s="16" t="s">
        <v>23</v>
      </c>
      <c r="N147" s="0" t="n">
        <v>13976</v>
      </c>
      <c r="P147" s="15" t="n">
        <f aca="false">IFERROR(LOOKUP(IF(O147="",E147,O147),{0,1,10,100,250,500,1000,3000,6000,9000},{0,0.3,0.251,0.233,0.207,0.173,0.165,0.132,0.124,0.116}),"")</f>
        <v>0.251</v>
      </c>
      <c r="Q147" s="15" t="n">
        <f aca="false">IFERROR(IF(O147="",E147,O147)*P147,"")</f>
        <v>2.51</v>
      </c>
      <c r="R147" s="0" t="s">
        <v>600</v>
      </c>
      <c r="S147" s="16" t="s">
        <v>23</v>
      </c>
      <c r="T147" s="0" t="n">
        <v>1394</v>
      </c>
      <c r="V147" s="15" t="n">
        <f aca="false">IFERROR(LOOKUP(IF(U147="",E147,U147),{0,1,10,100,250,500,1000},{0,0.386,0.268,0.214,0.196,0.191,0.148}),"")</f>
        <v>0.268</v>
      </c>
      <c r="W147" s="15" t="n">
        <f aca="false">IFERROR(IF(U147="",E147,U147)*V147,"")</f>
        <v>2.68</v>
      </c>
      <c r="X147" s="0" t="s">
        <v>601</v>
      </c>
      <c r="Y147" s="16" t="s">
        <v>23</v>
      </c>
    </row>
    <row r="148" customFormat="false" ht="13.8" hidden="false" customHeight="false" outlineLevel="0" collapsed="false">
      <c r="A148" s="0" t="s">
        <v>602</v>
      </c>
      <c r="B148" s="0" t="s">
        <v>603</v>
      </c>
      <c r="E148" s="0" t="n">
        <f aca="false">BoardQty*2</f>
        <v>10</v>
      </c>
      <c r="F148" s="15" t="n">
        <f aca="true">MINA(INDIRECT(ADDRESS(ROW(),COLUMN(newark_part_data)+2)),INDIRECT(ADDRESS(ROW(),COLUMN(digikey_part_data)+2)),INDIRECT(ADDRESS(ROW(),COLUMN(mouser_part_data)+2)))</f>
        <v>0</v>
      </c>
      <c r="G148" s="15" t="n">
        <f aca="false">IFERROR(E148*F148,"")</f>
        <v>0</v>
      </c>
    </row>
    <row r="149" customFormat="false" ht="14.9" hidden="false" customHeight="false" outlineLevel="0" collapsed="false">
      <c r="A149" s="0" t="s">
        <v>604</v>
      </c>
      <c r="B149" s="0" t="s">
        <v>281</v>
      </c>
      <c r="D149" s="0" t="s">
        <v>282</v>
      </c>
      <c r="E149" s="0" t="n">
        <f aca="false">BoardQty*35</f>
        <v>175</v>
      </c>
      <c r="F149" s="15" t="n">
        <f aca="true">MINA(INDIRECT(ADDRESS(ROW(),COLUMN(newark_part_data)+2)),INDIRECT(ADDRESS(ROW(),COLUMN(digikey_part_data)+2)),INDIRECT(ADDRESS(ROW(),COLUMN(mouser_part_data)+2)))</f>
        <v>0.006</v>
      </c>
      <c r="G149" s="15" t="n">
        <f aca="false">IFERROR(E149*F149,"")</f>
        <v>1.05</v>
      </c>
      <c r="H149" s="0" t="n">
        <v>2069188</v>
      </c>
      <c r="J149" s="15" t="n">
        <f aca="false">IFERROR(LOOKUP(IF(I149="",E149,I149),{0,1,10,50,100,250,500,1000,4000,8000,12000,28000,100000},{0,0.1,0.041,0.0222,0.0187,0.01532,0.0131,0.0102,0.00782,0.00714,0.0068,0.00646,0.00468}),"")</f>
        <v>0.0187</v>
      </c>
      <c r="K149" s="15" t="n">
        <f aca="false">IFERROR(IF(I149="",E149,I149)*J149,"")</f>
        <v>3.2725</v>
      </c>
      <c r="L149" s="0" t="s">
        <v>283</v>
      </c>
      <c r="M149" s="16" t="s">
        <v>23</v>
      </c>
      <c r="N149" s="0" t="n">
        <v>1572232</v>
      </c>
      <c r="P149" s="15" t="n">
        <f aca="false">IFERROR(LOOKUP(IF(O149="",E149,O149),{0,1,10,100,500,1000,4000,8000,48000},{0,0.099,0.036,0.026,0.022,0.016,0.013,0.011,0.009}),"")</f>
        <v>0.026</v>
      </c>
      <c r="Q149" s="15" t="n">
        <f aca="false">IFERROR(IF(O149="",E149,O149)*P149,"")</f>
        <v>4.55</v>
      </c>
      <c r="R149" s="0" t="s">
        <v>284</v>
      </c>
      <c r="S149" s="16" t="s">
        <v>23</v>
      </c>
      <c r="T149" s="0" t="n">
        <v>200000</v>
      </c>
      <c r="V149" s="15" t="n">
        <f aca="false">IFERROR(LOOKUP(IF(U149="",E149,U149),{0,1,4000,8000,28000},{0,0.006,0.006,0.005,0.004}),"")</f>
        <v>0.006</v>
      </c>
      <c r="W149" s="15" t="n">
        <f aca="false">IFERROR(IF(U149="",E149,U149)*V149,"")</f>
        <v>1.05</v>
      </c>
      <c r="X149" s="0" t="s">
        <v>285</v>
      </c>
      <c r="Y149" s="16" t="s">
        <v>23</v>
      </c>
    </row>
    <row r="150" customFormat="false" ht="14.9" hidden="false" customHeight="false" outlineLevel="0" collapsed="false">
      <c r="A150" s="0" t="s">
        <v>605</v>
      </c>
      <c r="B150" s="0" t="s">
        <v>281</v>
      </c>
      <c r="D150" s="0" t="s">
        <v>282</v>
      </c>
      <c r="E150" s="0" t="n">
        <f aca="false">BoardQty*10</f>
        <v>50</v>
      </c>
      <c r="F150" s="15" t="n">
        <f aca="true">MINA(INDIRECT(ADDRESS(ROW(),COLUMN(newark_part_data)+2)),INDIRECT(ADDRESS(ROW(),COLUMN(digikey_part_data)+2)),INDIRECT(ADDRESS(ROW(),COLUMN(mouser_part_data)+2)))</f>
        <v>0.006</v>
      </c>
      <c r="G150" s="15" t="n">
        <f aca="false">IFERROR(E150*F150,"")</f>
        <v>0.3</v>
      </c>
      <c r="H150" s="0" t="n">
        <v>2069188</v>
      </c>
      <c r="J150" s="15" t="n">
        <f aca="false">IFERROR(LOOKUP(IF(I150="",E150,I150),{0,1,10,50,100,250,500,1000,4000,8000,12000,28000,100000},{0,0.1,0.041,0.0222,0.0187,0.01532,0.0131,0.0102,0.00782,0.00714,0.0068,0.00646,0.00468}),"")</f>
        <v>0.0222</v>
      </c>
      <c r="K150" s="15" t="n">
        <f aca="false">IFERROR(IF(I150="",E150,I150)*J150,"")</f>
        <v>1.11</v>
      </c>
      <c r="L150" s="0" t="s">
        <v>283</v>
      </c>
      <c r="M150" s="16" t="s">
        <v>23</v>
      </c>
      <c r="N150" s="0" t="n">
        <v>1572232</v>
      </c>
      <c r="P150" s="15" t="n">
        <f aca="false">IFERROR(LOOKUP(IF(O150="",E150,O150),{0,1,10,100,500,1000,4000,8000,48000},{0,0.099,0.036,0.026,0.022,0.016,0.013,0.011,0.009}),"")</f>
        <v>0.036</v>
      </c>
      <c r="Q150" s="15" t="n">
        <f aca="false">IFERROR(IF(O150="",E150,O150)*P150,"")</f>
        <v>1.8</v>
      </c>
      <c r="R150" s="0" t="s">
        <v>284</v>
      </c>
      <c r="S150" s="16" t="s">
        <v>23</v>
      </c>
      <c r="T150" s="0" t="n">
        <v>200000</v>
      </c>
      <c r="V150" s="15" t="n">
        <f aca="false">IFERROR(LOOKUP(IF(U150="",E150,U150),{0,1,4000,8000,28000},{0,0.006,0.006,0.005,0.004}),"")</f>
        <v>0.006</v>
      </c>
      <c r="W150" s="15" t="n">
        <f aca="false">IFERROR(IF(U150="",E150,U150)*V150,"")</f>
        <v>0.3</v>
      </c>
      <c r="X150" s="0" t="s">
        <v>285</v>
      </c>
      <c r="Y150" s="16" t="s">
        <v>23</v>
      </c>
    </row>
    <row r="151" customFormat="false" ht="14.9" hidden="false" customHeight="false" outlineLevel="0" collapsed="false">
      <c r="A151" s="0" t="s">
        <v>606</v>
      </c>
      <c r="B151" s="0" t="s">
        <v>607</v>
      </c>
      <c r="D151" s="0" t="s">
        <v>608</v>
      </c>
      <c r="E151" s="0" t="n">
        <f aca="false">BoardQty*8</f>
        <v>40</v>
      </c>
      <c r="F151" s="15" t="n">
        <f aca="true">MINA(INDIRECT(ADDRESS(ROW(),COLUMN(newark_part_data)+2)),INDIRECT(ADDRESS(ROW(),COLUMN(digikey_part_data)+2)),INDIRECT(ADDRESS(ROW(),COLUMN(mouser_part_data)+2)))</f>
        <v>0.007</v>
      </c>
      <c r="G151" s="15" t="n">
        <f aca="false">IFERROR(E151*F151,"")</f>
        <v>0.28</v>
      </c>
      <c r="H151" s="0" t="n">
        <v>535850</v>
      </c>
      <c r="J151" s="15" t="n">
        <f aca="false">IFERROR(LOOKUP(IF(I151="",E151,I151),{0,1,10,25,100,250,500,1000,2500,5000,10000,25000,50000,125000},{0,0.1,0.011,0.008,0.0044,0.00336,0.0027,0.00198,0.00172,0.00129,0.00112,0.00099,0.0009,0.00089}),"")</f>
        <v>0.008</v>
      </c>
      <c r="K151" s="15" t="n">
        <f aca="false">IFERROR(IF(I151="",E151,I151)*J151,"")</f>
        <v>0.32</v>
      </c>
      <c r="L151" s="0" t="s">
        <v>609</v>
      </c>
      <c r="M151" s="16" t="s">
        <v>23</v>
      </c>
      <c r="N151" s="0" t="n">
        <v>79934</v>
      </c>
      <c r="P151" s="15" t="n">
        <f aca="false">IFERROR(LOOKUP(IF(O151="",E151,O151),{0,1,10,100,1000,5000,50000},{0,0.099,0.008,0.003,0.002,0.002,0.001}),"")</f>
        <v>0.008</v>
      </c>
      <c r="Q151" s="15" t="n">
        <f aca="false">IFERROR(IF(O151="",E151,O151)*P151,"")</f>
        <v>0.32</v>
      </c>
      <c r="R151" s="0" t="s">
        <v>610</v>
      </c>
      <c r="S151" s="16" t="s">
        <v>23</v>
      </c>
      <c r="T151" s="0" t="n">
        <v>1579</v>
      </c>
      <c r="V151" s="15" t="n">
        <f aca="false">IFERROR(LOOKUP(IF(U151="",E151,U151),{0,1,10,25,100,250,1000},{0,0.06,0.01,0.007,0.004,0.003,0.002}),"")</f>
        <v>0.007</v>
      </c>
      <c r="W151" s="15" t="n">
        <f aca="false">IFERROR(IF(U151="",E151,U151)*V151,"")</f>
        <v>0.28</v>
      </c>
      <c r="X151" s="0" t="s">
        <v>611</v>
      </c>
      <c r="Y151" s="16" t="s">
        <v>23</v>
      </c>
    </row>
    <row r="152" customFormat="false" ht="14.9" hidden="false" customHeight="false" outlineLevel="0" collapsed="false">
      <c r="A152" s="0" t="s">
        <v>612</v>
      </c>
      <c r="B152" s="0" t="s">
        <v>613</v>
      </c>
      <c r="D152" s="0" t="s">
        <v>614</v>
      </c>
      <c r="E152" s="0" t="n">
        <f aca="false">BoardQty*4</f>
        <v>20</v>
      </c>
      <c r="F152" s="15" t="n">
        <f aca="true">MINA(INDIRECT(ADDRESS(ROW(),COLUMN(newark_part_data)+2)),INDIRECT(ADDRESS(ROW(),COLUMN(digikey_part_data)+2)),INDIRECT(ADDRESS(ROW(),COLUMN(mouser_part_data)+2)))</f>
        <v>1.89</v>
      </c>
      <c r="G152" s="15" t="n">
        <f aca="false">IFERROR(E152*F152,"")</f>
        <v>37.8</v>
      </c>
      <c r="H152" s="0" t="n">
        <v>5048</v>
      </c>
      <c r="J152" s="15" t="n">
        <f aca="false">IFERROR(LOOKUP(IF(I152="",E152,I152),{0,1,10,25,50,100,250,500,1000,2500},{0,2.02,1.89,1.68,1.596,1.512,1.344,1.26,1.176,1.155}),"")</f>
        <v>1.89</v>
      </c>
      <c r="K152" s="15" t="n">
        <f aca="false">IFERROR(IF(I152="",E152,I152)*J152,"")</f>
        <v>37.8</v>
      </c>
      <c r="L152" s="0" t="s">
        <v>615</v>
      </c>
      <c r="M152" s="16" t="s">
        <v>23</v>
      </c>
      <c r="N152" s="0" t="n">
        <v>884</v>
      </c>
      <c r="P152" s="15" t="n">
        <f aca="false">IFERROR(LOOKUP(IF(O152="",E152,O152),{0,1,10,25,50,100,250,500,1000,2000},{0,2.53,2.21,2.08,1.99,1.91,1.74,1.56,1.38,1.31}),"")</f>
        <v>2.21</v>
      </c>
      <c r="Q152" s="15" t="n">
        <f aca="false">IFERROR(IF(O152="",E152,O152)*P152,"")</f>
        <v>44.2</v>
      </c>
      <c r="R152" s="0" t="s">
        <v>616</v>
      </c>
      <c r="S152" s="16" t="s">
        <v>23</v>
      </c>
      <c r="Y152" s="16" t="s">
        <v>23</v>
      </c>
    </row>
    <row r="153" customFormat="false" ht="14.9" hidden="false" customHeight="false" outlineLevel="0" collapsed="false">
      <c r="A153" s="0" t="s">
        <v>617</v>
      </c>
      <c r="B153" s="0" t="s">
        <v>172</v>
      </c>
      <c r="D153" s="0" t="s">
        <v>173</v>
      </c>
      <c r="E153" s="0" t="n">
        <f aca="false">BoardQty*9</f>
        <v>45</v>
      </c>
      <c r="F153" s="15" t="n">
        <f aca="true">MINA(INDIRECT(ADDRESS(ROW(),COLUMN(newark_part_data)+2)),INDIRECT(ADDRESS(ROW(),COLUMN(digikey_part_data)+2)),INDIRECT(ADDRESS(ROW(),COLUMN(mouser_part_data)+2)))</f>
        <v>0.007</v>
      </c>
      <c r="G153" s="15" t="n">
        <f aca="false">IFERROR(E153*F153,"")</f>
        <v>0.315</v>
      </c>
      <c r="H153" s="0" t="n">
        <v>6467962</v>
      </c>
      <c r="J153" s="15" t="n">
        <f aca="false">IFERROR(LOOKUP(IF(I153="",E153,I153),{0,1,10,25,100,250,500,1000,2500,5000,10000,25000,50000,125000},{0,0.1,0.011,0.008,0.0045,0.00348,0.00278,0.00204,0.00177,0.00133,0.00116,0.00102,0.00093,0.00091}),"")</f>
        <v>0.008</v>
      </c>
      <c r="K153" s="15" t="n">
        <f aca="false">IFERROR(IF(I153="",E153,I153)*J153,"")</f>
        <v>0.36</v>
      </c>
      <c r="L153" s="0" t="s">
        <v>174</v>
      </c>
      <c r="M153" s="16" t="s">
        <v>23</v>
      </c>
      <c r="N153" s="0" t="n">
        <v>955124</v>
      </c>
      <c r="P153" s="15" t="n">
        <f aca="false">IFERROR(LOOKUP(IF(O153="",E153,O153),{0,1,10,100,1000,5000,50000},{0,0.099,0.008,0.003,0.002,0.002,0.001}),"")</f>
        <v>0.008</v>
      </c>
      <c r="Q153" s="15" t="n">
        <f aca="false">IFERROR(IF(O153="",E153,O153)*P153,"")</f>
        <v>0.36</v>
      </c>
      <c r="R153" s="0" t="s">
        <v>175</v>
      </c>
      <c r="S153" s="16" t="s">
        <v>23</v>
      </c>
      <c r="T153" s="0" t="n">
        <v>3609</v>
      </c>
      <c r="V153" s="15" t="n">
        <f aca="false">IFERROR(LOOKUP(IF(U153="",E153,U153),{0,1,10,25,100,250,1000},{0,0.06,0.01,0.007,0.004,0.003,0.002}),"")</f>
        <v>0.007</v>
      </c>
      <c r="W153" s="15" t="n">
        <f aca="false">IFERROR(IF(U153="",E153,U153)*V153,"")</f>
        <v>0.315</v>
      </c>
      <c r="X153" s="0" t="s">
        <v>176</v>
      </c>
      <c r="Y153" s="16" t="s">
        <v>23</v>
      </c>
    </row>
    <row r="154" customFormat="false" ht="14.9" hidden="false" customHeight="false" outlineLevel="0" collapsed="false">
      <c r="A154" s="0" t="s">
        <v>618</v>
      </c>
      <c r="B154" s="0" t="s">
        <v>172</v>
      </c>
      <c r="D154" s="0" t="s">
        <v>173</v>
      </c>
      <c r="E154" s="0" t="n">
        <f aca="false">BoardQty*1</f>
        <v>5</v>
      </c>
      <c r="F154" s="15" t="n">
        <f aca="true">MINA(INDIRECT(ADDRESS(ROW(),COLUMN(newark_part_data)+2)),INDIRECT(ADDRESS(ROW(),COLUMN(digikey_part_data)+2)),INDIRECT(ADDRESS(ROW(),COLUMN(mouser_part_data)+2)))</f>
        <v>0.06</v>
      </c>
      <c r="G154" s="15" t="n">
        <f aca="false">IFERROR(E154*F154,"")</f>
        <v>0.3</v>
      </c>
      <c r="H154" s="0" t="n">
        <v>6467962</v>
      </c>
      <c r="J154" s="15" t="n">
        <f aca="false">IFERROR(LOOKUP(IF(I154="",E154,I154),{0,1,10,25,100,250,500,1000,2500,5000,10000,25000,50000,125000},{0,0.1,0.011,0.008,0.0045,0.00348,0.00278,0.00204,0.00177,0.00133,0.00116,0.00102,0.00093,0.00091}),"")</f>
        <v>0.1</v>
      </c>
      <c r="K154" s="15" t="n">
        <f aca="false">IFERROR(IF(I154="",E154,I154)*J154,"")</f>
        <v>0.5</v>
      </c>
      <c r="L154" s="0" t="s">
        <v>174</v>
      </c>
      <c r="M154" s="16" t="s">
        <v>23</v>
      </c>
      <c r="N154" s="0" t="n">
        <v>955124</v>
      </c>
      <c r="P154" s="15" t="n">
        <f aca="false">IFERROR(LOOKUP(IF(O154="",E154,O154),{0,1,10,100,1000,5000,50000},{0,0.099,0.008,0.003,0.002,0.002,0.001}),"")</f>
        <v>0.099</v>
      </c>
      <c r="Q154" s="15" t="n">
        <f aca="false">IFERROR(IF(O154="",E154,O154)*P154,"")</f>
        <v>0.495</v>
      </c>
      <c r="R154" s="0" t="s">
        <v>175</v>
      </c>
      <c r="S154" s="16" t="s">
        <v>23</v>
      </c>
      <c r="T154" s="0" t="n">
        <v>3609</v>
      </c>
      <c r="V154" s="15" t="n">
        <f aca="false">IFERROR(LOOKUP(IF(U154="",E154,U154),{0,1,10,25,100,250,1000},{0,0.06,0.01,0.007,0.004,0.003,0.002}),"")</f>
        <v>0.06</v>
      </c>
      <c r="W154" s="15" t="n">
        <f aca="false">IFERROR(IF(U154="",E154,U154)*V154,"")</f>
        <v>0.3</v>
      </c>
      <c r="X154" s="0" t="s">
        <v>176</v>
      </c>
      <c r="Y154" s="16" t="s">
        <v>23</v>
      </c>
    </row>
    <row r="155" customFormat="false" ht="14.9" hidden="false" customHeight="false" outlineLevel="0" collapsed="false">
      <c r="A155" s="0" t="s">
        <v>619</v>
      </c>
      <c r="B155" s="0" t="s">
        <v>620</v>
      </c>
      <c r="D155" s="0" t="s">
        <v>621</v>
      </c>
      <c r="E155" s="0" t="n">
        <f aca="false">BoardQty*1</f>
        <v>5</v>
      </c>
      <c r="F155" s="15" t="n">
        <f aca="true">MINA(INDIRECT(ADDRESS(ROW(),COLUMN(newark_part_data)+2)),INDIRECT(ADDRESS(ROW(),COLUMN(digikey_part_data)+2)),INDIRECT(ADDRESS(ROW(),COLUMN(mouser_part_data)+2)))</f>
        <v>0.099</v>
      </c>
      <c r="G155" s="15" t="n">
        <f aca="false">IFERROR(E155*F155,"")</f>
        <v>0.495</v>
      </c>
      <c r="H155" s="0" t="n">
        <v>111058</v>
      </c>
      <c r="J155" s="15" t="n">
        <f aca="false">IFERROR(LOOKUP(IF(I155="",E155,I155),{0,1,10,25,100,250,500,1000,2500,5000,10000,25000,50000,125000},{0,0.1,0.014,0.01,0.0057,0.00436,0.00348,0.00257,0.00223,0.00167,0.00145,0.00128,0.00117,0.00115}),"")</f>
        <v>0.1</v>
      </c>
      <c r="K155" s="15" t="n">
        <f aca="false">IFERROR(IF(I155="",E155,I155)*J155,"")</f>
        <v>0.5</v>
      </c>
      <c r="L155" s="0" t="s">
        <v>622</v>
      </c>
      <c r="M155" s="16" t="s">
        <v>23</v>
      </c>
      <c r="N155" s="0" t="n">
        <v>7012</v>
      </c>
      <c r="P155" s="15" t="n">
        <f aca="false">IFERROR(LOOKUP(IF(O155="",E155,O155),{0,1,10,100,1000,5000,10000},{0,0.099,0.01,0.003,0.002,0.002,0.001}),"")</f>
        <v>0.099</v>
      </c>
      <c r="Q155" s="15" t="n">
        <f aca="false">IFERROR(IF(O155="",E155,O155)*P155,"")</f>
        <v>0.495</v>
      </c>
      <c r="R155" s="0" t="s">
        <v>623</v>
      </c>
      <c r="S155" s="16" t="s">
        <v>23</v>
      </c>
    </row>
    <row r="156" customFormat="false" ht="14.9" hidden="false" customHeight="false" outlineLevel="0" collapsed="false">
      <c r="A156" s="0" t="s">
        <v>624</v>
      </c>
      <c r="B156" s="0" t="s">
        <v>625</v>
      </c>
      <c r="D156" s="0" t="s">
        <v>625</v>
      </c>
      <c r="E156" s="0" t="n">
        <f aca="false">BoardQty*4</f>
        <v>20</v>
      </c>
      <c r="F156" s="15" t="n">
        <f aca="true">MINA(INDIRECT(ADDRESS(ROW(),COLUMN(newark_part_data)+2)),INDIRECT(ADDRESS(ROW(),COLUMN(digikey_part_data)+2)),INDIRECT(ADDRESS(ROW(),COLUMN(mouser_part_data)+2)))</f>
        <v>0.073</v>
      </c>
      <c r="G156" s="15" t="n">
        <f aca="false">IFERROR(E156*F156,"")</f>
        <v>1.46</v>
      </c>
      <c r="H156" s="0" t="n">
        <v>775006</v>
      </c>
      <c r="J156" s="15" t="n">
        <f aca="false">IFERROR(LOOKUP(IF(I156="",E156,I156),{0,1,10,100,500,1000,2500,5000,12500,25000,62500,125000},{0,0.1,0.077,0.042,0.02582,0.01761,0.01454,0.01311,0.0114,0.01026,0.00912,0.00758}),"")</f>
        <v>0.077</v>
      </c>
      <c r="K156" s="15" t="n">
        <f aca="false">IFERROR(IF(I156="",E156,I156)*J156,"")</f>
        <v>1.54</v>
      </c>
      <c r="L156" s="0" t="s">
        <v>626</v>
      </c>
      <c r="M156" s="16" t="s">
        <v>23</v>
      </c>
      <c r="N156" s="0" t="n">
        <v>174471</v>
      </c>
      <c r="P156" s="15" t="n">
        <f aca="false">IFERROR(LOOKUP(IF(O156="",E156,O156),{0,1,10,100,1000,2500,10000,25000,50000,100000},{0,0.099,0.073,0.026,0.017,0.013,0.011,0.01,0.009,0.008}),"")</f>
        <v>0.073</v>
      </c>
      <c r="Q156" s="15" t="n">
        <f aca="false">IFERROR(IF(O156="",E156,O156)*P156,"")</f>
        <v>1.46</v>
      </c>
      <c r="R156" s="0" t="s">
        <v>627</v>
      </c>
      <c r="S156" s="16" t="s">
        <v>23</v>
      </c>
      <c r="T156" s="0" t="n">
        <v>4500</v>
      </c>
      <c r="V156" s="15" t="n">
        <f aca="false">IFERROR(LOOKUP(IF(U156="",E156,U156),{0,1,10,100,1000},{0,0.1,0.073,0.026,0.017}),"")</f>
        <v>0.073</v>
      </c>
      <c r="W156" s="15" t="n">
        <f aca="false">IFERROR(IF(U156="",E156,U156)*V156,"")</f>
        <v>1.46</v>
      </c>
      <c r="X156" s="0" t="s">
        <v>628</v>
      </c>
      <c r="Y156" s="16" t="s">
        <v>23</v>
      </c>
    </row>
    <row r="157" customFormat="false" ht="14.9" hidden="false" customHeight="false" outlineLevel="0" collapsed="false">
      <c r="A157" s="0" t="s">
        <v>629</v>
      </c>
      <c r="B157" s="0" t="s">
        <v>630</v>
      </c>
      <c r="D157" s="0" t="s">
        <v>630</v>
      </c>
      <c r="E157" s="0" t="n">
        <f aca="false">BoardQty*1</f>
        <v>5</v>
      </c>
      <c r="F157" s="15" t="n">
        <f aca="true">MINA(INDIRECT(ADDRESS(ROW(),COLUMN(newark_part_data)+2)),INDIRECT(ADDRESS(ROW(),COLUMN(digikey_part_data)+2)),INDIRECT(ADDRESS(ROW(),COLUMN(mouser_part_data)+2)))</f>
        <v>0.381</v>
      </c>
      <c r="G157" s="15" t="n">
        <f aca="false">IFERROR(E157*F157,"")</f>
        <v>1.905</v>
      </c>
      <c r="M157" s="16" t="s">
        <v>23</v>
      </c>
      <c r="N157" s="0" t="n">
        <v>142</v>
      </c>
      <c r="P157" s="15" t="n">
        <f aca="false">IFERROR(LOOKUP(IF(O157="",E157,O157),{0,1,10,100,250,500,1000,1500,4500,9000},{0,0.382,0.302,0.25,0.227,0.192,0.174,0.148,0.146,0.142}),"")</f>
        <v>0.382</v>
      </c>
      <c r="Q157" s="15" t="n">
        <f aca="false">IFERROR(IF(O157="",E157,O157)*P157,"")</f>
        <v>1.91</v>
      </c>
      <c r="R157" s="0" t="s">
        <v>631</v>
      </c>
      <c r="S157" s="16" t="s">
        <v>23</v>
      </c>
      <c r="T157" s="0" t="n">
        <v>735</v>
      </c>
      <c r="V157" s="15" t="n">
        <f aca="false">IFERROR(LOOKUP(IF(U157="",E157,U157),{0,1,10,100,250,500,1000},{0,0.381,0.281,0.252,0.24,0.207,0.176}),"")</f>
        <v>0.381</v>
      </c>
      <c r="W157" s="15" t="n">
        <f aca="false">IFERROR(IF(U157="",E157,U157)*V157,"")</f>
        <v>1.905</v>
      </c>
      <c r="X157" s="0" t="s">
        <v>632</v>
      </c>
      <c r="Y157" s="16" t="s">
        <v>23</v>
      </c>
    </row>
    <row r="158" customFormat="false" ht="14.9" hidden="false" customHeight="false" outlineLevel="0" collapsed="false">
      <c r="A158" s="0" t="s">
        <v>633</v>
      </c>
      <c r="B158" s="0" t="s">
        <v>634</v>
      </c>
      <c r="D158" s="0" t="s">
        <v>635</v>
      </c>
      <c r="E158" s="0" t="n">
        <f aca="false">BoardQty*5</f>
        <v>25</v>
      </c>
      <c r="F158" s="15" t="n">
        <f aca="true">MINA(INDIRECT(ADDRESS(ROW(),COLUMN(newark_part_data)+2)),INDIRECT(ADDRESS(ROW(),COLUMN(digikey_part_data)+2)),INDIRECT(ADDRESS(ROW(),COLUMN(mouser_part_data)+2)))</f>
        <v>0.07</v>
      </c>
      <c r="G158" s="15" t="n">
        <f aca="false">IFERROR(E158*F158,"")</f>
        <v>1.75</v>
      </c>
      <c r="H158" s="0" t="n">
        <v>2894</v>
      </c>
      <c r="J158" s="15" t="n">
        <f aca="false">IFERROR(LOOKUP(IF(I158="",E158,I158),{0,1,10,50,100,250,500,1000,4000,8000,12000,28000,100000},{0,0.1,0.087,0.0712,0.0523,0.038,0.03484,0.0301,0.02304,0.02088,0.02016,0.01872,0.0185}),"")</f>
        <v>0.087</v>
      </c>
      <c r="K158" s="15" t="n">
        <f aca="false">IFERROR(IF(I158="",E158,I158)*J158,"")</f>
        <v>2.175</v>
      </c>
      <c r="L158" s="0" t="s">
        <v>636</v>
      </c>
      <c r="M158" s="16" t="s">
        <v>23</v>
      </c>
      <c r="N158" s="0" t="n">
        <v>6024</v>
      </c>
      <c r="P158" s="15" t="n">
        <f aca="false">IFERROR(LOOKUP(IF(O158="",E158,O158),{0,1,10,100,500,1000,4000,8000,24000,48000},{0,0.109,0.07,0.037,0.035,0.029,0.021,0.02,0.019,0.017}),"")</f>
        <v>0.07</v>
      </c>
      <c r="Q158" s="15" t="n">
        <f aca="false">IFERROR(IF(O158="",E158,O158)*P158,"")</f>
        <v>1.75</v>
      </c>
      <c r="R158" s="0" t="s">
        <v>637</v>
      </c>
      <c r="S158" s="16" t="s">
        <v>23</v>
      </c>
    </row>
    <row r="159" customFormat="false" ht="13.8" hidden="false" customHeight="false" outlineLevel="0" collapsed="false">
      <c r="A159" s="0" t="s">
        <v>638</v>
      </c>
      <c r="B159" s="0" t="s">
        <v>165</v>
      </c>
      <c r="E159" s="0" t="n">
        <f aca="false">BoardQty*3</f>
        <v>15</v>
      </c>
      <c r="F159" s="15" t="n">
        <f aca="true">MINA(INDIRECT(ADDRESS(ROW(),COLUMN(newark_part_data)+2)),INDIRECT(ADDRESS(ROW(),COLUMN(digikey_part_data)+2)),INDIRECT(ADDRESS(ROW(),COLUMN(mouser_part_data)+2)))</f>
        <v>0</v>
      </c>
      <c r="G159" s="15" t="n">
        <f aca="false">IFERROR(E159*F159,"")</f>
        <v>0</v>
      </c>
    </row>
    <row r="160" customFormat="false" ht="14.9" hidden="false" customHeight="false" outlineLevel="0" collapsed="false">
      <c r="A160" s="0" t="s">
        <v>639</v>
      </c>
      <c r="B160" s="0" t="s">
        <v>640</v>
      </c>
      <c r="D160" s="0" t="s">
        <v>208</v>
      </c>
      <c r="E160" s="0" t="n">
        <f aca="false">BoardQty*9</f>
        <v>45</v>
      </c>
      <c r="F160" s="15" t="n">
        <f aca="true">MINA(INDIRECT(ADDRESS(ROW(),COLUMN(newark_part_data)+2)),INDIRECT(ADDRESS(ROW(),COLUMN(digikey_part_data)+2)),INDIRECT(ADDRESS(ROW(),COLUMN(mouser_part_data)+2)))</f>
        <v>0.012</v>
      </c>
      <c r="G160" s="15" t="n">
        <f aca="false">IFERROR(E160*F160,"")</f>
        <v>0.54</v>
      </c>
      <c r="H160" s="0" t="n">
        <v>2083197</v>
      </c>
      <c r="J160" s="15" t="n">
        <f aca="false">IFERROR(LOOKUP(IF(I160="",E160,I160),{0,1,10,50,100,250,500,1000,4000,8000,12000,28000,100000},{0,0.1,0.019,0.0104,0.0088,0.0072,0.00616,0.0048,0.00368,0.00336,0.0032,0.00304,0.0022}),"")</f>
        <v>0.019</v>
      </c>
      <c r="K160" s="15" t="n">
        <f aca="false">IFERROR(IF(I160="",E160,I160)*J160,"")</f>
        <v>0.855</v>
      </c>
      <c r="L160" s="0" t="s">
        <v>209</v>
      </c>
      <c r="M160" s="16" t="s">
        <v>23</v>
      </c>
      <c r="N160" s="0" t="n">
        <v>568447</v>
      </c>
      <c r="P160" s="15" t="n">
        <f aca="false">IFERROR(LOOKUP(IF(O160="",E160,O160),{0,1,10,100,500,1000,4000,24000},{0,0.099,0.012,0.008,0.007,0.005,0.004,0.003}),"")</f>
        <v>0.012</v>
      </c>
      <c r="Q160" s="15" t="n">
        <f aca="false">IFERROR(IF(O160="",E160,O160)*P160,"")</f>
        <v>0.54</v>
      </c>
      <c r="R160" s="0" t="s">
        <v>210</v>
      </c>
      <c r="S160" s="16" t="s">
        <v>23</v>
      </c>
      <c r="T160" s="0" t="n">
        <v>13006</v>
      </c>
      <c r="V160" s="15" t="n">
        <f aca="false">IFERROR(LOOKUP(IF(U160="",E160,U160),{0,1,10,25,50,100,250,1000},{0,0.1,0.024,0.015,0.012,0.01,0.009,0.006}),"")</f>
        <v>0.015</v>
      </c>
      <c r="W160" s="15" t="n">
        <f aca="false">IFERROR(IF(U160="",E160,U160)*V160,"")</f>
        <v>0.675</v>
      </c>
      <c r="X160" s="0" t="s">
        <v>211</v>
      </c>
      <c r="Y160" s="16" t="s">
        <v>23</v>
      </c>
    </row>
    <row r="161" customFormat="false" ht="14.9" hidden="false" customHeight="false" outlineLevel="0" collapsed="false">
      <c r="A161" s="0" t="s">
        <v>641</v>
      </c>
      <c r="B161" s="0" t="s">
        <v>642</v>
      </c>
      <c r="D161" s="0" t="s">
        <v>643</v>
      </c>
      <c r="E161" s="0" t="n">
        <f aca="false">BoardQty*1</f>
        <v>5</v>
      </c>
      <c r="F161" s="15" t="n">
        <f aca="true">MINA(INDIRECT(ADDRESS(ROW(),COLUMN(newark_part_data)+2)),INDIRECT(ADDRESS(ROW(),COLUMN(digikey_part_data)+2)),INDIRECT(ADDRESS(ROW(),COLUMN(mouser_part_data)+2)))</f>
        <v>0.743</v>
      </c>
      <c r="G161" s="15" t="n">
        <f aca="false">IFERROR(E161*F161,"")</f>
        <v>3.715</v>
      </c>
      <c r="M161" s="16" t="s">
        <v>23</v>
      </c>
      <c r="N161" s="0" t="n">
        <v>433</v>
      </c>
      <c r="P161" s="15" t="n">
        <f aca="false">IFERROR(LOOKUP(IF(O161="",E161,O161),{0,1,10,100,250,600,2400,4800,9600},{0,0.743,0.536,0.496,0.471,0.347,0.281,0.275,0.27}),"")</f>
        <v>0.743</v>
      </c>
      <c r="Q161" s="15" t="n">
        <f aca="false">IFERROR(IF(O161="",E161,O161)*P161,"")</f>
        <v>3.715</v>
      </c>
      <c r="R161" s="0" t="s">
        <v>644</v>
      </c>
      <c r="S161" s="16" t="s">
        <v>23</v>
      </c>
      <c r="Y161" s="16" t="s">
        <v>23</v>
      </c>
    </row>
    <row r="162" customFormat="false" ht="14.9" hidden="false" customHeight="false" outlineLevel="0" collapsed="false">
      <c r="A162" s="0" t="s">
        <v>645</v>
      </c>
      <c r="B162" s="0" t="s">
        <v>646</v>
      </c>
      <c r="D162" s="0" t="s">
        <v>646</v>
      </c>
      <c r="E162" s="0" t="n">
        <f aca="false">BoardQty*1</f>
        <v>5</v>
      </c>
      <c r="F162" s="15" t="n">
        <f aca="true">MINA(INDIRECT(ADDRESS(ROW(),COLUMN(newark_part_data)+2)),INDIRECT(ADDRESS(ROW(),COLUMN(digikey_part_data)+2)),INDIRECT(ADDRESS(ROW(),COLUMN(mouser_part_data)+2)))</f>
        <v>1.07</v>
      </c>
      <c r="G162" s="15" t="n">
        <f aca="false">IFERROR(E162*F162,"")</f>
        <v>5.35</v>
      </c>
      <c r="H162" s="0" t="n">
        <v>54108</v>
      </c>
      <c r="J162" s="15" t="n">
        <f aca="false">IFERROR(LOOKUP(IF(I162="",E162,I162),{0,1,10,50,100,500,1000,3000,5000,10000},{0,1.2,1.065,0.9944,0.88,0.8316,0.66,0.638,0.616,0.594}),"")</f>
        <v>1.2</v>
      </c>
      <c r="K162" s="15" t="n">
        <f aca="false">IFERROR(IF(I162="",E162,I162)*J162,"")</f>
        <v>6</v>
      </c>
      <c r="L162" s="0" t="s">
        <v>647</v>
      </c>
      <c r="M162" s="16" t="s">
        <v>23</v>
      </c>
      <c r="N162" s="0" t="n">
        <v>0</v>
      </c>
      <c r="P162" s="15" t="n">
        <f aca="false">IFERROR(LOOKUP(IF(O162="",E162,O162),{0,1,10,50,100,500,1000},{0,1.07,0.941,0.88,0.784,0.741,0.619}),"")</f>
        <v>1.07</v>
      </c>
      <c r="Q162" s="15" t="n">
        <f aca="false">IFERROR(IF(O162="",E162,O162)*P162,"")</f>
        <v>5.35</v>
      </c>
      <c r="R162" s="0" t="s">
        <v>648</v>
      </c>
      <c r="S162" s="16" t="s">
        <v>23</v>
      </c>
      <c r="Y162" s="16" t="s">
        <v>23</v>
      </c>
    </row>
    <row r="163" customFormat="false" ht="14.9" hidden="false" customHeight="false" outlineLevel="0" collapsed="false">
      <c r="A163" s="0" t="s">
        <v>649</v>
      </c>
      <c r="B163" s="0" t="s">
        <v>650</v>
      </c>
      <c r="D163" s="0" t="s">
        <v>651</v>
      </c>
      <c r="E163" s="0" t="n">
        <f aca="false">BoardQty*10</f>
        <v>50</v>
      </c>
      <c r="F163" s="15" t="n">
        <f aca="true">MINA(INDIRECT(ADDRESS(ROW(),COLUMN(newark_part_data)+2)),INDIRECT(ADDRESS(ROW(),COLUMN(digikey_part_data)+2)),INDIRECT(ADDRESS(ROW(),COLUMN(mouser_part_data)+2)))</f>
        <v>0.408</v>
      </c>
      <c r="G163" s="15" t="n">
        <f aca="false">IFERROR(E163*F163,"")</f>
        <v>20.4</v>
      </c>
      <c r="H163" s="0" t="n">
        <v>5282</v>
      </c>
      <c r="J163" s="15" t="n">
        <f aca="false">IFERROR(LOOKUP(IF(I163="",E163,I163),{0,1,10,50,100,250,500,1000,2500,5000},{0,0.54,0.51,0.408,0.391,0.357,0.34,0.2805,0.255,0.2465}),"")</f>
        <v>0.408</v>
      </c>
      <c r="K163" s="15" t="n">
        <f aca="false">IFERROR(IF(I163="",E163,I163)*J163,"")</f>
        <v>20.4</v>
      </c>
      <c r="L163" s="0" t="s">
        <v>652</v>
      </c>
      <c r="M163" s="16" t="s">
        <v>23</v>
      </c>
      <c r="T163" s="0" t="n">
        <v>44</v>
      </c>
      <c r="V163" s="15" t="n">
        <f aca="false">IFERROR(LOOKUP(IF(U163="",E163,U163),{0,1,100,250,500,1000},{0,1.94,1.75,1.58,1.43,1.32}),"")</f>
        <v>1.94</v>
      </c>
      <c r="W163" s="15" t="n">
        <f aca="false">IFERROR(IF(U163="",E163,U163)*V163,"")</f>
        <v>97</v>
      </c>
      <c r="X163" s="0" t="s">
        <v>653</v>
      </c>
      <c r="Y163" s="16" t="s">
        <v>23</v>
      </c>
    </row>
    <row r="164" customFormat="false" ht="14.9" hidden="false" customHeight="false" outlineLevel="0" collapsed="false">
      <c r="A164" s="0" t="s">
        <v>654</v>
      </c>
      <c r="B164" s="0" t="s">
        <v>655</v>
      </c>
      <c r="D164" s="0" t="s">
        <v>656</v>
      </c>
      <c r="E164" s="0" t="n">
        <f aca="false">BoardQty*1</f>
        <v>5</v>
      </c>
      <c r="F164" s="15" t="n">
        <f aca="true">MINA(INDIRECT(ADDRESS(ROW(),COLUMN(newark_part_data)+2)),INDIRECT(ADDRESS(ROW(),COLUMN(digikey_part_data)+2)),INDIRECT(ADDRESS(ROW(),COLUMN(mouser_part_data)+2)))</f>
        <v>0.099</v>
      </c>
      <c r="G164" s="15" t="n">
        <f aca="false">IFERROR(E164*F164,"")</f>
        <v>0.495</v>
      </c>
      <c r="H164" s="0" t="n">
        <v>270211</v>
      </c>
      <c r="J164" s="15" t="n">
        <f aca="false">IFERROR(LOOKUP(IF(I164="",E164,I164),{0,1,10,25,100,250,500,1000,2500,5000,10000,25000,50000,125000},{0,0.1,0.014,0.01,0.0057,0.00436,0.00348,0.00257,0.00223,0.00167,0.00145,0.00128,0.00117,0.00115}),"")</f>
        <v>0.1</v>
      </c>
      <c r="K164" s="15" t="n">
        <f aca="false">IFERROR(IF(I164="",E164,I164)*J164,"")</f>
        <v>0.5</v>
      </c>
      <c r="L164" s="0" t="s">
        <v>657</v>
      </c>
      <c r="M164" s="16" t="s">
        <v>23</v>
      </c>
      <c r="N164" s="0" t="n">
        <v>40378</v>
      </c>
      <c r="P164" s="15" t="n">
        <f aca="false">IFERROR(LOOKUP(IF(O164="",E164,O164),{0,1,10,100,1000,5000,10000},{0,0.099,0.01,0.003,0.002,0.002,0.001}),"")</f>
        <v>0.099</v>
      </c>
      <c r="Q164" s="15" t="n">
        <f aca="false">IFERROR(IF(O164="",E164,O164)*P164,"")</f>
        <v>0.495</v>
      </c>
      <c r="R164" s="0" t="s">
        <v>658</v>
      </c>
      <c r="S164" s="16" t="s">
        <v>23</v>
      </c>
    </row>
    <row r="165" customFormat="false" ht="14.9" hidden="false" customHeight="false" outlineLevel="0" collapsed="false">
      <c r="A165" s="0" t="s">
        <v>659</v>
      </c>
      <c r="B165" s="0" t="s">
        <v>192</v>
      </c>
      <c r="D165" s="0" t="s">
        <v>193</v>
      </c>
      <c r="E165" s="0" t="n">
        <f aca="false">BoardQty*4</f>
        <v>20</v>
      </c>
      <c r="F165" s="15" t="n">
        <f aca="true">MINA(INDIRECT(ADDRESS(ROW(),COLUMN(newark_part_data)+2)),INDIRECT(ADDRESS(ROW(),COLUMN(digikey_part_data)+2)),INDIRECT(ADDRESS(ROW(),COLUMN(mouser_part_data)+2)))</f>
        <v>0.269</v>
      </c>
      <c r="G165" s="15" t="n">
        <f aca="false">IFERROR(E165*F165,"")</f>
        <v>5.38</v>
      </c>
      <c r="H165" s="0" t="n">
        <v>10550</v>
      </c>
      <c r="J165" s="15" t="n">
        <f aca="false">IFERROR(LOOKUP(IF(I165="",E165,I165),{0,1,10,25,100,250,500,1000,2000,6000,10000,50000,100000},{0,0.41,0.297,0.2276,0.1485,0.10892,0.0924,0.0759,0.06,0.054,0.048,0.0405,0.039}),"")</f>
        <v>0.297</v>
      </c>
      <c r="K165" s="15" t="n">
        <f aca="false">IFERROR(IF(I165="",E165,I165)*J165,"")</f>
        <v>5.94</v>
      </c>
      <c r="L165" s="0" t="s">
        <v>194</v>
      </c>
      <c r="M165" s="16" t="s">
        <v>23</v>
      </c>
      <c r="N165" s="0" t="n">
        <v>103</v>
      </c>
      <c r="P165" s="15" t="n">
        <f aca="false">IFERROR(LOOKUP(IF(O165="",E165,O165),{0,1,10,100,250,500,1000,2000,4000,10000},{0,0.379,0.269,0.158,0.111,0.096,0.075,0.06,0.053,0.048}),"")</f>
        <v>0.269</v>
      </c>
      <c r="Q165" s="15" t="n">
        <f aca="false">IFERROR(IF(O165="",E165,O165)*P165,"")</f>
        <v>5.38</v>
      </c>
      <c r="R165" s="0" t="s">
        <v>195</v>
      </c>
      <c r="S165" s="16" t="s">
        <v>23</v>
      </c>
    </row>
    <row r="166" customFormat="false" ht="14.9" hidden="false" customHeight="false" outlineLevel="0" collapsed="false">
      <c r="A166" s="0" t="s">
        <v>660</v>
      </c>
      <c r="B166" s="0" t="s">
        <v>192</v>
      </c>
      <c r="D166" s="0" t="s">
        <v>193</v>
      </c>
      <c r="E166" s="0" t="n">
        <f aca="false">BoardQty*12</f>
        <v>60</v>
      </c>
      <c r="F166" s="15" t="n">
        <f aca="true">MINA(INDIRECT(ADDRESS(ROW(),COLUMN(newark_part_data)+2)),INDIRECT(ADDRESS(ROW(),COLUMN(digikey_part_data)+2)),INDIRECT(ADDRESS(ROW(),COLUMN(mouser_part_data)+2)))</f>
        <v>0.2276</v>
      </c>
      <c r="G166" s="15" t="n">
        <f aca="false">IFERROR(E166*F166,"")</f>
        <v>13.656</v>
      </c>
      <c r="H166" s="0" t="n">
        <v>10550</v>
      </c>
      <c r="J166" s="15" t="n">
        <f aca="false">IFERROR(LOOKUP(IF(I166="",E166,I166),{0,1,10,25,100,250,500,1000,2000,6000,10000,50000,100000},{0,0.41,0.297,0.2276,0.1485,0.10892,0.0924,0.0759,0.06,0.054,0.048,0.0405,0.039}),"")</f>
        <v>0.2276</v>
      </c>
      <c r="K166" s="15" t="n">
        <f aca="false">IFERROR(IF(I166="",E166,I166)*J166,"")</f>
        <v>13.656</v>
      </c>
      <c r="L166" s="0" t="s">
        <v>194</v>
      </c>
      <c r="M166" s="16" t="s">
        <v>23</v>
      </c>
      <c r="N166" s="0" t="n">
        <v>103</v>
      </c>
      <c r="P166" s="15" t="n">
        <f aca="false">IFERROR(LOOKUP(IF(O166="",E166,O166),{0,1,10,100,250,500,1000,2000,4000,10000},{0,0.379,0.269,0.158,0.111,0.096,0.075,0.06,0.053,0.048}),"")</f>
        <v>0.269</v>
      </c>
      <c r="Q166" s="15" t="n">
        <f aca="false">IFERROR(IF(O166="",E166,O166)*P166,"")</f>
        <v>16.14</v>
      </c>
      <c r="R166" s="0" t="s">
        <v>195</v>
      </c>
      <c r="S166" s="16" t="s">
        <v>23</v>
      </c>
    </row>
    <row r="167" customFormat="false" ht="14.9" hidden="false" customHeight="false" outlineLevel="0" collapsed="false">
      <c r="A167" s="0" t="s">
        <v>661</v>
      </c>
      <c r="B167" s="0" t="s">
        <v>662</v>
      </c>
      <c r="D167" s="0" t="s">
        <v>663</v>
      </c>
      <c r="E167" s="0" t="n">
        <f aca="false">BoardQty*4</f>
        <v>20</v>
      </c>
      <c r="F167" s="15" t="n">
        <f aca="true">MINA(INDIRECT(ADDRESS(ROW(),COLUMN(newark_part_data)+2)),INDIRECT(ADDRESS(ROW(),COLUMN(digikey_part_data)+2)),INDIRECT(ADDRESS(ROW(),COLUMN(mouser_part_data)+2)))</f>
        <v>0.35</v>
      </c>
      <c r="G167" s="15" t="n">
        <f aca="false">IFERROR(E167*F167,"")</f>
        <v>7</v>
      </c>
      <c r="H167" s="0" t="n">
        <v>3390</v>
      </c>
      <c r="J167" s="15" t="n">
        <f aca="false">IFERROR(LOOKUP(IF(I167="",E167,I167),{0,1,10,100,500,1000,2500,5000,12500,25000,62500,125000},{0,0.48,0.388,0.2647,0.1981,0.14837,0.13233,0.12431,0.11629,0.10667,0.10266,0.09865}),"")</f>
        <v>0.388</v>
      </c>
      <c r="K167" s="15" t="n">
        <f aca="false">IFERROR(IF(I167="",E167,I167)*J167,"")</f>
        <v>7.76</v>
      </c>
      <c r="L167" s="0" t="s">
        <v>664</v>
      </c>
      <c r="M167" s="16" t="s">
        <v>23</v>
      </c>
      <c r="N167" s="0" t="n">
        <v>9360</v>
      </c>
      <c r="P167" s="15" t="n">
        <f aca="false">IFERROR(LOOKUP(IF(O167="",E167,O167),{0,1,10,100,1000,2500,10000,25000,50000,100000},{0,0.453,0.35,0.19,0.142,0.122,0.114,0.106,0.101,0.1}),"")</f>
        <v>0.35</v>
      </c>
      <c r="Q167" s="15" t="n">
        <f aca="false">IFERROR(IF(O167="",E167,O167)*P167,"")</f>
        <v>7</v>
      </c>
      <c r="R167" s="0" t="s">
        <v>665</v>
      </c>
      <c r="S167" s="16" t="s">
        <v>23</v>
      </c>
      <c r="Y167" s="16" t="s">
        <v>23</v>
      </c>
    </row>
    <row r="169" customFormat="false" ht="13.8" hidden="false" customHeight="false" outlineLevel="0" collapsed="false">
      <c r="I169" s="0" t="str">
        <f aca="false">IFERROR(CONCATENATE(TEXT(INDEX($I$7:$I$167,SMALL(IF($L$7:$L$167&lt;&gt;"",IF($I$7:$I$167&lt;&gt;"",ROW($I$7:$I$167)-MIN(ROW($I$7:$I$167))+1,""),""),ROW()-ROW(A$169)+1)),"##0"),","),"")</f>
        <v/>
      </c>
      <c r="J169" s="0" t="str">
        <f aca="false">IFERROR(CONCATENATE((INDEX($L$7:$L$167,SMALL(IF($L$7:$L$167&lt;&gt;"",IF($I$7:$I$167&lt;&gt;"",ROW($I$7:$I$167)-MIN(ROW($I$7:$I$167))+1,""),""),ROW()-ROW(A$169)+1))),","),"")</f>
        <v/>
      </c>
      <c r="K169" s="0" t="str">
        <f aca="false">IFERROR(CONCATENATE((INDEX($A$7:$A$167,SMALL(IF($L$7:$L$167&lt;&gt;"",IF($I$7:$I$167&lt;&gt;"",ROW($I$7:$I$167)-MIN(ROW($I$7:$I$167))+1,""),""),ROW()-ROW(A$169)+1))),),"")</f>
        <v/>
      </c>
      <c r="O169" s="0" t="str">
        <f aca="false">IFERROR(CONCATENATE((INDEX($R$7:$R$167,SMALL(IF($R$7:$R$167&lt;&gt;"",IF($O$7:$O$167&lt;&gt;"",ROW($O$7:$O$167)-MIN(ROW($O$7:$O$167))+1,""),""),ROW()-ROW(A$169)+1)))," "),"")</f>
        <v/>
      </c>
      <c r="P169" s="0" t="str">
        <f aca="false">IFERROR(CONCATENATE(TEXT(INDEX($O$7:$O$167,SMALL(IF($R$7:$R$167&lt;&gt;"",IF($O$7:$O$167&lt;&gt;"",ROW($O$7:$O$167)-MIN(ROW($O$7:$O$167))+1,""),""),ROW()-ROW(A$169)+1)),"##0")," "),"")</f>
        <v/>
      </c>
      <c r="Q169" s="0" t="str">
        <f aca="false">IFERROR(CONCATENATE((INDEX($A$7:$A$167,SMALL(IF($R$7:$R$167&lt;&gt;"",IF($O$7:$O$167&lt;&gt;"",ROW($O$7:$O$167)-MIN(ROW($O$7:$O$167))+1,""),""),ROW()-ROW(A$169)+1))),),"")</f>
        <v/>
      </c>
      <c r="U169" s="0" t="str">
        <f aca="false">IFERROR(CONCATENATE((INDEX($X$7:$X$167,SMALL(IF($X$7:$X$167&lt;&gt;"",IF($U$7:$U$167&lt;&gt;"",ROW($U$7:$U$167)-MIN(ROW($U$7:$U$167))+1,""),""),ROW()-ROW(A$169)+1))),","),"")</f>
        <v/>
      </c>
      <c r="V169" s="0" t="str">
        <f aca="false">IFERROR(CONCATENATE(TEXT(INDEX($U$7:$U$167,SMALL(IF($X$7:$X$167&lt;&gt;"",IF($U$7:$U$167&lt;&gt;"",ROW($U$7:$U$167)-MIN(ROW($U$7:$U$167))+1,""),""),ROW()-ROW(A$169)+1)),"##0"),","),"")</f>
        <v/>
      </c>
      <c r="W169" s="0" t="str">
        <f aca="false">IFERROR(CONCATENATE((INDEX($A$7:$A$167,SMALL(IF($X$7:$X$167&lt;&gt;"",IF($U$7:$U$167&lt;&gt;"",ROW($U$7:$U$167)-MIN(ROW($U$7:$U$167))+1,""),""),ROW()-ROW(A$169)+1))),),"")</f>
        <v/>
      </c>
    </row>
    <row r="170" customFormat="false" ht="13.8" hidden="false" customHeight="false" outlineLevel="0" collapsed="false">
      <c r="I170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170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170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170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170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170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170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170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170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171" customFormat="false" ht="13.8" hidden="false" customHeight="false" outlineLevel="0" collapsed="false">
      <c r="I171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171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171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171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171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171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171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171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171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172" customFormat="false" ht="13.8" hidden="false" customHeight="false" outlineLevel="0" collapsed="false">
      <c r="I172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172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172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172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172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172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172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172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172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173" customFormat="false" ht="13.8" hidden="false" customHeight="false" outlineLevel="0" collapsed="false">
      <c r="I173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173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173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173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173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173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173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173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173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174" customFormat="false" ht="13.8" hidden="false" customHeight="false" outlineLevel="0" collapsed="false">
      <c r="I174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174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174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174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174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174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174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174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174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175" customFormat="false" ht="13.8" hidden="false" customHeight="false" outlineLevel="0" collapsed="false">
      <c r="I175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175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175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175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175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175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175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175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175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176" customFormat="false" ht="13.8" hidden="false" customHeight="false" outlineLevel="0" collapsed="false">
      <c r="I176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176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176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176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176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176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176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176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176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177" customFormat="false" ht="13.8" hidden="false" customHeight="false" outlineLevel="0" collapsed="false">
      <c r="I177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177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177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177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177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177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177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177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177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178" customFormat="false" ht="13.8" hidden="false" customHeight="false" outlineLevel="0" collapsed="false">
      <c r="I178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178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178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178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178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178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178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178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178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179" customFormat="false" ht="13.8" hidden="false" customHeight="false" outlineLevel="0" collapsed="false">
      <c r="I179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179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179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179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179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179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179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179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179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180" customFormat="false" ht="13.8" hidden="false" customHeight="false" outlineLevel="0" collapsed="false">
      <c r="I180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180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180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180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180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180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180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180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180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181" customFormat="false" ht="13.8" hidden="false" customHeight="false" outlineLevel="0" collapsed="false">
      <c r="I181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181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181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181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181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181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181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181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181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182" customFormat="false" ht="13.8" hidden="false" customHeight="false" outlineLevel="0" collapsed="false">
      <c r="I182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182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182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182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182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182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182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182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182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183" customFormat="false" ht="13.8" hidden="false" customHeight="false" outlineLevel="0" collapsed="false">
      <c r="I183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183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183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183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183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183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183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183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183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184" customFormat="false" ht="13.8" hidden="false" customHeight="false" outlineLevel="0" collapsed="false">
      <c r="I184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184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184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184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184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184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184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184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184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185" customFormat="false" ht="13.8" hidden="false" customHeight="false" outlineLevel="0" collapsed="false">
      <c r="I185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185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185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185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185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185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185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185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185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186" customFormat="false" ht="13.8" hidden="false" customHeight="false" outlineLevel="0" collapsed="false">
      <c r="I186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186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186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186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186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186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186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186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186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187" customFormat="false" ht="13.8" hidden="false" customHeight="false" outlineLevel="0" collapsed="false">
      <c r="I187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187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187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187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187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187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187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187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187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188" customFormat="false" ht="13.8" hidden="false" customHeight="false" outlineLevel="0" collapsed="false">
      <c r="I188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188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188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188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188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188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188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188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188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189" customFormat="false" ht="13.8" hidden="false" customHeight="false" outlineLevel="0" collapsed="false">
      <c r="I189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189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189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189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189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189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189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189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189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190" customFormat="false" ht="13.8" hidden="false" customHeight="false" outlineLevel="0" collapsed="false">
      <c r="I190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190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190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190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190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190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190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190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190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191" customFormat="false" ht="13.8" hidden="false" customHeight="false" outlineLevel="0" collapsed="false">
      <c r="I191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191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191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191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191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191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191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191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191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192" customFormat="false" ht="13.8" hidden="false" customHeight="false" outlineLevel="0" collapsed="false">
      <c r="I192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192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192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192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192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192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192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192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192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193" customFormat="false" ht="13.8" hidden="false" customHeight="false" outlineLevel="0" collapsed="false">
      <c r="I193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193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193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193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193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193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193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193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193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194" customFormat="false" ht="13.8" hidden="false" customHeight="false" outlineLevel="0" collapsed="false">
      <c r="I194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194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194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194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194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194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194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194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194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195" customFormat="false" ht="13.8" hidden="false" customHeight="false" outlineLevel="0" collapsed="false">
      <c r="I195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195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195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195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195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195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195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195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195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196" customFormat="false" ht="13.8" hidden="false" customHeight="false" outlineLevel="0" collapsed="false">
      <c r="I196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196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196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196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196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196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196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196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196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197" customFormat="false" ht="13.8" hidden="false" customHeight="false" outlineLevel="0" collapsed="false">
      <c r="I197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197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197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197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197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197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197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197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197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198" customFormat="false" ht="13.8" hidden="false" customHeight="false" outlineLevel="0" collapsed="false">
      <c r="I198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198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198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198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198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198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198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198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198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199" customFormat="false" ht="13.8" hidden="false" customHeight="false" outlineLevel="0" collapsed="false">
      <c r="I199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199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199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199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199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199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199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199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199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00" customFormat="false" ht="13.8" hidden="false" customHeight="false" outlineLevel="0" collapsed="false">
      <c r="I200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00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00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00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00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00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00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00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00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01" customFormat="false" ht="13.8" hidden="false" customHeight="false" outlineLevel="0" collapsed="false">
      <c r="I201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01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01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01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01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01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01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01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01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02" customFormat="false" ht="13.8" hidden="false" customHeight="false" outlineLevel="0" collapsed="false">
      <c r="I202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02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02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02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02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02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02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02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02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03" customFormat="false" ht="13.8" hidden="false" customHeight="false" outlineLevel="0" collapsed="false">
      <c r="I203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03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03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03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03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03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03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03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03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04" customFormat="false" ht="13.8" hidden="false" customHeight="false" outlineLevel="0" collapsed="false">
      <c r="I204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04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04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04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04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04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04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04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04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05" customFormat="false" ht="13.8" hidden="false" customHeight="false" outlineLevel="0" collapsed="false">
      <c r="I205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05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05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05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05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05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05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05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05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06" customFormat="false" ht="13.8" hidden="false" customHeight="false" outlineLevel="0" collapsed="false">
      <c r="I206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06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06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06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06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06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06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06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06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07" customFormat="false" ht="13.8" hidden="false" customHeight="false" outlineLevel="0" collapsed="false">
      <c r="I207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07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07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07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07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07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07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07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07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08" customFormat="false" ht="13.8" hidden="false" customHeight="false" outlineLevel="0" collapsed="false">
      <c r="I208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08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08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08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08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08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08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08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08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09" customFormat="false" ht="13.8" hidden="false" customHeight="false" outlineLevel="0" collapsed="false">
      <c r="I209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09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09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09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09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09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09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09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09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10" customFormat="false" ht="13.8" hidden="false" customHeight="false" outlineLevel="0" collapsed="false">
      <c r="I210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10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10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10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10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10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10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10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10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11" customFormat="false" ht="13.8" hidden="false" customHeight="false" outlineLevel="0" collapsed="false">
      <c r="I211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11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11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11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11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11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11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11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11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12" customFormat="false" ht="13.8" hidden="false" customHeight="false" outlineLevel="0" collapsed="false">
      <c r="I212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12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12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12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12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12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12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12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12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13" customFormat="false" ht="13.8" hidden="false" customHeight="false" outlineLevel="0" collapsed="false">
      <c r="I213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13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13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13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13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13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13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13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13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14" customFormat="false" ht="13.8" hidden="false" customHeight="false" outlineLevel="0" collapsed="false">
      <c r="I214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14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14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14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14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14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14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14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14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15" customFormat="false" ht="13.8" hidden="false" customHeight="false" outlineLevel="0" collapsed="false">
      <c r="I215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15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15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15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15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15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15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15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15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16" customFormat="false" ht="13.8" hidden="false" customHeight="false" outlineLevel="0" collapsed="false">
      <c r="I216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16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16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16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16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16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16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16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16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17" customFormat="false" ht="13.8" hidden="false" customHeight="false" outlineLevel="0" collapsed="false">
      <c r="I217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17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17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17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17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17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17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17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17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18" customFormat="false" ht="13.8" hidden="false" customHeight="false" outlineLevel="0" collapsed="false">
      <c r="I218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18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18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18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18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18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18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18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18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19" customFormat="false" ht="13.8" hidden="false" customHeight="false" outlineLevel="0" collapsed="false">
      <c r="I219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19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19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19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19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19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19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19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19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20" customFormat="false" ht="13.8" hidden="false" customHeight="false" outlineLevel="0" collapsed="false">
      <c r="I220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20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20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20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20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20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20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20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20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21" customFormat="false" ht="13.8" hidden="false" customHeight="false" outlineLevel="0" collapsed="false">
      <c r="I221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21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21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21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21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21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21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21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21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22" customFormat="false" ht="13.8" hidden="false" customHeight="false" outlineLevel="0" collapsed="false">
      <c r="I222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22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22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22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22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22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22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22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22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23" customFormat="false" ht="13.8" hidden="false" customHeight="false" outlineLevel="0" collapsed="false">
      <c r="I223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23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23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23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23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23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23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23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23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24" customFormat="false" ht="13.8" hidden="false" customHeight="false" outlineLevel="0" collapsed="false">
      <c r="I224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24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24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24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24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24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24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24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24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25" customFormat="false" ht="13.8" hidden="false" customHeight="false" outlineLevel="0" collapsed="false">
      <c r="I225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25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25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25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25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25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25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25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25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26" customFormat="false" ht="13.8" hidden="false" customHeight="false" outlineLevel="0" collapsed="false">
      <c r="I226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26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26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26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26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26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26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26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26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27" customFormat="false" ht="13.8" hidden="false" customHeight="false" outlineLevel="0" collapsed="false">
      <c r="I227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27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27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27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27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27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27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27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27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28" customFormat="false" ht="13.8" hidden="false" customHeight="false" outlineLevel="0" collapsed="false">
      <c r="I228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28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28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28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28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28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28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28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28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29" customFormat="false" ht="13.8" hidden="false" customHeight="false" outlineLevel="0" collapsed="false">
      <c r="I229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29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29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29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29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29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29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29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29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30" customFormat="false" ht="13.8" hidden="false" customHeight="false" outlineLevel="0" collapsed="false">
      <c r="I230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30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30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30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30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30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30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30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30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31" customFormat="false" ht="13.8" hidden="false" customHeight="false" outlineLevel="0" collapsed="false">
      <c r="I231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31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31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31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31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31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31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31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31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32" customFormat="false" ht="13.8" hidden="false" customHeight="false" outlineLevel="0" collapsed="false">
      <c r="I232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32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32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32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32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32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32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32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32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33" customFormat="false" ht="13.8" hidden="false" customHeight="false" outlineLevel="0" collapsed="false">
      <c r="I233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33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33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33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33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33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33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33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33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34" customFormat="false" ht="13.8" hidden="false" customHeight="false" outlineLevel="0" collapsed="false">
      <c r="I234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34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34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34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34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34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34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34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34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35" customFormat="false" ht="13.8" hidden="false" customHeight="false" outlineLevel="0" collapsed="false">
      <c r="I235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35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35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35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35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35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35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35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35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36" customFormat="false" ht="13.8" hidden="false" customHeight="false" outlineLevel="0" collapsed="false">
      <c r="I236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36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36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36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36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36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36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36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36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37" customFormat="false" ht="13.8" hidden="false" customHeight="false" outlineLevel="0" collapsed="false">
      <c r="I237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37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37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37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37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37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37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37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37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38" customFormat="false" ht="13.8" hidden="false" customHeight="false" outlineLevel="0" collapsed="false">
      <c r="I238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38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38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38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38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38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38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38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38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39" customFormat="false" ht="13.8" hidden="false" customHeight="false" outlineLevel="0" collapsed="false">
      <c r="I239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39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39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39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39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39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39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39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39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40" customFormat="false" ht="13.8" hidden="false" customHeight="false" outlineLevel="0" collapsed="false">
      <c r="I240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40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40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40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40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40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40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40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40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41" customFormat="false" ht="13.8" hidden="false" customHeight="false" outlineLevel="0" collapsed="false">
      <c r="I241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41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41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41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41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41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41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41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41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42" customFormat="false" ht="13.8" hidden="false" customHeight="false" outlineLevel="0" collapsed="false">
      <c r="I242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42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42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42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42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42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42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42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42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43" customFormat="false" ht="13.8" hidden="false" customHeight="false" outlineLevel="0" collapsed="false">
      <c r="I243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43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43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43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43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43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43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43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43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44" customFormat="false" ht="13.8" hidden="false" customHeight="false" outlineLevel="0" collapsed="false">
      <c r="I244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44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44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44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44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44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44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44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44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45" customFormat="false" ht="13.8" hidden="false" customHeight="false" outlineLevel="0" collapsed="false">
      <c r="I245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45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45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45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45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45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45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45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45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46" customFormat="false" ht="13.8" hidden="false" customHeight="false" outlineLevel="0" collapsed="false">
      <c r="I246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46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46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46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46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46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46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46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46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47" customFormat="false" ht="13.8" hidden="false" customHeight="false" outlineLevel="0" collapsed="false">
      <c r="I247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47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47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47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47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47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47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47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47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48" customFormat="false" ht="13.8" hidden="false" customHeight="false" outlineLevel="0" collapsed="false">
      <c r="I248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48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48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48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48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48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48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48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48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49" customFormat="false" ht="13.8" hidden="false" customHeight="false" outlineLevel="0" collapsed="false">
      <c r="I249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49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49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49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49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49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49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49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49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50" customFormat="false" ht="13.8" hidden="false" customHeight="false" outlineLevel="0" collapsed="false">
      <c r="I250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50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50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50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50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50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50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50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50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51" customFormat="false" ht="13.8" hidden="false" customHeight="false" outlineLevel="0" collapsed="false">
      <c r="I251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51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51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51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51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51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51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51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51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52" customFormat="false" ht="13.8" hidden="false" customHeight="false" outlineLevel="0" collapsed="false">
      <c r="I252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52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52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52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52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52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52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52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52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53" customFormat="false" ht="13.8" hidden="false" customHeight="false" outlineLevel="0" collapsed="false">
      <c r="I253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53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53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53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53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53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53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53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53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54" customFormat="false" ht="13.8" hidden="false" customHeight="false" outlineLevel="0" collapsed="false">
      <c r="I254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54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54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54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54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54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54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54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54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55" customFormat="false" ht="13.8" hidden="false" customHeight="false" outlineLevel="0" collapsed="false">
      <c r="I255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55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55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55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55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55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55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55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55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56" customFormat="false" ht="13.8" hidden="false" customHeight="false" outlineLevel="0" collapsed="false">
      <c r="I256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56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56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56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56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56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56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56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56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57" customFormat="false" ht="13.8" hidden="false" customHeight="false" outlineLevel="0" collapsed="false">
      <c r="I257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57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57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57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57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57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57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57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57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58" customFormat="false" ht="13.8" hidden="false" customHeight="false" outlineLevel="0" collapsed="false">
      <c r="I258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58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58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58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58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58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58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58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58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59" customFormat="false" ht="13.8" hidden="false" customHeight="false" outlineLevel="0" collapsed="false">
      <c r="I259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59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59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59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59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59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59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59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59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60" customFormat="false" ht="13.8" hidden="false" customHeight="false" outlineLevel="0" collapsed="false">
      <c r="I260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60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60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60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60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60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60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60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60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61" customFormat="false" ht="13.8" hidden="false" customHeight="false" outlineLevel="0" collapsed="false">
      <c r="I261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61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61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61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61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61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61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61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61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62" customFormat="false" ht="13.8" hidden="false" customHeight="false" outlineLevel="0" collapsed="false">
      <c r="I262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62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62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62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62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62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62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62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62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63" customFormat="false" ht="13.8" hidden="false" customHeight="false" outlineLevel="0" collapsed="false">
      <c r="I263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63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63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63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63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63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63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63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63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64" customFormat="false" ht="13.8" hidden="false" customHeight="false" outlineLevel="0" collapsed="false">
      <c r="I264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64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64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64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64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64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64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64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64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65" customFormat="false" ht="13.8" hidden="false" customHeight="false" outlineLevel="0" collapsed="false">
      <c r="I265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65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65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65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65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65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65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65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65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66" customFormat="false" ht="13.8" hidden="false" customHeight="false" outlineLevel="0" collapsed="false">
      <c r="I266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66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66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66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66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66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66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66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66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67" customFormat="false" ht="13.8" hidden="false" customHeight="false" outlineLevel="0" collapsed="false">
      <c r="I267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67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67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67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67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67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67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67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67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68" customFormat="false" ht="13.8" hidden="false" customHeight="false" outlineLevel="0" collapsed="false">
      <c r="I268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68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68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68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68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68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68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68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68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69" customFormat="false" ht="13.8" hidden="false" customHeight="false" outlineLevel="0" collapsed="false">
      <c r="I269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69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69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69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69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69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69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69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69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70" customFormat="false" ht="13.8" hidden="false" customHeight="false" outlineLevel="0" collapsed="false">
      <c r="I270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70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70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70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70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70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70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70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70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71" customFormat="false" ht="13.8" hidden="false" customHeight="false" outlineLevel="0" collapsed="false">
      <c r="I271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71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71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71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71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71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71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71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71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72" customFormat="false" ht="13.8" hidden="false" customHeight="false" outlineLevel="0" collapsed="false">
      <c r="I272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72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72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72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72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72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72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72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72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73" customFormat="false" ht="13.8" hidden="false" customHeight="false" outlineLevel="0" collapsed="false">
      <c r="I273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73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73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73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73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73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73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73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73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74" customFormat="false" ht="13.8" hidden="false" customHeight="false" outlineLevel="0" collapsed="false">
      <c r="I274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74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74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74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74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74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74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74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74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75" customFormat="false" ht="13.8" hidden="false" customHeight="false" outlineLevel="0" collapsed="false">
      <c r="I275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75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75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75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75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75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75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75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75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76" customFormat="false" ht="13.8" hidden="false" customHeight="false" outlineLevel="0" collapsed="false">
      <c r="I276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76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76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76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76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76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76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76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76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77" customFormat="false" ht="13.8" hidden="false" customHeight="false" outlineLevel="0" collapsed="false">
      <c r="I277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77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77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77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77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77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77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77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77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78" customFormat="false" ht="13.8" hidden="false" customHeight="false" outlineLevel="0" collapsed="false">
      <c r="I278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78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78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78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78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78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78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78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78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79" customFormat="false" ht="13.8" hidden="false" customHeight="false" outlineLevel="0" collapsed="false">
      <c r="I279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79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79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79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79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79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79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79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79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80" customFormat="false" ht="13.8" hidden="false" customHeight="false" outlineLevel="0" collapsed="false">
      <c r="I280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80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80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80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80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80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80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80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80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81" customFormat="false" ht="13.8" hidden="false" customHeight="false" outlineLevel="0" collapsed="false">
      <c r="I281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81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81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81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81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81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81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81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81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82" customFormat="false" ht="13.8" hidden="false" customHeight="false" outlineLevel="0" collapsed="false">
      <c r="I282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82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82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82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82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82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82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82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82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83" customFormat="false" ht="13.8" hidden="false" customHeight="false" outlineLevel="0" collapsed="false">
      <c r="I283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83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83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83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83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83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83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83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83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84" customFormat="false" ht="13.8" hidden="false" customHeight="false" outlineLevel="0" collapsed="false">
      <c r="I284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84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84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84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84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84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84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84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84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85" customFormat="false" ht="13.8" hidden="false" customHeight="false" outlineLevel="0" collapsed="false">
      <c r="I285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85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85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85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85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85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85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85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85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86" customFormat="false" ht="13.8" hidden="false" customHeight="false" outlineLevel="0" collapsed="false">
      <c r="I286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86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86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86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86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86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86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86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86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87" customFormat="false" ht="13.8" hidden="false" customHeight="false" outlineLevel="0" collapsed="false">
      <c r="I287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87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87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87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87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87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87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87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87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88" customFormat="false" ht="13.8" hidden="false" customHeight="false" outlineLevel="0" collapsed="false">
      <c r="I288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88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88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88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88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88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88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88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88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89" customFormat="false" ht="13.8" hidden="false" customHeight="false" outlineLevel="0" collapsed="false">
      <c r="I289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89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89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89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89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89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89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89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89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90" customFormat="false" ht="13.8" hidden="false" customHeight="false" outlineLevel="0" collapsed="false">
      <c r="I290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90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90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90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90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90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90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90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90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91" customFormat="false" ht="13.8" hidden="false" customHeight="false" outlineLevel="0" collapsed="false">
      <c r="I291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91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91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91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91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91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91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91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91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92" customFormat="false" ht="13.8" hidden="false" customHeight="false" outlineLevel="0" collapsed="false">
      <c r="I292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92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92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92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92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92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92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92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92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93" customFormat="false" ht="13.8" hidden="false" customHeight="false" outlineLevel="0" collapsed="false">
      <c r="I293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93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93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93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93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93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93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93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93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94" customFormat="false" ht="13.8" hidden="false" customHeight="false" outlineLevel="0" collapsed="false">
      <c r="I294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94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94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94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94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94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94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94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94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95" customFormat="false" ht="13.8" hidden="false" customHeight="false" outlineLevel="0" collapsed="false">
      <c r="I295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95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95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95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95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95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95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95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95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96" customFormat="false" ht="13.8" hidden="false" customHeight="false" outlineLevel="0" collapsed="false">
      <c r="I296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96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96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96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96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96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96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96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96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97" customFormat="false" ht="13.8" hidden="false" customHeight="false" outlineLevel="0" collapsed="false">
      <c r="I297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97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97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97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97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97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97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97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97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98" customFormat="false" ht="13.8" hidden="false" customHeight="false" outlineLevel="0" collapsed="false">
      <c r="I298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98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98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98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98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98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98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98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98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299" customFormat="false" ht="13.8" hidden="false" customHeight="false" outlineLevel="0" collapsed="false">
      <c r="I299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299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299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299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299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299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299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299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299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300" customFormat="false" ht="13.8" hidden="false" customHeight="false" outlineLevel="0" collapsed="false">
      <c r="I300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300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300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300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300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300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300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300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300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301" customFormat="false" ht="13.8" hidden="false" customHeight="false" outlineLevel="0" collapsed="false">
      <c r="I301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301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301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301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301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301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301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301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301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302" customFormat="false" ht="13.8" hidden="false" customHeight="false" outlineLevel="0" collapsed="false">
      <c r="I302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302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302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302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302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302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302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302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302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303" customFormat="false" ht="13.8" hidden="false" customHeight="false" outlineLevel="0" collapsed="false">
      <c r="I303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303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303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303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303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303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303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303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303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304" customFormat="false" ht="13.8" hidden="false" customHeight="false" outlineLevel="0" collapsed="false">
      <c r="I304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304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304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304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304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304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304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304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304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305" customFormat="false" ht="13.8" hidden="false" customHeight="false" outlineLevel="0" collapsed="false">
      <c r="I305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305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305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305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305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305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305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305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305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306" customFormat="false" ht="13.8" hidden="false" customHeight="false" outlineLevel="0" collapsed="false">
      <c r="I306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306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306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306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306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306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306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306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306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307" customFormat="false" ht="13.8" hidden="false" customHeight="false" outlineLevel="0" collapsed="false">
      <c r="I307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307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307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307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307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307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307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307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307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308" customFormat="false" ht="13.8" hidden="false" customHeight="false" outlineLevel="0" collapsed="false">
      <c r="I308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308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308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308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308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308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308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308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308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309" customFormat="false" ht="13.8" hidden="false" customHeight="false" outlineLevel="0" collapsed="false">
      <c r="I309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309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309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309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309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309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309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309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309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310" customFormat="false" ht="13.8" hidden="false" customHeight="false" outlineLevel="0" collapsed="false">
      <c r="I310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310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310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310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310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310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310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310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310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311" customFormat="false" ht="13.8" hidden="false" customHeight="false" outlineLevel="0" collapsed="false">
      <c r="I311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311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311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311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311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311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311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311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311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312" customFormat="false" ht="13.8" hidden="false" customHeight="false" outlineLevel="0" collapsed="false">
      <c r="I312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312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312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312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312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312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312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312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312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313" customFormat="false" ht="13.8" hidden="false" customHeight="false" outlineLevel="0" collapsed="false">
      <c r="I313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313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313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313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313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313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313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313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313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314" customFormat="false" ht="13.8" hidden="false" customHeight="false" outlineLevel="0" collapsed="false">
      <c r="I314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314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314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314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314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314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314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314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314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315" customFormat="false" ht="13.8" hidden="false" customHeight="false" outlineLevel="0" collapsed="false">
      <c r="I315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315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315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315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315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315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315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315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315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316" customFormat="false" ht="13.8" hidden="false" customHeight="false" outlineLevel="0" collapsed="false">
      <c r="I316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316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316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316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316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316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316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316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316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317" customFormat="false" ht="13.8" hidden="false" customHeight="false" outlineLevel="0" collapsed="false">
      <c r="I317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317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317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317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317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317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317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317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317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318" customFormat="false" ht="13.8" hidden="false" customHeight="false" outlineLevel="0" collapsed="false">
      <c r="I318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318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318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318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318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318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318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318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318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319" customFormat="false" ht="13.8" hidden="false" customHeight="false" outlineLevel="0" collapsed="false">
      <c r="I319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319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319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319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319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319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319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319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319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320" customFormat="false" ht="13.8" hidden="false" customHeight="false" outlineLevel="0" collapsed="false">
      <c r="I320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320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320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320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320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320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320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320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320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321" customFormat="false" ht="13.8" hidden="false" customHeight="false" outlineLevel="0" collapsed="false">
      <c r="I321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321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321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321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321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321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321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321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321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322" customFormat="false" ht="13.8" hidden="false" customHeight="false" outlineLevel="0" collapsed="false">
      <c r="I322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322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322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322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322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322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322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322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322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323" customFormat="false" ht="13.8" hidden="false" customHeight="false" outlineLevel="0" collapsed="false">
      <c r="I323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323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323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323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323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323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323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323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323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324" customFormat="false" ht="13.8" hidden="false" customHeight="false" outlineLevel="0" collapsed="false">
      <c r="I324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324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324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324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324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324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324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324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324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325" customFormat="false" ht="13.8" hidden="false" customHeight="false" outlineLevel="0" collapsed="false">
      <c r="I325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325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325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325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325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325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325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325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325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326" customFormat="false" ht="13.8" hidden="false" customHeight="false" outlineLevel="0" collapsed="false">
      <c r="I326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326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326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326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326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326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326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326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326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327" customFormat="false" ht="13.8" hidden="false" customHeight="false" outlineLevel="0" collapsed="false">
      <c r="I327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327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327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327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327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327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327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327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327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328" customFormat="false" ht="13.8" hidden="false" customHeight="false" outlineLevel="0" collapsed="false">
      <c r="I328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328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328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328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328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328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328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328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328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  <row r="329" customFormat="false" ht="13.8" hidden="false" customHeight="false" outlineLevel="0" collapsed="false">
      <c r="I329" s="0" t="inlineStr">
        <f aca="false">IFERROR(CONCATENATE(TEXT(INDEX($I$7:$I$167,SMALL(IF($L$7:$L$167&lt;&gt;"",IF($I$7:$I$167&lt;&gt;"",ROW($I$7:$I$167)-MIN(ROW($I$7:$I$167))+1,""),""),ROW()-ROW(A$169)+1)),"##0"),","),"")</f>
        <is>
          <t/>
        </is>
      </c>
      <c r="J329" s="0" t="inlineStr">
        <f aca="false">IFERROR(CONCATENATE((INDEX($L$7:$L$167,SMALL(IF($L$7:$L$167&lt;&gt;"",IF($I$7:$I$167&lt;&gt;"",ROW($I$7:$I$167)-MIN(ROW($I$7:$I$167))+1,""),""),ROW()-ROW(A$169)+1))),","),"")</f>
        <is>
          <t/>
        </is>
      </c>
      <c r="K329" s="0" t="inlineStr">
        <f aca="false">IFERROR(CONCATENATE((INDEX($A$7:$A$167,SMALL(IF($L$7:$L$167&lt;&gt;"",IF($I$7:$I$167&lt;&gt;"",ROW($I$7:$I$167)-MIN(ROW($I$7:$I$167))+1,""),""),ROW()-ROW(A$169)+1))),),"")</f>
        <is>
          <t/>
        </is>
      </c>
      <c r="O329" s="0" t="inlineStr">
        <f aca="false">IFERROR(CONCATENATE((INDEX($R$7:$R$167,SMALL(IF($R$7:$R$167&lt;&gt;"",IF($O$7:$O$167&lt;&gt;"",ROW($O$7:$O$167)-MIN(ROW($O$7:$O$167))+1,""),""),ROW()-ROW(A$169)+1)))," "),"")</f>
        <is>
          <t/>
        </is>
      </c>
      <c r="P329" s="0" t="inlineStr">
        <f aca="false">IFERROR(CONCATENATE(TEXT(INDEX($O$7:$O$167,SMALL(IF($R$7:$R$167&lt;&gt;"",IF($O$7:$O$167&lt;&gt;"",ROW($O$7:$O$167)-MIN(ROW($O$7:$O$167))+1,""),""),ROW()-ROW(A$169)+1)),"##0")," "),"")</f>
        <is>
          <t/>
        </is>
      </c>
      <c r="Q329" s="0" t="inlineStr">
        <f aca="false">IFERROR(CONCATENATE((INDEX($A$7:$A$167,SMALL(IF($R$7:$R$167&lt;&gt;"",IF($O$7:$O$167&lt;&gt;"",ROW($O$7:$O$167)-MIN(ROW($O$7:$O$167))+1,""),""),ROW()-ROW(A$169)+1))),),"")</f>
        <is>
          <t/>
        </is>
      </c>
      <c r="U329" s="0" t="inlineStr">
        <f aca="false">IFERROR(CONCATENATE((INDEX($X$7:$X$167,SMALL(IF($X$7:$X$167&lt;&gt;"",IF($U$7:$U$167&lt;&gt;"",ROW($U$7:$U$167)-MIN(ROW($U$7:$U$167))+1,""),""),ROW()-ROW(A$169)+1))),","),"")</f>
        <is>
          <t/>
        </is>
      </c>
      <c r="V329" s="0" t="inlineStr">
        <f aca="false">IFERROR(CONCATENATE(TEXT(INDEX($U$7:$U$167,SMALL(IF($X$7:$X$167&lt;&gt;"",IF($U$7:$U$167&lt;&gt;"",ROW($U$7:$U$167)-MIN(ROW($U$7:$U$167))+1,""),""),ROW()-ROW(A$169)+1)),"##0"),","),"")</f>
        <is>
          <t/>
        </is>
      </c>
      <c r="W329" s="0" t="inlineStr">
        <f aca="false">IFERROR(CONCATENATE((INDEX($A$7:$A$167,SMALL(IF($X$7:$X$167&lt;&gt;"",IF($U$7:$U$167&lt;&gt;"",ROW($U$7:$U$167)-MIN(ROW($U$7:$U$167))+1,""),""),ROW()-ROW(A$169)+1))),),"")</f>
        <is>
          <t/>
        </is>
      </c>
    </row>
  </sheetData>
  <mergeCells count="5">
    <mergeCell ref="A2:D2"/>
    <mergeCell ref="A5:G5"/>
    <mergeCell ref="H5:M5"/>
    <mergeCell ref="N5:S5"/>
    <mergeCell ref="T5:Y5"/>
  </mergeCells>
  <conditionalFormatting sqref="J10">
    <cfRule type="cellIs" priority="2" operator="lessThanOrEqual" aboveAverage="0" equalAverage="0" bottom="0" percent="0" rank="0" text="" dxfId="0">
      <formula>F10</formula>
    </cfRule>
  </conditionalFormatting>
  <conditionalFormatting sqref="J100">
    <cfRule type="cellIs" priority="3" operator="lessThanOrEqual" aboveAverage="0" equalAverage="0" bottom="0" percent="0" rank="0" text="" dxfId="0">
      <formula>F100</formula>
    </cfRule>
  </conditionalFormatting>
  <conditionalFormatting sqref="J101">
    <cfRule type="cellIs" priority="4" operator="lessThanOrEqual" aboveAverage="0" equalAverage="0" bottom="0" percent="0" rank="0" text="" dxfId="0">
      <formula>F101</formula>
    </cfRule>
  </conditionalFormatting>
  <conditionalFormatting sqref="J102">
    <cfRule type="cellIs" priority="5" operator="lessThanOrEqual" aboveAverage="0" equalAverage="0" bottom="0" percent="0" rank="0" text="" dxfId="0">
      <formula>F102</formula>
    </cfRule>
  </conditionalFormatting>
  <conditionalFormatting sqref="J103">
    <cfRule type="cellIs" priority="6" operator="lessThanOrEqual" aboveAverage="0" equalAverage="0" bottom="0" percent="0" rank="0" text="" dxfId="0">
      <formula>F103</formula>
    </cfRule>
  </conditionalFormatting>
  <conditionalFormatting sqref="J104">
    <cfRule type="cellIs" priority="7" operator="lessThanOrEqual" aboveAverage="0" equalAverage="0" bottom="0" percent="0" rank="0" text="" dxfId="0">
      <formula>F104</formula>
    </cfRule>
  </conditionalFormatting>
  <conditionalFormatting sqref="J105">
    <cfRule type="cellIs" priority="8" operator="lessThanOrEqual" aboveAverage="0" equalAverage="0" bottom="0" percent="0" rank="0" text="" dxfId="0">
      <formula>F105</formula>
    </cfRule>
  </conditionalFormatting>
  <conditionalFormatting sqref="J106">
    <cfRule type="cellIs" priority="9" operator="lessThanOrEqual" aboveAverage="0" equalAverage="0" bottom="0" percent="0" rank="0" text="" dxfId="0">
      <formula>F106</formula>
    </cfRule>
  </conditionalFormatting>
  <conditionalFormatting sqref="J107">
    <cfRule type="cellIs" priority="10" operator="lessThanOrEqual" aboveAverage="0" equalAverage="0" bottom="0" percent="0" rank="0" text="" dxfId="0">
      <formula>F107</formula>
    </cfRule>
  </conditionalFormatting>
  <conditionalFormatting sqref="J108">
    <cfRule type="cellIs" priority="11" operator="lessThanOrEqual" aboveAverage="0" equalAverage="0" bottom="0" percent="0" rank="0" text="" dxfId="0">
      <formula>F108</formula>
    </cfRule>
  </conditionalFormatting>
  <conditionalFormatting sqref="J109">
    <cfRule type="cellIs" priority="12" operator="lessThanOrEqual" aboveAverage="0" equalAverage="0" bottom="0" percent="0" rank="0" text="" dxfId="0">
      <formula>F109</formula>
    </cfRule>
  </conditionalFormatting>
  <conditionalFormatting sqref="J11">
    <cfRule type="cellIs" priority="13" operator="lessThanOrEqual" aboveAverage="0" equalAverage="0" bottom="0" percent="0" rank="0" text="" dxfId="0">
      <formula>F11</formula>
    </cfRule>
  </conditionalFormatting>
  <conditionalFormatting sqref="J110">
    <cfRule type="cellIs" priority="14" operator="lessThanOrEqual" aboveAverage="0" equalAverage="0" bottom="0" percent="0" rank="0" text="" dxfId="0">
      <formula>F110</formula>
    </cfRule>
  </conditionalFormatting>
  <conditionalFormatting sqref="J111">
    <cfRule type="cellIs" priority="15" operator="lessThanOrEqual" aboveAverage="0" equalAverage="0" bottom="0" percent="0" rank="0" text="" dxfId="0">
      <formula>F111</formula>
    </cfRule>
  </conditionalFormatting>
  <conditionalFormatting sqref="J112">
    <cfRule type="cellIs" priority="16" operator="lessThanOrEqual" aboveAverage="0" equalAverage="0" bottom="0" percent="0" rank="0" text="" dxfId="0">
      <formula>F112</formula>
    </cfRule>
  </conditionalFormatting>
  <conditionalFormatting sqref="J113">
    <cfRule type="cellIs" priority="17" operator="lessThanOrEqual" aboveAverage="0" equalAverage="0" bottom="0" percent="0" rank="0" text="" dxfId="0">
      <formula>F113</formula>
    </cfRule>
  </conditionalFormatting>
  <conditionalFormatting sqref="J114">
    <cfRule type="cellIs" priority="18" operator="lessThanOrEqual" aboveAverage="0" equalAverage="0" bottom="0" percent="0" rank="0" text="" dxfId="0">
      <formula>F114</formula>
    </cfRule>
  </conditionalFormatting>
  <conditionalFormatting sqref="J116">
    <cfRule type="cellIs" priority="19" operator="lessThanOrEqual" aboveAverage="0" equalAverage="0" bottom="0" percent="0" rank="0" text="" dxfId="0">
      <formula>F116</formula>
    </cfRule>
  </conditionalFormatting>
  <conditionalFormatting sqref="J117">
    <cfRule type="cellIs" priority="20" operator="lessThanOrEqual" aboveAverage="0" equalAverage="0" bottom="0" percent="0" rank="0" text="" dxfId="0">
      <formula>F117</formula>
    </cfRule>
  </conditionalFormatting>
  <conditionalFormatting sqref="J118">
    <cfRule type="cellIs" priority="21" operator="lessThanOrEqual" aboveAverage="0" equalAverage="0" bottom="0" percent="0" rank="0" text="" dxfId="0">
      <formula>F118</formula>
    </cfRule>
  </conditionalFormatting>
  <conditionalFormatting sqref="J119">
    <cfRule type="cellIs" priority="22" operator="lessThanOrEqual" aboveAverage="0" equalAverage="0" bottom="0" percent="0" rank="0" text="" dxfId="0">
      <formula>F119</formula>
    </cfRule>
  </conditionalFormatting>
  <conditionalFormatting sqref="J12">
    <cfRule type="cellIs" priority="23" operator="lessThanOrEqual" aboveAverage="0" equalAverage="0" bottom="0" percent="0" rank="0" text="" dxfId="0">
      <formula>F12</formula>
    </cfRule>
  </conditionalFormatting>
  <conditionalFormatting sqref="J120">
    <cfRule type="cellIs" priority="24" operator="lessThanOrEqual" aboveAverage="0" equalAverage="0" bottom="0" percent="0" rank="0" text="" dxfId="0">
      <formula>F120</formula>
    </cfRule>
  </conditionalFormatting>
  <conditionalFormatting sqref="J123">
    <cfRule type="cellIs" priority="25" operator="lessThanOrEqual" aboveAverage="0" equalAverage="0" bottom="0" percent="0" rank="0" text="" dxfId="0">
      <formula>F123</formula>
    </cfRule>
  </conditionalFormatting>
  <conditionalFormatting sqref="J125">
    <cfRule type="cellIs" priority="26" operator="lessThanOrEqual" aboveAverage="0" equalAverage="0" bottom="0" percent="0" rank="0" text="" dxfId="0">
      <formula>F125</formula>
    </cfRule>
  </conditionalFormatting>
  <conditionalFormatting sqref="J126">
    <cfRule type="cellIs" priority="27" operator="lessThanOrEqual" aboveAverage="0" equalAverage="0" bottom="0" percent="0" rank="0" text="" dxfId="0">
      <formula>F126</formula>
    </cfRule>
  </conditionalFormatting>
  <conditionalFormatting sqref="J127">
    <cfRule type="cellIs" priority="28" operator="lessThanOrEqual" aboveAverage="0" equalAverage="0" bottom="0" percent="0" rank="0" text="" dxfId="0">
      <formula>F127</formula>
    </cfRule>
  </conditionalFormatting>
  <conditionalFormatting sqref="J129">
    <cfRule type="cellIs" priority="29" operator="lessThanOrEqual" aboveAverage="0" equalAverage="0" bottom="0" percent="0" rank="0" text="" dxfId="0">
      <formula>F129</formula>
    </cfRule>
  </conditionalFormatting>
  <conditionalFormatting sqref="J13">
    <cfRule type="cellIs" priority="30" operator="lessThanOrEqual" aboveAverage="0" equalAverage="0" bottom="0" percent="0" rank="0" text="" dxfId="0">
      <formula>F13</formula>
    </cfRule>
  </conditionalFormatting>
  <conditionalFormatting sqref="J130">
    <cfRule type="cellIs" priority="31" operator="lessThanOrEqual" aboveAverage="0" equalAverage="0" bottom="0" percent="0" rank="0" text="" dxfId="0">
      <formula>F130</formula>
    </cfRule>
  </conditionalFormatting>
  <conditionalFormatting sqref="J131">
    <cfRule type="cellIs" priority="32" operator="lessThanOrEqual" aboveAverage="0" equalAverage="0" bottom="0" percent="0" rank="0" text="" dxfId="0">
      <formula>F131</formula>
    </cfRule>
  </conditionalFormatting>
  <conditionalFormatting sqref="J132">
    <cfRule type="cellIs" priority="33" operator="lessThanOrEqual" aboveAverage="0" equalAverage="0" bottom="0" percent="0" rank="0" text="" dxfId="0">
      <formula>F132</formula>
    </cfRule>
  </conditionalFormatting>
  <conditionalFormatting sqref="J134">
    <cfRule type="cellIs" priority="34" operator="lessThanOrEqual" aboveAverage="0" equalAverage="0" bottom="0" percent="0" rank="0" text="" dxfId="0">
      <formula>F134</formula>
    </cfRule>
  </conditionalFormatting>
  <conditionalFormatting sqref="J135">
    <cfRule type="cellIs" priority="35" operator="lessThanOrEqual" aboveAverage="0" equalAverage="0" bottom="0" percent="0" rank="0" text="" dxfId="0">
      <formula>F135</formula>
    </cfRule>
  </conditionalFormatting>
  <conditionalFormatting sqref="J136">
    <cfRule type="cellIs" priority="36" operator="lessThanOrEqual" aboveAverage="0" equalAverage="0" bottom="0" percent="0" rank="0" text="" dxfId="0">
      <formula>F136</formula>
    </cfRule>
  </conditionalFormatting>
  <conditionalFormatting sqref="J137">
    <cfRule type="cellIs" priority="37" operator="lessThanOrEqual" aboveAverage="0" equalAverage="0" bottom="0" percent="0" rank="0" text="" dxfId="0">
      <formula>F137</formula>
    </cfRule>
  </conditionalFormatting>
  <conditionalFormatting sqref="J138">
    <cfRule type="cellIs" priority="38" operator="lessThanOrEqual" aboveAverage="0" equalAverage="0" bottom="0" percent="0" rank="0" text="" dxfId="0">
      <formula>F138</formula>
    </cfRule>
  </conditionalFormatting>
  <conditionalFormatting sqref="J139">
    <cfRule type="cellIs" priority="39" operator="lessThanOrEqual" aboveAverage="0" equalAverage="0" bottom="0" percent="0" rank="0" text="" dxfId="0">
      <formula>F139</formula>
    </cfRule>
  </conditionalFormatting>
  <conditionalFormatting sqref="J14">
    <cfRule type="cellIs" priority="40" operator="lessThanOrEqual" aboveAverage="0" equalAverage="0" bottom="0" percent="0" rank="0" text="" dxfId="0">
      <formula>F14</formula>
    </cfRule>
  </conditionalFormatting>
  <conditionalFormatting sqref="J140">
    <cfRule type="cellIs" priority="41" operator="lessThanOrEqual" aboveAverage="0" equalAverage="0" bottom="0" percent="0" rank="0" text="" dxfId="0">
      <formula>F140</formula>
    </cfRule>
  </conditionalFormatting>
  <conditionalFormatting sqref="J141">
    <cfRule type="cellIs" priority="42" operator="lessThanOrEqual" aboveAverage="0" equalAverage="0" bottom="0" percent="0" rank="0" text="" dxfId="0">
      <formula>F141</formula>
    </cfRule>
  </conditionalFormatting>
  <conditionalFormatting sqref="J142">
    <cfRule type="cellIs" priority="43" operator="lessThanOrEqual" aboveAverage="0" equalAverage="0" bottom="0" percent="0" rank="0" text="" dxfId="0">
      <formula>F142</formula>
    </cfRule>
  </conditionalFormatting>
  <conditionalFormatting sqref="J143">
    <cfRule type="cellIs" priority="44" operator="lessThanOrEqual" aboveAverage="0" equalAverage="0" bottom="0" percent="0" rank="0" text="" dxfId="0">
      <formula>F143</formula>
    </cfRule>
  </conditionalFormatting>
  <conditionalFormatting sqref="J144">
    <cfRule type="cellIs" priority="45" operator="lessThanOrEqual" aboveAverage="0" equalAverage="0" bottom="0" percent="0" rank="0" text="" dxfId="0">
      <formula>F144</formula>
    </cfRule>
  </conditionalFormatting>
  <conditionalFormatting sqref="J145">
    <cfRule type="cellIs" priority="46" operator="lessThanOrEqual" aboveAverage="0" equalAverage="0" bottom="0" percent="0" rank="0" text="" dxfId="0">
      <formula>F145</formula>
    </cfRule>
  </conditionalFormatting>
  <conditionalFormatting sqref="J146">
    <cfRule type="cellIs" priority="47" operator="lessThanOrEqual" aboveAverage="0" equalAverage="0" bottom="0" percent="0" rank="0" text="" dxfId="0">
      <formula>F146</formula>
    </cfRule>
  </conditionalFormatting>
  <conditionalFormatting sqref="J147">
    <cfRule type="cellIs" priority="48" operator="lessThanOrEqual" aboveAverage="0" equalAverage="0" bottom="0" percent="0" rank="0" text="" dxfId="0">
      <formula>F147</formula>
    </cfRule>
  </conditionalFormatting>
  <conditionalFormatting sqref="J149">
    <cfRule type="cellIs" priority="49" operator="lessThanOrEqual" aboveAverage="0" equalAverage="0" bottom="0" percent="0" rank="0" text="" dxfId="0">
      <formula>F149</formula>
    </cfRule>
  </conditionalFormatting>
  <conditionalFormatting sqref="J15">
    <cfRule type="cellIs" priority="50" operator="lessThanOrEqual" aboveAverage="0" equalAverage="0" bottom="0" percent="0" rank="0" text="" dxfId="0">
      <formula>F15</formula>
    </cfRule>
  </conditionalFormatting>
  <conditionalFormatting sqref="J150">
    <cfRule type="cellIs" priority="51" operator="lessThanOrEqual" aboveAverage="0" equalAverage="0" bottom="0" percent="0" rank="0" text="" dxfId="0">
      <formula>F150</formula>
    </cfRule>
  </conditionalFormatting>
  <conditionalFormatting sqref="J151">
    <cfRule type="cellIs" priority="52" operator="lessThanOrEqual" aboveAverage="0" equalAverage="0" bottom="0" percent="0" rank="0" text="" dxfId="0">
      <formula>F151</formula>
    </cfRule>
  </conditionalFormatting>
  <conditionalFormatting sqref="J152">
    <cfRule type="cellIs" priority="53" operator="lessThanOrEqual" aboveAverage="0" equalAverage="0" bottom="0" percent="0" rank="0" text="" dxfId="0">
      <formula>F152</formula>
    </cfRule>
  </conditionalFormatting>
  <conditionalFormatting sqref="J153">
    <cfRule type="cellIs" priority="54" operator="lessThanOrEqual" aboveAverage="0" equalAverage="0" bottom="0" percent="0" rank="0" text="" dxfId="0">
      <formula>F153</formula>
    </cfRule>
  </conditionalFormatting>
  <conditionalFormatting sqref="J154">
    <cfRule type="cellIs" priority="55" operator="lessThanOrEqual" aboveAverage="0" equalAverage="0" bottom="0" percent="0" rank="0" text="" dxfId="0">
      <formula>F154</formula>
    </cfRule>
  </conditionalFormatting>
  <conditionalFormatting sqref="J155">
    <cfRule type="cellIs" priority="56" operator="lessThanOrEqual" aboveAverage="0" equalAverage="0" bottom="0" percent="0" rank="0" text="" dxfId="0">
      <formula>F155</formula>
    </cfRule>
  </conditionalFormatting>
  <conditionalFormatting sqref="J156">
    <cfRule type="cellIs" priority="57" operator="lessThanOrEqual" aboveAverage="0" equalAverage="0" bottom="0" percent="0" rank="0" text="" dxfId="0">
      <formula>F156</formula>
    </cfRule>
  </conditionalFormatting>
  <conditionalFormatting sqref="J158">
    <cfRule type="cellIs" priority="58" operator="lessThanOrEqual" aboveAverage="0" equalAverage="0" bottom="0" percent="0" rank="0" text="" dxfId="0">
      <formula>F158</formula>
    </cfRule>
  </conditionalFormatting>
  <conditionalFormatting sqref="J16">
    <cfRule type="cellIs" priority="59" operator="lessThanOrEqual" aboveAverage="0" equalAverage="0" bottom="0" percent="0" rank="0" text="" dxfId="0">
      <formula>F16</formula>
    </cfRule>
  </conditionalFormatting>
  <conditionalFormatting sqref="J160">
    <cfRule type="cellIs" priority="60" operator="lessThanOrEqual" aboveAverage="0" equalAverage="0" bottom="0" percent="0" rank="0" text="" dxfId="0">
      <formula>F160</formula>
    </cfRule>
  </conditionalFormatting>
  <conditionalFormatting sqref="J162">
    <cfRule type="cellIs" priority="61" operator="lessThanOrEqual" aboveAverage="0" equalAverage="0" bottom="0" percent="0" rank="0" text="" dxfId="0">
      <formula>F162</formula>
    </cfRule>
  </conditionalFormatting>
  <conditionalFormatting sqref="J163">
    <cfRule type="cellIs" priority="62" operator="lessThanOrEqual" aboveAverage="0" equalAverage="0" bottom="0" percent="0" rank="0" text="" dxfId="0">
      <formula>F163</formula>
    </cfRule>
  </conditionalFormatting>
  <conditionalFormatting sqref="J164">
    <cfRule type="cellIs" priority="63" operator="lessThanOrEqual" aboveAverage="0" equalAverage="0" bottom="0" percent="0" rank="0" text="" dxfId="0">
      <formula>F164</formula>
    </cfRule>
  </conditionalFormatting>
  <conditionalFormatting sqref="J165">
    <cfRule type="cellIs" priority="64" operator="lessThanOrEqual" aboveAverage="0" equalAverage="0" bottom="0" percent="0" rank="0" text="" dxfId="0">
      <formula>F165</formula>
    </cfRule>
  </conditionalFormatting>
  <conditionalFormatting sqref="J166">
    <cfRule type="cellIs" priority="65" operator="lessThanOrEqual" aboveAverage="0" equalAverage="0" bottom="0" percent="0" rank="0" text="" dxfId="0">
      <formula>F166</formula>
    </cfRule>
  </conditionalFormatting>
  <conditionalFormatting sqref="J167">
    <cfRule type="cellIs" priority="66" operator="lessThanOrEqual" aboveAverage="0" equalAverage="0" bottom="0" percent="0" rank="0" text="" dxfId="0">
      <formula>F167</formula>
    </cfRule>
  </conditionalFormatting>
  <conditionalFormatting sqref="J17">
    <cfRule type="cellIs" priority="67" operator="lessThanOrEqual" aboveAverage="0" equalAverage="0" bottom="0" percent="0" rank="0" text="" dxfId="0">
      <formula>F17</formula>
    </cfRule>
  </conditionalFormatting>
  <conditionalFormatting sqref="J18">
    <cfRule type="cellIs" priority="68" operator="lessThanOrEqual" aboveAverage="0" equalAverage="0" bottom="0" percent="0" rank="0" text="" dxfId="0">
      <formula>F18</formula>
    </cfRule>
  </conditionalFormatting>
  <conditionalFormatting sqref="J19">
    <cfRule type="cellIs" priority="69" operator="lessThanOrEqual" aboveAverage="0" equalAverage="0" bottom="0" percent="0" rank="0" text="" dxfId="0">
      <formula>F19</formula>
    </cfRule>
  </conditionalFormatting>
  <conditionalFormatting sqref="J20">
    <cfRule type="cellIs" priority="70" operator="lessThanOrEqual" aboveAverage="0" equalAverage="0" bottom="0" percent="0" rank="0" text="" dxfId="0">
      <formula>F20</formula>
    </cfRule>
  </conditionalFormatting>
  <conditionalFormatting sqref="J21">
    <cfRule type="cellIs" priority="71" operator="lessThanOrEqual" aboveAverage="0" equalAverage="0" bottom="0" percent="0" rank="0" text="" dxfId="0">
      <formula>F21</formula>
    </cfRule>
  </conditionalFormatting>
  <conditionalFormatting sqref="J22">
    <cfRule type="cellIs" priority="72" operator="lessThanOrEqual" aboveAverage="0" equalAverage="0" bottom="0" percent="0" rank="0" text="" dxfId="0">
      <formula>F22</formula>
    </cfRule>
  </conditionalFormatting>
  <conditionalFormatting sqref="J23">
    <cfRule type="cellIs" priority="73" operator="lessThanOrEqual" aboveAverage="0" equalAverage="0" bottom="0" percent="0" rank="0" text="" dxfId="0">
      <formula>F23</formula>
    </cfRule>
  </conditionalFormatting>
  <conditionalFormatting sqref="J24">
    <cfRule type="cellIs" priority="74" operator="lessThanOrEqual" aboveAverage="0" equalAverage="0" bottom="0" percent="0" rank="0" text="" dxfId="0">
      <formula>F24</formula>
    </cfRule>
  </conditionalFormatting>
  <conditionalFormatting sqref="J25">
    <cfRule type="cellIs" priority="75" operator="lessThanOrEqual" aboveAverage="0" equalAverage="0" bottom="0" percent="0" rank="0" text="" dxfId="0">
      <formula>F25</formula>
    </cfRule>
  </conditionalFormatting>
  <conditionalFormatting sqref="J28">
    <cfRule type="cellIs" priority="76" operator="lessThanOrEqual" aboveAverage="0" equalAverage="0" bottom="0" percent="0" rank="0" text="" dxfId="0">
      <formula>F28</formula>
    </cfRule>
  </conditionalFormatting>
  <conditionalFormatting sqref="J29">
    <cfRule type="cellIs" priority="77" operator="lessThanOrEqual" aboveAverage="0" equalAverage="0" bottom="0" percent="0" rank="0" text="" dxfId="0">
      <formula>F29</formula>
    </cfRule>
  </conditionalFormatting>
  <conditionalFormatting sqref="J30">
    <cfRule type="cellIs" priority="78" operator="lessThanOrEqual" aboveAverage="0" equalAverage="0" bottom="0" percent="0" rank="0" text="" dxfId="0">
      <formula>F30</formula>
    </cfRule>
  </conditionalFormatting>
  <conditionalFormatting sqref="J31">
    <cfRule type="cellIs" priority="79" operator="lessThanOrEqual" aboveAverage="0" equalAverage="0" bottom="0" percent="0" rank="0" text="" dxfId="0">
      <formula>F31</formula>
    </cfRule>
  </conditionalFormatting>
  <conditionalFormatting sqref="J32">
    <cfRule type="cellIs" priority="80" operator="lessThanOrEqual" aboveAverage="0" equalAverage="0" bottom="0" percent="0" rank="0" text="" dxfId="0">
      <formula>F32</formula>
    </cfRule>
  </conditionalFormatting>
  <conditionalFormatting sqref="J33">
    <cfRule type="cellIs" priority="81" operator="lessThanOrEqual" aboveAverage="0" equalAverage="0" bottom="0" percent="0" rank="0" text="" dxfId="0">
      <formula>F33</formula>
    </cfRule>
  </conditionalFormatting>
  <conditionalFormatting sqref="J34">
    <cfRule type="cellIs" priority="82" operator="lessThanOrEqual" aboveAverage="0" equalAverage="0" bottom="0" percent="0" rank="0" text="" dxfId="0">
      <formula>F34</formula>
    </cfRule>
  </conditionalFormatting>
  <conditionalFormatting sqref="J35">
    <cfRule type="cellIs" priority="83" operator="lessThanOrEqual" aboveAverage="0" equalAverage="0" bottom="0" percent="0" rank="0" text="" dxfId="0">
      <formula>F35</formula>
    </cfRule>
  </conditionalFormatting>
  <conditionalFormatting sqref="J36">
    <cfRule type="cellIs" priority="84" operator="lessThanOrEqual" aboveAverage="0" equalAverage="0" bottom="0" percent="0" rank="0" text="" dxfId="0">
      <formula>F36</formula>
    </cfRule>
  </conditionalFormatting>
  <conditionalFormatting sqref="J38">
    <cfRule type="cellIs" priority="85" operator="lessThanOrEqual" aboveAverage="0" equalAverage="0" bottom="0" percent="0" rank="0" text="" dxfId="0">
      <formula>F38</formula>
    </cfRule>
  </conditionalFormatting>
  <conditionalFormatting sqref="J39">
    <cfRule type="cellIs" priority="86" operator="lessThanOrEqual" aboveAverage="0" equalAverage="0" bottom="0" percent="0" rank="0" text="" dxfId="0">
      <formula>F39</formula>
    </cfRule>
  </conditionalFormatting>
  <conditionalFormatting sqref="J40">
    <cfRule type="cellIs" priority="87" operator="lessThanOrEqual" aboveAverage="0" equalAverage="0" bottom="0" percent="0" rank="0" text="" dxfId="0">
      <formula>F40</formula>
    </cfRule>
  </conditionalFormatting>
  <conditionalFormatting sqref="J41">
    <cfRule type="cellIs" priority="88" operator="lessThanOrEqual" aboveAverage="0" equalAverage="0" bottom="0" percent="0" rank="0" text="" dxfId="0">
      <formula>F41</formula>
    </cfRule>
  </conditionalFormatting>
  <conditionalFormatting sqref="J43">
    <cfRule type="cellIs" priority="89" operator="lessThanOrEqual" aboveAverage="0" equalAverage="0" bottom="0" percent="0" rank="0" text="" dxfId="0">
      <formula>F43</formula>
    </cfRule>
  </conditionalFormatting>
  <conditionalFormatting sqref="J44">
    <cfRule type="cellIs" priority="90" operator="lessThanOrEqual" aboveAverage="0" equalAverage="0" bottom="0" percent="0" rank="0" text="" dxfId="0">
      <formula>F44</formula>
    </cfRule>
  </conditionalFormatting>
  <conditionalFormatting sqref="J45">
    <cfRule type="cellIs" priority="91" operator="lessThanOrEqual" aboveAverage="0" equalAverage="0" bottom="0" percent="0" rank="0" text="" dxfId="0">
      <formula>F45</formula>
    </cfRule>
  </conditionalFormatting>
  <conditionalFormatting sqref="J46">
    <cfRule type="cellIs" priority="92" operator="lessThanOrEqual" aboveAverage="0" equalAverage="0" bottom="0" percent="0" rank="0" text="" dxfId="0">
      <formula>F46</formula>
    </cfRule>
  </conditionalFormatting>
  <conditionalFormatting sqref="J47">
    <cfRule type="cellIs" priority="93" operator="lessThanOrEqual" aboveAverage="0" equalAverage="0" bottom="0" percent="0" rank="0" text="" dxfId="0">
      <formula>F47</formula>
    </cfRule>
  </conditionalFormatting>
  <conditionalFormatting sqref="J49">
    <cfRule type="cellIs" priority="94" operator="lessThanOrEqual" aboveAverage="0" equalAverage="0" bottom="0" percent="0" rank="0" text="" dxfId="0">
      <formula>F49</formula>
    </cfRule>
  </conditionalFormatting>
  <conditionalFormatting sqref="J50">
    <cfRule type="cellIs" priority="95" operator="lessThanOrEqual" aboveAverage="0" equalAverage="0" bottom="0" percent="0" rank="0" text="" dxfId="0">
      <formula>F50</formula>
    </cfRule>
  </conditionalFormatting>
  <conditionalFormatting sqref="J51">
    <cfRule type="cellIs" priority="96" operator="lessThanOrEqual" aboveAverage="0" equalAverage="0" bottom="0" percent="0" rank="0" text="" dxfId="0">
      <formula>F51</formula>
    </cfRule>
  </conditionalFormatting>
  <conditionalFormatting sqref="J52">
    <cfRule type="cellIs" priority="97" operator="lessThanOrEqual" aboveAverage="0" equalAverage="0" bottom="0" percent="0" rank="0" text="" dxfId="0">
      <formula>F52</formula>
    </cfRule>
  </conditionalFormatting>
  <conditionalFormatting sqref="J53">
    <cfRule type="cellIs" priority="98" operator="lessThanOrEqual" aboveAverage="0" equalAverage="0" bottom="0" percent="0" rank="0" text="" dxfId="0">
      <formula>F53</formula>
    </cfRule>
  </conditionalFormatting>
  <conditionalFormatting sqref="J54">
    <cfRule type="cellIs" priority="99" operator="lessThanOrEqual" aboveAverage="0" equalAverage="0" bottom="0" percent="0" rank="0" text="" dxfId="0">
      <formula>F54</formula>
    </cfRule>
  </conditionalFormatting>
  <conditionalFormatting sqref="J55">
    <cfRule type="cellIs" priority="100" operator="lessThanOrEqual" aboveAverage="0" equalAverage="0" bottom="0" percent="0" rank="0" text="" dxfId="0">
      <formula>F55</formula>
    </cfRule>
  </conditionalFormatting>
  <conditionalFormatting sqref="J56">
    <cfRule type="cellIs" priority="101" operator="lessThanOrEqual" aboveAverage="0" equalAverage="0" bottom="0" percent="0" rank="0" text="" dxfId="0">
      <formula>F56</formula>
    </cfRule>
  </conditionalFormatting>
  <conditionalFormatting sqref="J57">
    <cfRule type="cellIs" priority="102" operator="lessThanOrEqual" aboveAverage="0" equalAverage="0" bottom="0" percent="0" rank="0" text="" dxfId="0">
      <formula>F57</formula>
    </cfRule>
  </conditionalFormatting>
  <conditionalFormatting sqref="J58">
    <cfRule type="cellIs" priority="103" operator="lessThanOrEqual" aboveAverage="0" equalAverage="0" bottom="0" percent="0" rank="0" text="" dxfId="0">
      <formula>F58</formula>
    </cfRule>
  </conditionalFormatting>
  <conditionalFormatting sqref="J59">
    <cfRule type="cellIs" priority="104" operator="lessThanOrEqual" aboveAverage="0" equalAverage="0" bottom="0" percent="0" rank="0" text="" dxfId="0">
      <formula>F59</formula>
    </cfRule>
  </conditionalFormatting>
  <conditionalFormatting sqref="J60">
    <cfRule type="cellIs" priority="105" operator="lessThanOrEqual" aboveAverage="0" equalAverage="0" bottom="0" percent="0" rank="0" text="" dxfId="0">
      <formula>F60</formula>
    </cfRule>
  </conditionalFormatting>
  <conditionalFormatting sqref="J61">
    <cfRule type="cellIs" priority="106" operator="lessThanOrEqual" aboveAverage="0" equalAverage="0" bottom="0" percent="0" rank="0" text="" dxfId="0">
      <formula>F61</formula>
    </cfRule>
  </conditionalFormatting>
  <conditionalFormatting sqref="J62">
    <cfRule type="cellIs" priority="107" operator="lessThanOrEqual" aboveAverage="0" equalAverage="0" bottom="0" percent="0" rank="0" text="" dxfId="0">
      <formula>F62</formula>
    </cfRule>
  </conditionalFormatting>
  <conditionalFormatting sqref="J63">
    <cfRule type="cellIs" priority="108" operator="lessThanOrEqual" aboveAverage="0" equalAverage="0" bottom="0" percent="0" rank="0" text="" dxfId="0">
      <formula>F63</formula>
    </cfRule>
  </conditionalFormatting>
  <conditionalFormatting sqref="J64">
    <cfRule type="cellIs" priority="109" operator="lessThanOrEqual" aboveAverage="0" equalAverage="0" bottom="0" percent="0" rank="0" text="" dxfId="0">
      <formula>F64</formula>
    </cfRule>
  </conditionalFormatting>
  <conditionalFormatting sqref="J65">
    <cfRule type="cellIs" priority="110" operator="lessThanOrEqual" aboveAverage="0" equalAverage="0" bottom="0" percent="0" rank="0" text="" dxfId="0">
      <formula>F65</formula>
    </cfRule>
  </conditionalFormatting>
  <conditionalFormatting sqref="J66">
    <cfRule type="cellIs" priority="111" operator="lessThanOrEqual" aboveAverage="0" equalAverage="0" bottom="0" percent="0" rank="0" text="" dxfId="0">
      <formula>F66</formula>
    </cfRule>
  </conditionalFormatting>
  <conditionalFormatting sqref="J67">
    <cfRule type="cellIs" priority="112" operator="lessThanOrEqual" aboveAverage="0" equalAverage="0" bottom="0" percent="0" rank="0" text="" dxfId="0">
      <formula>F67</formula>
    </cfRule>
  </conditionalFormatting>
  <conditionalFormatting sqref="J68">
    <cfRule type="cellIs" priority="113" operator="lessThanOrEqual" aboveAverage="0" equalAverage="0" bottom="0" percent="0" rank="0" text="" dxfId="0">
      <formula>F68</formula>
    </cfRule>
  </conditionalFormatting>
  <conditionalFormatting sqref="J69">
    <cfRule type="cellIs" priority="114" operator="lessThanOrEqual" aboveAverage="0" equalAverage="0" bottom="0" percent="0" rank="0" text="" dxfId="0">
      <formula>F69</formula>
    </cfRule>
  </conditionalFormatting>
  <conditionalFormatting sqref="J7">
    <cfRule type="cellIs" priority="115" operator="lessThanOrEqual" aboveAverage="0" equalAverage="0" bottom="0" percent="0" rank="0" text="" dxfId="0">
      <formula>F7</formula>
    </cfRule>
  </conditionalFormatting>
  <conditionalFormatting sqref="J71">
    <cfRule type="cellIs" priority="116" operator="lessThanOrEqual" aboveAverage="0" equalAverage="0" bottom="0" percent="0" rank="0" text="" dxfId="0">
      <formula>F71</formula>
    </cfRule>
  </conditionalFormatting>
  <conditionalFormatting sqref="J73">
    <cfRule type="cellIs" priority="117" operator="lessThanOrEqual" aboveAverage="0" equalAverage="0" bottom="0" percent="0" rank="0" text="" dxfId="0">
      <formula>F73</formula>
    </cfRule>
  </conditionalFormatting>
  <conditionalFormatting sqref="J74">
    <cfRule type="cellIs" priority="118" operator="lessThanOrEqual" aboveAverage="0" equalAverage="0" bottom="0" percent="0" rank="0" text="" dxfId="0">
      <formula>F74</formula>
    </cfRule>
  </conditionalFormatting>
  <conditionalFormatting sqref="J75">
    <cfRule type="cellIs" priority="119" operator="lessThanOrEqual" aboveAverage="0" equalAverage="0" bottom="0" percent="0" rank="0" text="" dxfId="0">
      <formula>F75</formula>
    </cfRule>
  </conditionalFormatting>
  <conditionalFormatting sqref="J76">
    <cfRule type="cellIs" priority="120" operator="lessThanOrEqual" aboveAverage="0" equalAverage="0" bottom="0" percent="0" rank="0" text="" dxfId="0">
      <formula>F76</formula>
    </cfRule>
  </conditionalFormatting>
  <conditionalFormatting sqref="J77">
    <cfRule type="cellIs" priority="121" operator="lessThanOrEqual" aboveAverage="0" equalAverage="0" bottom="0" percent="0" rank="0" text="" dxfId="0">
      <formula>F77</formula>
    </cfRule>
  </conditionalFormatting>
  <conditionalFormatting sqref="J78">
    <cfRule type="cellIs" priority="122" operator="lessThanOrEqual" aboveAverage="0" equalAverage="0" bottom="0" percent="0" rank="0" text="" dxfId="0">
      <formula>F78</formula>
    </cfRule>
  </conditionalFormatting>
  <conditionalFormatting sqref="J79">
    <cfRule type="cellIs" priority="123" operator="lessThanOrEqual" aboveAverage="0" equalAverage="0" bottom="0" percent="0" rank="0" text="" dxfId="0">
      <formula>F79</formula>
    </cfRule>
  </conditionalFormatting>
  <conditionalFormatting sqref="J8">
    <cfRule type="cellIs" priority="124" operator="lessThanOrEqual" aboveAverage="0" equalAverage="0" bottom="0" percent="0" rank="0" text="" dxfId="0">
      <formula>F8</formula>
    </cfRule>
  </conditionalFormatting>
  <conditionalFormatting sqref="J80">
    <cfRule type="cellIs" priority="125" operator="lessThanOrEqual" aboveAverage="0" equalAverage="0" bottom="0" percent="0" rank="0" text="" dxfId="0">
      <formula>F80</formula>
    </cfRule>
  </conditionalFormatting>
  <conditionalFormatting sqref="J82">
    <cfRule type="cellIs" priority="126" operator="lessThanOrEqual" aboveAverage="0" equalAverage="0" bottom="0" percent="0" rank="0" text="" dxfId="0">
      <formula>F82</formula>
    </cfRule>
  </conditionalFormatting>
  <conditionalFormatting sqref="J83">
    <cfRule type="cellIs" priority="127" operator="lessThanOrEqual" aboveAverage="0" equalAverage="0" bottom="0" percent="0" rank="0" text="" dxfId="0">
      <formula>F83</formula>
    </cfRule>
  </conditionalFormatting>
  <conditionalFormatting sqref="J85">
    <cfRule type="cellIs" priority="128" operator="lessThanOrEqual" aboveAverage="0" equalAverage="0" bottom="0" percent="0" rank="0" text="" dxfId="0">
      <formula>F85</formula>
    </cfRule>
  </conditionalFormatting>
  <conditionalFormatting sqref="J86">
    <cfRule type="cellIs" priority="129" operator="lessThanOrEqual" aboveAverage="0" equalAverage="0" bottom="0" percent="0" rank="0" text="" dxfId="0">
      <formula>F86</formula>
    </cfRule>
  </conditionalFormatting>
  <conditionalFormatting sqref="J87">
    <cfRule type="cellIs" priority="130" operator="lessThanOrEqual" aboveAverage="0" equalAverage="0" bottom="0" percent="0" rank="0" text="" dxfId="0">
      <formula>F87</formula>
    </cfRule>
  </conditionalFormatting>
  <conditionalFormatting sqref="J89">
    <cfRule type="cellIs" priority="131" operator="lessThanOrEqual" aboveAverage="0" equalAverage="0" bottom="0" percent="0" rank="0" text="" dxfId="0">
      <formula>F89</formula>
    </cfRule>
  </conditionalFormatting>
  <conditionalFormatting sqref="J9">
    <cfRule type="cellIs" priority="132" operator="lessThanOrEqual" aboveAverage="0" equalAverage="0" bottom="0" percent="0" rank="0" text="" dxfId="0">
      <formula>F9</formula>
    </cfRule>
  </conditionalFormatting>
  <conditionalFormatting sqref="J90">
    <cfRule type="cellIs" priority="133" operator="lessThanOrEqual" aboveAverage="0" equalAverage="0" bottom="0" percent="0" rank="0" text="" dxfId="0">
      <formula>F90</formula>
    </cfRule>
  </conditionalFormatting>
  <conditionalFormatting sqref="J93">
    <cfRule type="cellIs" priority="134" operator="lessThanOrEqual" aboveAverage="0" equalAverage="0" bottom="0" percent="0" rank="0" text="" dxfId="0">
      <formula>F93</formula>
    </cfRule>
  </conditionalFormatting>
  <conditionalFormatting sqref="J94">
    <cfRule type="cellIs" priority="135" operator="lessThanOrEqual" aboveAverage="0" equalAverage="0" bottom="0" percent="0" rank="0" text="" dxfId="0">
      <formula>F94</formula>
    </cfRule>
  </conditionalFormatting>
  <conditionalFormatting sqref="J95">
    <cfRule type="cellIs" priority="136" operator="lessThanOrEqual" aboveAverage="0" equalAverage="0" bottom="0" percent="0" rank="0" text="" dxfId="0">
      <formula>F95</formula>
    </cfRule>
  </conditionalFormatting>
  <conditionalFormatting sqref="J96">
    <cfRule type="cellIs" priority="137" operator="lessThanOrEqual" aboveAverage="0" equalAverage="0" bottom="0" percent="0" rank="0" text="" dxfId="0">
      <formula>F96</formula>
    </cfRule>
  </conditionalFormatting>
  <conditionalFormatting sqref="J97">
    <cfRule type="cellIs" priority="138" operator="lessThanOrEqual" aboveAverage="0" equalAverage="0" bottom="0" percent="0" rank="0" text="" dxfId="0">
      <formula>F97</formula>
    </cfRule>
  </conditionalFormatting>
  <conditionalFormatting sqref="K10">
    <cfRule type="cellIs" priority="139" operator="lessThanOrEqual" aboveAverage="0" equalAverage="0" bottom="0" percent="0" rank="0" text="" dxfId="0">
      <formula>G10</formula>
    </cfRule>
  </conditionalFormatting>
  <conditionalFormatting sqref="K100">
    <cfRule type="cellIs" priority="140" operator="lessThanOrEqual" aboveAverage="0" equalAverage="0" bottom="0" percent="0" rank="0" text="" dxfId="0">
      <formula>G100</formula>
    </cfRule>
  </conditionalFormatting>
  <conditionalFormatting sqref="K101">
    <cfRule type="cellIs" priority="141" operator="lessThanOrEqual" aboveAverage="0" equalAverage="0" bottom="0" percent="0" rank="0" text="" dxfId="0">
      <formula>G101</formula>
    </cfRule>
  </conditionalFormatting>
  <conditionalFormatting sqref="K102">
    <cfRule type="cellIs" priority="142" operator="lessThanOrEqual" aboveAverage="0" equalAverage="0" bottom="0" percent="0" rank="0" text="" dxfId="0">
      <formula>G102</formula>
    </cfRule>
  </conditionalFormatting>
  <conditionalFormatting sqref="K103">
    <cfRule type="cellIs" priority="143" operator="lessThanOrEqual" aboveAverage="0" equalAverage="0" bottom="0" percent="0" rank="0" text="" dxfId="0">
      <formula>G103</formula>
    </cfRule>
  </conditionalFormatting>
  <conditionalFormatting sqref="K104">
    <cfRule type="cellIs" priority="144" operator="lessThanOrEqual" aboveAverage="0" equalAverage="0" bottom="0" percent="0" rank="0" text="" dxfId="0">
      <formula>G104</formula>
    </cfRule>
  </conditionalFormatting>
  <conditionalFormatting sqref="K105">
    <cfRule type="cellIs" priority="145" operator="lessThanOrEqual" aboveAverage="0" equalAverage="0" bottom="0" percent="0" rank="0" text="" dxfId="0">
      <formula>G105</formula>
    </cfRule>
  </conditionalFormatting>
  <conditionalFormatting sqref="K106">
    <cfRule type="cellIs" priority="146" operator="lessThanOrEqual" aboveAverage="0" equalAverage="0" bottom="0" percent="0" rank="0" text="" dxfId="0">
      <formula>G106</formula>
    </cfRule>
  </conditionalFormatting>
  <conditionalFormatting sqref="K107">
    <cfRule type="cellIs" priority="147" operator="lessThanOrEqual" aboveAverage="0" equalAverage="0" bottom="0" percent="0" rank="0" text="" dxfId="0">
      <formula>G107</formula>
    </cfRule>
  </conditionalFormatting>
  <conditionalFormatting sqref="K108">
    <cfRule type="cellIs" priority="148" operator="lessThanOrEqual" aboveAverage="0" equalAverage="0" bottom="0" percent="0" rank="0" text="" dxfId="0">
      <formula>G108</formula>
    </cfRule>
  </conditionalFormatting>
  <conditionalFormatting sqref="K109">
    <cfRule type="cellIs" priority="149" operator="lessThanOrEqual" aboveAverage="0" equalAverage="0" bottom="0" percent="0" rank="0" text="" dxfId="0">
      <formula>G109</formula>
    </cfRule>
  </conditionalFormatting>
  <conditionalFormatting sqref="K11">
    <cfRule type="cellIs" priority="150" operator="lessThanOrEqual" aboveAverage="0" equalAverage="0" bottom="0" percent="0" rank="0" text="" dxfId="0">
      <formula>G11</formula>
    </cfRule>
  </conditionalFormatting>
  <conditionalFormatting sqref="K110">
    <cfRule type="cellIs" priority="151" operator="lessThanOrEqual" aboveAverage="0" equalAverage="0" bottom="0" percent="0" rank="0" text="" dxfId="0">
      <formula>G110</formula>
    </cfRule>
  </conditionalFormatting>
  <conditionalFormatting sqref="K111">
    <cfRule type="cellIs" priority="152" operator="lessThanOrEqual" aboveAverage="0" equalAverage="0" bottom="0" percent="0" rank="0" text="" dxfId="0">
      <formula>G111</formula>
    </cfRule>
  </conditionalFormatting>
  <conditionalFormatting sqref="K112">
    <cfRule type="cellIs" priority="153" operator="lessThanOrEqual" aboveAverage="0" equalAverage="0" bottom="0" percent="0" rank="0" text="" dxfId="0">
      <formula>G112</formula>
    </cfRule>
  </conditionalFormatting>
  <conditionalFormatting sqref="K113">
    <cfRule type="cellIs" priority="154" operator="lessThanOrEqual" aboveAverage="0" equalAverage="0" bottom="0" percent="0" rank="0" text="" dxfId="0">
      <formula>G113</formula>
    </cfRule>
  </conditionalFormatting>
  <conditionalFormatting sqref="K114">
    <cfRule type="cellIs" priority="155" operator="lessThanOrEqual" aboveAverage="0" equalAverage="0" bottom="0" percent="0" rank="0" text="" dxfId="0">
      <formula>G114</formula>
    </cfRule>
  </conditionalFormatting>
  <conditionalFormatting sqref="K116">
    <cfRule type="cellIs" priority="156" operator="lessThanOrEqual" aboveAverage="0" equalAverage="0" bottom="0" percent="0" rank="0" text="" dxfId="0">
      <formula>G116</formula>
    </cfRule>
  </conditionalFormatting>
  <conditionalFormatting sqref="K117">
    <cfRule type="cellIs" priority="157" operator="lessThanOrEqual" aboveAverage="0" equalAverage="0" bottom="0" percent="0" rank="0" text="" dxfId="0">
      <formula>G117</formula>
    </cfRule>
  </conditionalFormatting>
  <conditionalFormatting sqref="K118">
    <cfRule type="cellIs" priority="158" operator="lessThanOrEqual" aboveAverage="0" equalAverage="0" bottom="0" percent="0" rank="0" text="" dxfId="0">
      <formula>G118</formula>
    </cfRule>
  </conditionalFormatting>
  <conditionalFormatting sqref="K119">
    <cfRule type="cellIs" priority="159" operator="lessThanOrEqual" aboveAverage="0" equalAverage="0" bottom="0" percent="0" rank="0" text="" dxfId="0">
      <formula>G119</formula>
    </cfRule>
  </conditionalFormatting>
  <conditionalFormatting sqref="K12">
    <cfRule type="cellIs" priority="160" operator="lessThanOrEqual" aboveAverage="0" equalAverage="0" bottom="0" percent="0" rank="0" text="" dxfId="0">
      <formula>G12</formula>
    </cfRule>
  </conditionalFormatting>
  <conditionalFormatting sqref="K120">
    <cfRule type="cellIs" priority="161" operator="lessThanOrEqual" aboveAverage="0" equalAverage="0" bottom="0" percent="0" rank="0" text="" dxfId="0">
      <formula>G120</formula>
    </cfRule>
  </conditionalFormatting>
  <conditionalFormatting sqref="K123">
    <cfRule type="cellIs" priority="162" operator="lessThanOrEqual" aboveAverage="0" equalAverage="0" bottom="0" percent="0" rank="0" text="" dxfId="0">
      <formula>G123</formula>
    </cfRule>
  </conditionalFormatting>
  <conditionalFormatting sqref="K125">
    <cfRule type="cellIs" priority="163" operator="lessThanOrEqual" aboveAverage="0" equalAverage="0" bottom="0" percent="0" rank="0" text="" dxfId="0">
      <formula>G125</formula>
    </cfRule>
  </conditionalFormatting>
  <conditionalFormatting sqref="K126">
    <cfRule type="cellIs" priority="164" operator="lessThanOrEqual" aboveAverage="0" equalAverage="0" bottom="0" percent="0" rank="0" text="" dxfId="0">
      <formula>G126</formula>
    </cfRule>
  </conditionalFormatting>
  <conditionalFormatting sqref="K127">
    <cfRule type="cellIs" priority="165" operator="lessThanOrEqual" aboveAverage="0" equalAverage="0" bottom="0" percent="0" rank="0" text="" dxfId="0">
      <formula>G127</formula>
    </cfRule>
  </conditionalFormatting>
  <conditionalFormatting sqref="K129">
    <cfRule type="cellIs" priority="166" operator="lessThanOrEqual" aboveAverage="0" equalAverage="0" bottom="0" percent="0" rank="0" text="" dxfId="0">
      <formula>G129</formula>
    </cfRule>
  </conditionalFormatting>
  <conditionalFormatting sqref="K13">
    <cfRule type="cellIs" priority="167" operator="lessThanOrEqual" aboveAverage="0" equalAverage="0" bottom="0" percent="0" rank="0" text="" dxfId="0">
      <formula>G13</formula>
    </cfRule>
  </conditionalFormatting>
  <conditionalFormatting sqref="K130">
    <cfRule type="cellIs" priority="168" operator="lessThanOrEqual" aboveAverage="0" equalAverage="0" bottom="0" percent="0" rank="0" text="" dxfId="0">
      <formula>G130</formula>
    </cfRule>
  </conditionalFormatting>
  <conditionalFormatting sqref="K131">
    <cfRule type="cellIs" priority="169" operator="lessThanOrEqual" aboveAverage="0" equalAverage="0" bottom="0" percent="0" rank="0" text="" dxfId="0">
      <formula>G131</formula>
    </cfRule>
  </conditionalFormatting>
  <conditionalFormatting sqref="K132">
    <cfRule type="cellIs" priority="170" operator="lessThanOrEqual" aboveAverage="0" equalAverage="0" bottom="0" percent="0" rank="0" text="" dxfId="0">
      <formula>G132</formula>
    </cfRule>
  </conditionalFormatting>
  <conditionalFormatting sqref="K134">
    <cfRule type="cellIs" priority="171" operator="lessThanOrEqual" aboveAverage="0" equalAverage="0" bottom="0" percent="0" rank="0" text="" dxfId="0">
      <formula>G134</formula>
    </cfRule>
  </conditionalFormatting>
  <conditionalFormatting sqref="K135">
    <cfRule type="cellIs" priority="172" operator="lessThanOrEqual" aboveAverage="0" equalAverage="0" bottom="0" percent="0" rank="0" text="" dxfId="0">
      <formula>G135</formula>
    </cfRule>
  </conditionalFormatting>
  <conditionalFormatting sqref="K136">
    <cfRule type="cellIs" priority="173" operator="lessThanOrEqual" aboveAverage="0" equalAverage="0" bottom="0" percent="0" rank="0" text="" dxfId="0">
      <formula>G136</formula>
    </cfRule>
  </conditionalFormatting>
  <conditionalFormatting sqref="K137">
    <cfRule type="cellIs" priority="174" operator="lessThanOrEqual" aboveAverage="0" equalAverage="0" bottom="0" percent="0" rank="0" text="" dxfId="0">
      <formula>G137</formula>
    </cfRule>
  </conditionalFormatting>
  <conditionalFormatting sqref="K138">
    <cfRule type="cellIs" priority="175" operator="lessThanOrEqual" aboveAverage="0" equalAverage="0" bottom="0" percent="0" rank="0" text="" dxfId="0">
      <formula>G138</formula>
    </cfRule>
  </conditionalFormatting>
  <conditionalFormatting sqref="K139">
    <cfRule type="cellIs" priority="176" operator="lessThanOrEqual" aboveAverage="0" equalAverage="0" bottom="0" percent="0" rank="0" text="" dxfId="0">
      <formula>G139</formula>
    </cfRule>
  </conditionalFormatting>
  <conditionalFormatting sqref="K14">
    <cfRule type="cellIs" priority="177" operator="lessThanOrEqual" aboveAverage="0" equalAverage="0" bottom="0" percent="0" rank="0" text="" dxfId="0">
      <formula>G14</formula>
    </cfRule>
  </conditionalFormatting>
  <conditionalFormatting sqref="K140">
    <cfRule type="cellIs" priority="178" operator="lessThanOrEqual" aboveAverage="0" equalAverage="0" bottom="0" percent="0" rank="0" text="" dxfId="0">
      <formula>G140</formula>
    </cfRule>
  </conditionalFormatting>
  <conditionalFormatting sqref="K141">
    <cfRule type="cellIs" priority="179" operator="lessThanOrEqual" aboveAverage="0" equalAverage="0" bottom="0" percent="0" rank="0" text="" dxfId="0">
      <formula>G141</formula>
    </cfRule>
  </conditionalFormatting>
  <conditionalFormatting sqref="K142">
    <cfRule type="cellIs" priority="180" operator="lessThanOrEqual" aboveAverage="0" equalAverage="0" bottom="0" percent="0" rank="0" text="" dxfId="0">
      <formula>G142</formula>
    </cfRule>
  </conditionalFormatting>
  <conditionalFormatting sqref="K143">
    <cfRule type="cellIs" priority="181" operator="lessThanOrEqual" aboveAverage="0" equalAverage="0" bottom="0" percent="0" rank="0" text="" dxfId="0">
      <formula>G143</formula>
    </cfRule>
  </conditionalFormatting>
  <conditionalFormatting sqref="K144">
    <cfRule type="cellIs" priority="182" operator="lessThanOrEqual" aboveAverage="0" equalAverage="0" bottom="0" percent="0" rank="0" text="" dxfId="0">
      <formula>G144</formula>
    </cfRule>
  </conditionalFormatting>
  <conditionalFormatting sqref="K145">
    <cfRule type="cellIs" priority="183" operator="lessThanOrEqual" aboveAverage="0" equalAverage="0" bottom="0" percent="0" rank="0" text="" dxfId="0">
      <formula>G145</formula>
    </cfRule>
  </conditionalFormatting>
  <conditionalFormatting sqref="K146">
    <cfRule type="cellIs" priority="184" operator="lessThanOrEqual" aboveAverage="0" equalAverage="0" bottom="0" percent="0" rank="0" text="" dxfId="0">
      <formula>G146</formula>
    </cfRule>
  </conditionalFormatting>
  <conditionalFormatting sqref="K147">
    <cfRule type="cellIs" priority="185" operator="lessThanOrEqual" aboveAverage="0" equalAverage="0" bottom="0" percent="0" rank="0" text="" dxfId="0">
      <formula>G147</formula>
    </cfRule>
  </conditionalFormatting>
  <conditionalFormatting sqref="K149">
    <cfRule type="cellIs" priority="186" operator="lessThanOrEqual" aboveAverage="0" equalAverage="0" bottom="0" percent="0" rank="0" text="" dxfId="0">
      <formula>G149</formula>
    </cfRule>
  </conditionalFormatting>
  <conditionalFormatting sqref="K15">
    <cfRule type="cellIs" priority="187" operator="lessThanOrEqual" aboveAverage="0" equalAverage="0" bottom="0" percent="0" rank="0" text="" dxfId="0">
      <formula>G15</formula>
    </cfRule>
  </conditionalFormatting>
  <conditionalFormatting sqref="K150">
    <cfRule type="cellIs" priority="188" operator="lessThanOrEqual" aboveAverage="0" equalAverage="0" bottom="0" percent="0" rank="0" text="" dxfId="0">
      <formula>G150</formula>
    </cfRule>
  </conditionalFormatting>
  <conditionalFormatting sqref="K151">
    <cfRule type="cellIs" priority="189" operator="lessThanOrEqual" aboveAverage="0" equalAverage="0" bottom="0" percent="0" rank="0" text="" dxfId="0">
      <formula>G151</formula>
    </cfRule>
  </conditionalFormatting>
  <conditionalFormatting sqref="K152">
    <cfRule type="cellIs" priority="190" operator="lessThanOrEqual" aboveAverage="0" equalAverage="0" bottom="0" percent="0" rank="0" text="" dxfId="0">
      <formula>G152</formula>
    </cfRule>
  </conditionalFormatting>
  <conditionalFormatting sqref="K153">
    <cfRule type="cellIs" priority="191" operator="lessThanOrEqual" aboveAverage="0" equalAverage="0" bottom="0" percent="0" rank="0" text="" dxfId="0">
      <formula>G153</formula>
    </cfRule>
  </conditionalFormatting>
  <conditionalFormatting sqref="K154">
    <cfRule type="cellIs" priority="192" operator="lessThanOrEqual" aboveAverage="0" equalAverage="0" bottom="0" percent="0" rank="0" text="" dxfId="0">
      <formula>G154</formula>
    </cfRule>
  </conditionalFormatting>
  <conditionalFormatting sqref="K155">
    <cfRule type="cellIs" priority="193" operator="lessThanOrEqual" aboveAverage="0" equalAverage="0" bottom="0" percent="0" rank="0" text="" dxfId="0">
      <formula>G155</formula>
    </cfRule>
  </conditionalFormatting>
  <conditionalFormatting sqref="K156">
    <cfRule type="cellIs" priority="194" operator="lessThanOrEqual" aboveAverage="0" equalAverage="0" bottom="0" percent="0" rank="0" text="" dxfId="0">
      <formula>G156</formula>
    </cfRule>
  </conditionalFormatting>
  <conditionalFormatting sqref="K158">
    <cfRule type="cellIs" priority="195" operator="lessThanOrEqual" aboveAverage="0" equalAverage="0" bottom="0" percent="0" rank="0" text="" dxfId="0">
      <formula>G158</formula>
    </cfRule>
  </conditionalFormatting>
  <conditionalFormatting sqref="K16">
    <cfRule type="cellIs" priority="196" operator="lessThanOrEqual" aboveAverage="0" equalAverage="0" bottom="0" percent="0" rank="0" text="" dxfId="0">
      <formula>G16</formula>
    </cfRule>
  </conditionalFormatting>
  <conditionalFormatting sqref="K160">
    <cfRule type="cellIs" priority="197" operator="lessThanOrEqual" aboveAverage="0" equalAverage="0" bottom="0" percent="0" rank="0" text="" dxfId="0">
      <formula>G160</formula>
    </cfRule>
  </conditionalFormatting>
  <conditionalFormatting sqref="K162">
    <cfRule type="cellIs" priority="198" operator="lessThanOrEqual" aboveAverage="0" equalAverage="0" bottom="0" percent="0" rank="0" text="" dxfId="0">
      <formula>G162</formula>
    </cfRule>
  </conditionalFormatting>
  <conditionalFormatting sqref="K163">
    <cfRule type="cellIs" priority="199" operator="lessThanOrEqual" aboveAverage="0" equalAverage="0" bottom="0" percent="0" rank="0" text="" dxfId="0">
      <formula>G163</formula>
    </cfRule>
  </conditionalFormatting>
  <conditionalFormatting sqref="K164">
    <cfRule type="cellIs" priority="200" operator="lessThanOrEqual" aboveAverage="0" equalAverage="0" bottom="0" percent="0" rank="0" text="" dxfId="0">
      <formula>G164</formula>
    </cfRule>
  </conditionalFormatting>
  <conditionalFormatting sqref="K165">
    <cfRule type="cellIs" priority="201" operator="lessThanOrEqual" aboveAverage="0" equalAverage="0" bottom="0" percent="0" rank="0" text="" dxfId="0">
      <formula>G165</formula>
    </cfRule>
  </conditionalFormatting>
  <conditionalFormatting sqref="K166">
    <cfRule type="cellIs" priority="202" operator="lessThanOrEqual" aboveAverage="0" equalAverage="0" bottom="0" percent="0" rank="0" text="" dxfId="0">
      <formula>G166</formula>
    </cfRule>
  </conditionalFormatting>
  <conditionalFormatting sqref="K167">
    <cfRule type="cellIs" priority="203" operator="lessThanOrEqual" aboveAverage="0" equalAverage="0" bottom="0" percent="0" rank="0" text="" dxfId="0">
      <formula>G167</formula>
    </cfRule>
  </conditionalFormatting>
  <conditionalFormatting sqref="K17">
    <cfRule type="cellIs" priority="204" operator="lessThanOrEqual" aboveAverage="0" equalAverage="0" bottom="0" percent="0" rank="0" text="" dxfId="0">
      <formula>G17</formula>
    </cfRule>
  </conditionalFormatting>
  <conditionalFormatting sqref="K18">
    <cfRule type="cellIs" priority="205" operator="lessThanOrEqual" aboveAverage="0" equalAverage="0" bottom="0" percent="0" rank="0" text="" dxfId="0">
      <formula>G18</formula>
    </cfRule>
  </conditionalFormatting>
  <conditionalFormatting sqref="K19">
    <cfRule type="cellIs" priority="206" operator="lessThanOrEqual" aboveAverage="0" equalAverage="0" bottom="0" percent="0" rank="0" text="" dxfId="0">
      <formula>G19</formula>
    </cfRule>
  </conditionalFormatting>
  <conditionalFormatting sqref="K20">
    <cfRule type="cellIs" priority="207" operator="lessThanOrEqual" aboveAverage="0" equalAverage="0" bottom="0" percent="0" rank="0" text="" dxfId="0">
      <formula>G20</formula>
    </cfRule>
  </conditionalFormatting>
  <conditionalFormatting sqref="K21">
    <cfRule type="cellIs" priority="208" operator="lessThanOrEqual" aboveAverage="0" equalAverage="0" bottom="0" percent="0" rank="0" text="" dxfId="0">
      <formula>G21</formula>
    </cfRule>
  </conditionalFormatting>
  <conditionalFormatting sqref="K22">
    <cfRule type="cellIs" priority="209" operator="lessThanOrEqual" aboveAverage="0" equalAverage="0" bottom="0" percent="0" rank="0" text="" dxfId="0">
      <formula>G22</formula>
    </cfRule>
  </conditionalFormatting>
  <conditionalFormatting sqref="K23">
    <cfRule type="cellIs" priority="210" operator="lessThanOrEqual" aboveAverage="0" equalAverage="0" bottom="0" percent="0" rank="0" text="" dxfId="0">
      <formula>G23</formula>
    </cfRule>
  </conditionalFormatting>
  <conditionalFormatting sqref="K24">
    <cfRule type="cellIs" priority="211" operator="lessThanOrEqual" aboveAverage="0" equalAverage="0" bottom="0" percent="0" rank="0" text="" dxfId="0">
      <formula>G24</formula>
    </cfRule>
  </conditionalFormatting>
  <conditionalFormatting sqref="K25">
    <cfRule type="cellIs" priority="212" operator="lessThanOrEqual" aboveAverage="0" equalAverage="0" bottom="0" percent="0" rank="0" text="" dxfId="0">
      <formula>G25</formula>
    </cfRule>
  </conditionalFormatting>
  <conditionalFormatting sqref="K28">
    <cfRule type="cellIs" priority="213" operator="lessThanOrEqual" aboveAverage="0" equalAverage="0" bottom="0" percent="0" rank="0" text="" dxfId="0">
      <formula>G28</formula>
    </cfRule>
  </conditionalFormatting>
  <conditionalFormatting sqref="K29">
    <cfRule type="cellIs" priority="214" operator="lessThanOrEqual" aboveAverage="0" equalAverage="0" bottom="0" percent="0" rank="0" text="" dxfId="0">
      <formula>G29</formula>
    </cfRule>
  </conditionalFormatting>
  <conditionalFormatting sqref="K30">
    <cfRule type="cellIs" priority="215" operator="lessThanOrEqual" aboveAverage="0" equalAverage="0" bottom="0" percent="0" rank="0" text="" dxfId="0">
      <formula>G30</formula>
    </cfRule>
  </conditionalFormatting>
  <conditionalFormatting sqref="K31">
    <cfRule type="cellIs" priority="216" operator="lessThanOrEqual" aboveAverage="0" equalAverage="0" bottom="0" percent="0" rank="0" text="" dxfId="0">
      <formula>G31</formula>
    </cfRule>
  </conditionalFormatting>
  <conditionalFormatting sqref="K32">
    <cfRule type="cellIs" priority="217" operator="lessThanOrEqual" aboveAverage="0" equalAverage="0" bottom="0" percent="0" rank="0" text="" dxfId="0">
      <formula>G32</formula>
    </cfRule>
  </conditionalFormatting>
  <conditionalFormatting sqref="K33">
    <cfRule type="cellIs" priority="218" operator="lessThanOrEqual" aboveAverage="0" equalAverage="0" bottom="0" percent="0" rank="0" text="" dxfId="0">
      <formula>G33</formula>
    </cfRule>
  </conditionalFormatting>
  <conditionalFormatting sqref="K34">
    <cfRule type="cellIs" priority="219" operator="lessThanOrEqual" aboveAverage="0" equalAverage="0" bottom="0" percent="0" rank="0" text="" dxfId="0">
      <formula>G34</formula>
    </cfRule>
  </conditionalFormatting>
  <conditionalFormatting sqref="K35">
    <cfRule type="cellIs" priority="220" operator="lessThanOrEqual" aboveAverage="0" equalAverage="0" bottom="0" percent="0" rank="0" text="" dxfId="0">
      <formula>G35</formula>
    </cfRule>
  </conditionalFormatting>
  <conditionalFormatting sqref="K36">
    <cfRule type="cellIs" priority="221" operator="lessThanOrEqual" aboveAverage="0" equalAverage="0" bottom="0" percent="0" rank="0" text="" dxfId="0">
      <formula>G36</formula>
    </cfRule>
  </conditionalFormatting>
  <conditionalFormatting sqref="K38">
    <cfRule type="cellIs" priority="222" operator="lessThanOrEqual" aboveAverage="0" equalAverage="0" bottom="0" percent="0" rank="0" text="" dxfId="0">
      <formula>G38</formula>
    </cfRule>
  </conditionalFormatting>
  <conditionalFormatting sqref="K39">
    <cfRule type="cellIs" priority="223" operator="lessThanOrEqual" aboveAverage="0" equalAverage="0" bottom="0" percent="0" rank="0" text="" dxfId="0">
      <formula>G39</formula>
    </cfRule>
  </conditionalFormatting>
  <conditionalFormatting sqref="K40">
    <cfRule type="cellIs" priority="224" operator="lessThanOrEqual" aboveAverage="0" equalAverage="0" bottom="0" percent="0" rank="0" text="" dxfId="0">
      <formula>G40</formula>
    </cfRule>
  </conditionalFormatting>
  <conditionalFormatting sqref="K41">
    <cfRule type="cellIs" priority="225" operator="lessThanOrEqual" aboveAverage="0" equalAverage="0" bottom="0" percent="0" rank="0" text="" dxfId="0">
      <formula>G41</formula>
    </cfRule>
  </conditionalFormatting>
  <conditionalFormatting sqref="K43">
    <cfRule type="cellIs" priority="226" operator="lessThanOrEqual" aboveAverage="0" equalAverage="0" bottom="0" percent="0" rank="0" text="" dxfId="0">
      <formula>G43</formula>
    </cfRule>
  </conditionalFormatting>
  <conditionalFormatting sqref="K44">
    <cfRule type="cellIs" priority="227" operator="lessThanOrEqual" aboveAverage="0" equalAverage="0" bottom="0" percent="0" rank="0" text="" dxfId="0">
      <formula>G44</formula>
    </cfRule>
  </conditionalFormatting>
  <conditionalFormatting sqref="K45">
    <cfRule type="cellIs" priority="228" operator="lessThanOrEqual" aboveAverage="0" equalAverage="0" bottom="0" percent="0" rank="0" text="" dxfId="0">
      <formula>G45</formula>
    </cfRule>
  </conditionalFormatting>
  <conditionalFormatting sqref="K46">
    <cfRule type="cellIs" priority="229" operator="lessThanOrEqual" aboveAverage="0" equalAverage="0" bottom="0" percent="0" rank="0" text="" dxfId="0">
      <formula>G46</formula>
    </cfRule>
  </conditionalFormatting>
  <conditionalFormatting sqref="K47">
    <cfRule type="cellIs" priority="230" operator="lessThanOrEqual" aboveAverage="0" equalAverage="0" bottom="0" percent="0" rank="0" text="" dxfId="0">
      <formula>G47</formula>
    </cfRule>
  </conditionalFormatting>
  <conditionalFormatting sqref="K49">
    <cfRule type="cellIs" priority="231" operator="lessThanOrEqual" aboveAverage="0" equalAverage="0" bottom="0" percent="0" rank="0" text="" dxfId="0">
      <formula>G49</formula>
    </cfRule>
  </conditionalFormatting>
  <conditionalFormatting sqref="K50">
    <cfRule type="cellIs" priority="232" operator="lessThanOrEqual" aboveAverage="0" equalAverage="0" bottom="0" percent="0" rank="0" text="" dxfId="0">
      <formula>G50</formula>
    </cfRule>
  </conditionalFormatting>
  <conditionalFormatting sqref="K51">
    <cfRule type="cellIs" priority="233" operator="lessThanOrEqual" aboveAverage="0" equalAverage="0" bottom="0" percent="0" rank="0" text="" dxfId="0">
      <formula>G51</formula>
    </cfRule>
  </conditionalFormatting>
  <conditionalFormatting sqref="K52">
    <cfRule type="cellIs" priority="234" operator="lessThanOrEqual" aboveAverage="0" equalAverage="0" bottom="0" percent="0" rank="0" text="" dxfId="0">
      <formula>G52</formula>
    </cfRule>
  </conditionalFormatting>
  <conditionalFormatting sqref="K53">
    <cfRule type="cellIs" priority="235" operator="lessThanOrEqual" aboveAverage="0" equalAverage="0" bottom="0" percent="0" rank="0" text="" dxfId="0">
      <formula>G53</formula>
    </cfRule>
  </conditionalFormatting>
  <conditionalFormatting sqref="K54">
    <cfRule type="cellIs" priority="236" operator="lessThanOrEqual" aboveAverage="0" equalAverage="0" bottom="0" percent="0" rank="0" text="" dxfId="0">
      <formula>G54</formula>
    </cfRule>
  </conditionalFormatting>
  <conditionalFormatting sqref="K55">
    <cfRule type="cellIs" priority="237" operator="lessThanOrEqual" aboveAverage="0" equalAverage="0" bottom="0" percent="0" rank="0" text="" dxfId="0">
      <formula>G55</formula>
    </cfRule>
  </conditionalFormatting>
  <conditionalFormatting sqref="K56">
    <cfRule type="cellIs" priority="238" operator="lessThanOrEqual" aboveAverage="0" equalAverage="0" bottom="0" percent="0" rank="0" text="" dxfId="0">
      <formula>G56</formula>
    </cfRule>
  </conditionalFormatting>
  <conditionalFormatting sqref="K57">
    <cfRule type="cellIs" priority="239" operator="lessThanOrEqual" aboveAverage="0" equalAverage="0" bottom="0" percent="0" rank="0" text="" dxfId="0">
      <formula>G57</formula>
    </cfRule>
  </conditionalFormatting>
  <conditionalFormatting sqref="K58">
    <cfRule type="cellIs" priority="240" operator="lessThanOrEqual" aboveAverage="0" equalAverage="0" bottom="0" percent="0" rank="0" text="" dxfId="0">
      <formula>G58</formula>
    </cfRule>
  </conditionalFormatting>
  <conditionalFormatting sqref="K59">
    <cfRule type="cellIs" priority="241" operator="lessThanOrEqual" aboveAverage="0" equalAverage="0" bottom="0" percent="0" rank="0" text="" dxfId="0">
      <formula>G59</formula>
    </cfRule>
  </conditionalFormatting>
  <conditionalFormatting sqref="K60">
    <cfRule type="cellIs" priority="242" operator="lessThanOrEqual" aboveAverage="0" equalAverage="0" bottom="0" percent="0" rank="0" text="" dxfId="0">
      <formula>G60</formula>
    </cfRule>
  </conditionalFormatting>
  <conditionalFormatting sqref="K61">
    <cfRule type="cellIs" priority="243" operator="lessThanOrEqual" aboveAverage="0" equalAverage="0" bottom="0" percent="0" rank="0" text="" dxfId="0">
      <formula>G61</formula>
    </cfRule>
  </conditionalFormatting>
  <conditionalFormatting sqref="K62">
    <cfRule type="cellIs" priority="244" operator="lessThanOrEqual" aboveAverage="0" equalAverage="0" bottom="0" percent="0" rank="0" text="" dxfId="0">
      <formula>G62</formula>
    </cfRule>
  </conditionalFormatting>
  <conditionalFormatting sqref="K63">
    <cfRule type="cellIs" priority="245" operator="lessThanOrEqual" aboveAverage="0" equalAverage="0" bottom="0" percent="0" rank="0" text="" dxfId="0">
      <formula>G63</formula>
    </cfRule>
  </conditionalFormatting>
  <conditionalFormatting sqref="K64">
    <cfRule type="cellIs" priority="246" operator="lessThanOrEqual" aboveAverage="0" equalAverage="0" bottom="0" percent="0" rank="0" text="" dxfId="0">
      <formula>G64</formula>
    </cfRule>
  </conditionalFormatting>
  <conditionalFormatting sqref="K65">
    <cfRule type="cellIs" priority="247" operator="lessThanOrEqual" aboveAverage="0" equalAverage="0" bottom="0" percent="0" rank="0" text="" dxfId="0">
      <formula>G65</formula>
    </cfRule>
  </conditionalFormatting>
  <conditionalFormatting sqref="K66">
    <cfRule type="cellIs" priority="248" operator="lessThanOrEqual" aboveAverage="0" equalAverage="0" bottom="0" percent="0" rank="0" text="" dxfId="0">
      <formula>G66</formula>
    </cfRule>
  </conditionalFormatting>
  <conditionalFormatting sqref="K67">
    <cfRule type="cellIs" priority="249" operator="lessThanOrEqual" aboveAverage="0" equalAverage="0" bottom="0" percent="0" rank="0" text="" dxfId="0">
      <formula>G67</formula>
    </cfRule>
  </conditionalFormatting>
  <conditionalFormatting sqref="K68">
    <cfRule type="cellIs" priority="250" operator="lessThanOrEqual" aboveAverage="0" equalAverage="0" bottom="0" percent="0" rank="0" text="" dxfId="0">
      <formula>G68</formula>
    </cfRule>
  </conditionalFormatting>
  <conditionalFormatting sqref="K69">
    <cfRule type="cellIs" priority="251" operator="lessThanOrEqual" aboveAverage="0" equalAverage="0" bottom="0" percent="0" rank="0" text="" dxfId="0">
      <formula>G69</formula>
    </cfRule>
  </conditionalFormatting>
  <conditionalFormatting sqref="K7">
    <cfRule type="cellIs" priority="252" operator="lessThanOrEqual" aboveAverage="0" equalAverage="0" bottom="0" percent="0" rank="0" text="" dxfId="0">
      <formula>G7</formula>
    </cfRule>
  </conditionalFormatting>
  <conditionalFormatting sqref="K71">
    <cfRule type="cellIs" priority="253" operator="lessThanOrEqual" aboveAverage="0" equalAverage="0" bottom="0" percent="0" rank="0" text="" dxfId="0">
      <formula>G71</formula>
    </cfRule>
  </conditionalFormatting>
  <conditionalFormatting sqref="K73">
    <cfRule type="cellIs" priority="254" operator="lessThanOrEqual" aboveAverage="0" equalAverage="0" bottom="0" percent="0" rank="0" text="" dxfId="0">
      <formula>G73</formula>
    </cfRule>
  </conditionalFormatting>
  <conditionalFormatting sqref="K74">
    <cfRule type="cellIs" priority="255" operator="lessThanOrEqual" aboveAverage="0" equalAverage="0" bottom="0" percent="0" rank="0" text="" dxfId="0">
      <formula>G74</formula>
    </cfRule>
  </conditionalFormatting>
  <conditionalFormatting sqref="K75">
    <cfRule type="cellIs" priority="256" operator="lessThanOrEqual" aboveAverage="0" equalAverage="0" bottom="0" percent="0" rank="0" text="" dxfId="0">
      <formula>G75</formula>
    </cfRule>
  </conditionalFormatting>
  <conditionalFormatting sqref="K76">
    <cfRule type="cellIs" priority="257" operator="lessThanOrEqual" aboveAverage="0" equalAverage="0" bottom="0" percent="0" rank="0" text="" dxfId="0">
      <formula>G76</formula>
    </cfRule>
  </conditionalFormatting>
  <conditionalFormatting sqref="K77">
    <cfRule type="cellIs" priority="258" operator="lessThanOrEqual" aboveAverage="0" equalAverage="0" bottom="0" percent="0" rank="0" text="" dxfId="0">
      <formula>G77</formula>
    </cfRule>
  </conditionalFormatting>
  <conditionalFormatting sqref="K78">
    <cfRule type="cellIs" priority="259" operator="lessThanOrEqual" aboveAverage="0" equalAverage="0" bottom="0" percent="0" rank="0" text="" dxfId="0">
      <formula>G78</formula>
    </cfRule>
  </conditionalFormatting>
  <conditionalFormatting sqref="K79">
    <cfRule type="cellIs" priority="260" operator="lessThanOrEqual" aboveAverage="0" equalAverage="0" bottom="0" percent="0" rank="0" text="" dxfId="0">
      <formula>G79</formula>
    </cfRule>
  </conditionalFormatting>
  <conditionalFormatting sqref="K8">
    <cfRule type="cellIs" priority="261" operator="lessThanOrEqual" aboveAverage="0" equalAverage="0" bottom="0" percent="0" rank="0" text="" dxfId="0">
      <formula>G8</formula>
    </cfRule>
  </conditionalFormatting>
  <conditionalFormatting sqref="K80">
    <cfRule type="cellIs" priority="262" operator="lessThanOrEqual" aboveAverage="0" equalAverage="0" bottom="0" percent="0" rank="0" text="" dxfId="0">
      <formula>G80</formula>
    </cfRule>
  </conditionalFormatting>
  <conditionalFormatting sqref="K82">
    <cfRule type="cellIs" priority="263" operator="lessThanOrEqual" aboveAverage="0" equalAverage="0" bottom="0" percent="0" rank="0" text="" dxfId="0">
      <formula>G82</formula>
    </cfRule>
  </conditionalFormatting>
  <conditionalFormatting sqref="K83">
    <cfRule type="cellIs" priority="264" operator="lessThanOrEqual" aboveAverage="0" equalAverage="0" bottom="0" percent="0" rank="0" text="" dxfId="0">
      <formula>G83</formula>
    </cfRule>
  </conditionalFormatting>
  <conditionalFormatting sqref="K85">
    <cfRule type="cellIs" priority="265" operator="lessThanOrEqual" aboveAverage="0" equalAverage="0" bottom="0" percent="0" rank="0" text="" dxfId="0">
      <formula>G85</formula>
    </cfRule>
  </conditionalFormatting>
  <conditionalFormatting sqref="K86">
    <cfRule type="cellIs" priority="266" operator="lessThanOrEqual" aboveAverage="0" equalAverage="0" bottom="0" percent="0" rank="0" text="" dxfId="0">
      <formula>G86</formula>
    </cfRule>
  </conditionalFormatting>
  <conditionalFormatting sqref="K87">
    <cfRule type="cellIs" priority="267" operator="lessThanOrEqual" aboveAverage="0" equalAverage="0" bottom="0" percent="0" rank="0" text="" dxfId="0">
      <formula>G87</formula>
    </cfRule>
  </conditionalFormatting>
  <conditionalFormatting sqref="K89">
    <cfRule type="cellIs" priority="268" operator="lessThanOrEqual" aboveAverage="0" equalAverage="0" bottom="0" percent="0" rank="0" text="" dxfId="0">
      <formula>G89</formula>
    </cfRule>
  </conditionalFormatting>
  <conditionalFormatting sqref="K9">
    <cfRule type="cellIs" priority="269" operator="lessThanOrEqual" aboveAverage="0" equalAverage="0" bottom="0" percent="0" rank="0" text="" dxfId="0">
      <formula>G9</formula>
    </cfRule>
  </conditionalFormatting>
  <conditionalFormatting sqref="K90">
    <cfRule type="cellIs" priority="270" operator="lessThanOrEqual" aboveAverage="0" equalAverage="0" bottom="0" percent="0" rank="0" text="" dxfId="0">
      <formula>G90</formula>
    </cfRule>
  </conditionalFormatting>
  <conditionalFormatting sqref="K93">
    <cfRule type="cellIs" priority="271" operator="lessThanOrEqual" aboveAverage="0" equalAverage="0" bottom="0" percent="0" rank="0" text="" dxfId="0">
      <formula>G93</formula>
    </cfRule>
  </conditionalFormatting>
  <conditionalFormatting sqref="K94">
    <cfRule type="cellIs" priority="272" operator="lessThanOrEqual" aboveAverage="0" equalAverage="0" bottom="0" percent="0" rank="0" text="" dxfId="0">
      <formula>G94</formula>
    </cfRule>
  </conditionalFormatting>
  <conditionalFormatting sqref="K95">
    <cfRule type="cellIs" priority="273" operator="lessThanOrEqual" aboveAverage="0" equalAverage="0" bottom="0" percent="0" rank="0" text="" dxfId="0">
      <formula>G95</formula>
    </cfRule>
  </conditionalFormatting>
  <conditionalFormatting sqref="K96">
    <cfRule type="cellIs" priority="274" operator="lessThanOrEqual" aboveAverage="0" equalAverage="0" bottom="0" percent="0" rank="0" text="" dxfId="0">
      <formula>G96</formula>
    </cfRule>
  </conditionalFormatting>
  <conditionalFormatting sqref="K97">
    <cfRule type="cellIs" priority="275" operator="lessThanOrEqual" aboveAverage="0" equalAverage="0" bottom="0" percent="0" rank="0" text="" dxfId="0">
      <formula>G97</formula>
    </cfRule>
  </conditionalFormatting>
  <conditionalFormatting sqref="P10">
    <cfRule type="cellIs" priority="276" operator="lessThanOrEqual" aboveAverage="0" equalAverage="0" bottom="0" percent="0" rank="0" text="" dxfId="0">
      <formula>F10</formula>
    </cfRule>
  </conditionalFormatting>
  <conditionalFormatting sqref="P100">
    <cfRule type="cellIs" priority="277" operator="lessThanOrEqual" aboveAverage="0" equalAverage="0" bottom="0" percent="0" rank="0" text="" dxfId="0">
      <formula>F100</formula>
    </cfRule>
  </conditionalFormatting>
  <conditionalFormatting sqref="P101">
    <cfRule type="cellIs" priority="278" operator="lessThanOrEqual" aboveAverage="0" equalAverage="0" bottom="0" percent="0" rank="0" text="" dxfId="0">
      <formula>F101</formula>
    </cfRule>
  </conditionalFormatting>
  <conditionalFormatting sqref="P102">
    <cfRule type="cellIs" priority="279" operator="lessThanOrEqual" aboveAverage="0" equalAverage="0" bottom="0" percent="0" rank="0" text="" dxfId="0">
      <formula>F102</formula>
    </cfRule>
  </conditionalFormatting>
  <conditionalFormatting sqref="P103">
    <cfRule type="cellIs" priority="280" operator="lessThanOrEqual" aboveAverage="0" equalAverage="0" bottom="0" percent="0" rank="0" text="" dxfId="0">
      <formula>F103</formula>
    </cfRule>
  </conditionalFormatting>
  <conditionalFormatting sqref="P104">
    <cfRule type="cellIs" priority="281" operator="lessThanOrEqual" aboveAverage="0" equalAverage="0" bottom="0" percent="0" rank="0" text="" dxfId="0">
      <formula>F104</formula>
    </cfRule>
  </conditionalFormatting>
  <conditionalFormatting sqref="P105">
    <cfRule type="cellIs" priority="282" operator="lessThanOrEqual" aboveAverage="0" equalAverage="0" bottom="0" percent="0" rank="0" text="" dxfId="0">
      <formula>F105</formula>
    </cfRule>
  </conditionalFormatting>
  <conditionalFormatting sqref="P106">
    <cfRule type="cellIs" priority="283" operator="lessThanOrEqual" aboveAverage="0" equalAverage="0" bottom="0" percent="0" rank="0" text="" dxfId="0">
      <formula>F106</formula>
    </cfRule>
  </conditionalFormatting>
  <conditionalFormatting sqref="P107">
    <cfRule type="cellIs" priority="284" operator="lessThanOrEqual" aboveAverage="0" equalAverage="0" bottom="0" percent="0" rank="0" text="" dxfId="0">
      <formula>F107</formula>
    </cfRule>
  </conditionalFormatting>
  <conditionalFormatting sqref="P108">
    <cfRule type="cellIs" priority="285" operator="lessThanOrEqual" aboveAverage="0" equalAverage="0" bottom="0" percent="0" rank="0" text="" dxfId="0">
      <formula>F108</formula>
    </cfRule>
  </conditionalFormatting>
  <conditionalFormatting sqref="P109">
    <cfRule type="cellIs" priority="286" operator="lessThanOrEqual" aboveAverage="0" equalAverage="0" bottom="0" percent="0" rank="0" text="" dxfId="0">
      <formula>F109</formula>
    </cfRule>
  </conditionalFormatting>
  <conditionalFormatting sqref="P11">
    <cfRule type="cellIs" priority="287" operator="lessThanOrEqual" aboveAverage="0" equalAverage="0" bottom="0" percent="0" rank="0" text="" dxfId="0">
      <formula>F11</formula>
    </cfRule>
  </conditionalFormatting>
  <conditionalFormatting sqref="P110">
    <cfRule type="cellIs" priority="288" operator="lessThanOrEqual" aboveAverage="0" equalAverage="0" bottom="0" percent="0" rank="0" text="" dxfId="0">
      <formula>F110</formula>
    </cfRule>
  </conditionalFormatting>
  <conditionalFormatting sqref="P111">
    <cfRule type="cellIs" priority="289" operator="lessThanOrEqual" aboveAverage="0" equalAverage="0" bottom="0" percent="0" rank="0" text="" dxfId="0">
      <formula>F111</formula>
    </cfRule>
  </conditionalFormatting>
  <conditionalFormatting sqref="P112">
    <cfRule type="cellIs" priority="290" operator="lessThanOrEqual" aboveAverage="0" equalAverage="0" bottom="0" percent="0" rank="0" text="" dxfId="0">
      <formula>F112</formula>
    </cfRule>
  </conditionalFormatting>
  <conditionalFormatting sqref="P113">
    <cfRule type="cellIs" priority="291" operator="lessThanOrEqual" aboveAverage="0" equalAverage="0" bottom="0" percent="0" rank="0" text="" dxfId="0">
      <formula>F113</formula>
    </cfRule>
  </conditionalFormatting>
  <conditionalFormatting sqref="P114">
    <cfRule type="cellIs" priority="292" operator="lessThanOrEqual" aboveAverage="0" equalAverage="0" bottom="0" percent="0" rank="0" text="" dxfId="0">
      <formula>F114</formula>
    </cfRule>
  </conditionalFormatting>
  <conditionalFormatting sqref="P115">
    <cfRule type="cellIs" priority="293" operator="lessThanOrEqual" aboveAverage="0" equalAverage="0" bottom="0" percent="0" rank="0" text="" dxfId="0">
      <formula>F115</formula>
    </cfRule>
  </conditionalFormatting>
  <conditionalFormatting sqref="P116">
    <cfRule type="cellIs" priority="294" operator="lessThanOrEqual" aboveAverage="0" equalAverage="0" bottom="0" percent="0" rank="0" text="" dxfId="0">
      <formula>F116</formula>
    </cfRule>
  </conditionalFormatting>
  <conditionalFormatting sqref="P117">
    <cfRule type="cellIs" priority="295" operator="lessThanOrEqual" aboveAverage="0" equalAverage="0" bottom="0" percent="0" rank="0" text="" dxfId="0">
      <formula>F117</formula>
    </cfRule>
  </conditionalFormatting>
  <conditionalFormatting sqref="P118">
    <cfRule type="cellIs" priority="296" operator="lessThanOrEqual" aboveAverage="0" equalAverage="0" bottom="0" percent="0" rank="0" text="" dxfId="0">
      <formula>F118</formula>
    </cfRule>
  </conditionalFormatting>
  <conditionalFormatting sqref="P119">
    <cfRule type="cellIs" priority="297" operator="lessThanOrEqual" aboveAverage="0" equalAverage="0" bottom="0" percent="0" rank="0" text="" dxfId="0">
      <formula>F119</formula>
    </cfRule>
  </conditionalFormatting>
  <conditionalFormatting sqref="P12">
    <cfRule type="cellIs" priority="298" operator="lessThanOrEqual" aboveAverage="0" equalAverage="0" bottom="0" percent="0" rank="0" text="" dxfId="0">
      <formula>F12</formula>
    </cfRule>
  </conditionalFormatting>
  <conditionalFormatting sqref="P122">
    <cfRule type="cellIs" priority="299" operator="lessThanOrEqual" aboveAverage="0" equalAverage="0" bottom="0" percent="0" rank="0" text="" dxfId="0">
      <formula>F122</formula>
    </cfRule>
  </conditionalFormatting>
  <conditionalFormatting sqref="P123">
    <cfRule type="cellIs" priority="300" operator="lessThanOrEqual" aboveAverage="0" equalAverage="0" bottom="0" percent="0" rank="0" text="" dxfId="0">
      <formula>F123</formula>
    </cfRule>
  </conditionalFormatting>
  <conditionalFormatting sqref="P125">
    <cfRule type="cellIs" priority="301" operator="lessThanOrEqual" aboveAverage="0" equalAverage="0" bottom="0" percent="0" rank="0" text="" dxfId="0">
      <formula>F125</formula>
    </cfRule>
  </conditionalFormatting>
  <conditionalFormatting sqref="P126">
    <cfRule type="cellIs" priority="302" operator="lessThanOrEqual" aboveAverage="0" equalAverage="0" bottom="0" percent="0" rank="0" text="" dxfId="0">
      <formula>F126</formula>
    </cfRule>
  </conditionalFormatting>
  <conditionalFormatting sqref="P127">
    <cfRule type="cellIs" priority="303" operator="lessThanOrEqual" aboveAverage="0" equalAverage="0" bottom="0" percent="0" rank="0" text="" dxfId="0">
      <formula>F127</formula>
    </cfRule>
  </conditionalFormatting>
  <conditionalFormatting sqref="P129">
    <cfRule type="cellIs" priority="304" operator="lessThanOrEqual" aboveAverage="0" equalAverage="0" bottom="0" percent="0" rank="0" text="" dxfId="0">
      <formula>F129</formula>
    </cfRule>
  </conditionalFormatting>
  <conditionalFormatting sqref="P13">
    <cfRule type="cellIs" priority="305" operator="lessThanOrEqual" aboveAverage="0" equalAverage="0" bottom="0" percent="0" rank="0" text="" dxfId="0">
      <formula>F13</formula>
    </cfRule>
  </conditionalFormatting>
  <conditionalFormatting sqref="P130">
    <cfRule type="cellIs" priority="306" operator="lessThanOrEqual" aboveAverage="0" equalAverage="0" bottom="0" percent="0" rank="0" text="" dxfId="0">
      <formula>F130</formula>
    </cfRule>
  </conditionalFormatting>
  <conditionalFormatting sqref="P131">
    <cfRule type="cellIs" priority="307" operator="lessThanOrEqual" aboveAverage="0" equalAverage="0" bottom="0" percent="0" rank="0" text="" dxfId="0">
      <formula>F131</formula>
    </cfRule>
  </conditionalFormatting>
  <conditionalFormatting sqref="P132">
    <cfRule type="cellIs" priority="308" operator="lessThanOrEqual" aboveAverage="0" equalAverage="0" bottom="0" percent="0" rank="0" text="" dxfId="0">
      <formula>F132</formula>
    </cfRule>
  </conditionalFormatting>
  <conditionalFormatting sqref="P134">
    <cfRule type="cellIs" priority="309" operator="lessThanOrEqual" aboveAverage="0" equalAverage="0" bottom="0" percent="0" rank="0" text="" dxfId="0">
      <formula>F134</formula>
    </cfRule>
  </conditionalFormatting>
  <conditionalFormatting sqref="P135">
    <cfRule type="cellIs" priority="310" operator="lessThanOrEqual" aboveAverage="0" equalAverage="0" bottom="0" percent="0" rank="0" text="" dxfId="0">
      <formula>F135</formula>
    </cfRule>
  </conditionalFormatting>
  <conditionalFormatting sqref="P136">
    <cfRule type="cellIs" priority="311" operator="lessThanOrEqual" aboveAverage="0" equalAverage="0" bottom="0" percent="0" rank="0" text="" dxfId="0">
      <formula>F136</formula>
    </cfRule>
  </conditionalFormatting>
  <conditionalFormatting sqref="P137">
    <cfRule type="cellIs" priority="312" operator="lessThanOrEqual" aboveAverage="0" equalAverage="0" bottom="0" percent="0" rank="0" text="" dxfId="0">
      <formula>F137</formula>
    </cfRule>
  </conditionalFormatting>
  <conditionalFormatting sqref="P138">
    <cfRule type="cellIs" priority="313" operator="lessThanOrEqual" aboveAverage="0" equalAverage="0" bottom="0" percent="0" rank="0" text="" dxfId="0">
      <formula>F138</formula>
    </cfRule>
  </conditionalFormatting>
  <conditionalFormatting sqref="P139">
    <cfRule type="cellIs" priority="314" operator="lessThanOrEqual" aboveAverage="0" equalAverage="0" bottom="0" percent="0" rank="0" text="" dxfId="0">
      <formula>F139</formula>
    </cfRule>
  </conditionalFormatting>
  <conditionalFormatting sqref="P14">
    <cfRule type="cellIs" priority="315" operator="lessThanOrEqual" aboveAverage="0" equalAverage="0" bottom="0" percent="0" rank="0" text="" dxfId="0">
      <formula>F14</formula>
    </cfRule>
  </conditionalFormatting>
  <conditionalFormatting sqref="P140">
    <cfRule type="cellIs" priority="316" operator="lessThanOrEqual" aboveAverage="0" equalAverage="0" bottom="0" percent="0" rank="0" text="" dxfId="0">
      <formula>F140</formula>
    </cfRule>
  </conditionalFormatting>
  <conditionalFormatting sqref="P141">
    <cfRule type="cellIs" priority="317" operator="lessThanOrEqual" aboveAverage="0" equalAverage="0" bottom="0" percent="0" rank="0" text="" dxfId="0">
      <formula>F141</formula>
    </cfRule>
  </conditionalFormatting>
  <conditionalFormatting sqref="P142">
    <cfRule type="cellIs" priority="318" operator="lessThanOrEqual" aboveAverage="0" equalAverage="0" bottom="0" percent="0" rank="0" text="" dxfId="0">
      <formula>F142</formula>
    </cfRule>
  </conditionalFormatting>
  <conditionalFormatting sqref="P143">
    <cfRule type="cellIs" priority="319" operator="lessThanOrEqual" aboveAverage="0" equalAverage="0" bottom="0" percent="0" rank="0" text="" dxfId="0">
      <formula>F143</formula>
    </cfRule>
  </conditionalFormatting>
  <conditionalFormatting sqref="P144">
    <cfRule type="cellIs" priority="320" operator="lessThanOrEqual" aboveAverage="0" equalAverage="0" bottom="0" percent="0" rank="0" text="" dxfId="0">
      <formula>F144</formula>
    </cfRule>
  </conditionalFormatting>
  <conditionalFormatting sqref="P145">
    <cfRule type="cellIs" priority="321" operator="lessThanOrEqual" aboveAverage="0" equalAverage="0" bottom="0" percent="0" rank="0" text="" dxfId="0">
      <formula>F145</formula>
    </cfRule>
  </conditionalFormatting>
  <conditionalFormatting sqref="P146">
    <cfRule type="cellIs" priority="322" operator="lessThanOrEqual" aboveAverage="0" equalAverage="0" bottom="0" percent="0" rank="0" text="" dxfId="0">
      <formula>F146</formula>
    </cfRule>
  </conditionalFormatting>
  <conditionalFormatting sqref="P147">
    <cfRule type="cellIs" priority="323" operator="lessThanOrEqual" aboveAverage="0" equalAverage="0" bottom="0" percent="0" rank="0" text="" dxfId="0">
      <formula>F147</formula>
    </cfRule>
  </conditionalFormatting>
  <conditionalFormatting sqref="P149">
    <cfRule type="cellIs" priority="324" operator="lessThanOrEqual" aboveAverage="0" equalAverage="0" bottom="0" percent="0" rank="0" text="" dxfId="0">
      <formula>F149</formula>
    </cfRule>
  </conditionalFormatting>
  <conditionalFormatting sqref="P15">
    <cfRule type="cellIs" priority="325" operator="lessThanOrEqual" aboveAverage="0" equalAverage="0" bottom="0" percent="0" rank="0" text="" dxfId="0">
      <formula>F15</formula>
    </cfRule>
  </conditionalFormatting>
  <conditionalFormatting sqref="P150">
    <cfRule type="cellIs" priority="326" operator="lessThanOrEqual" aboveAverage="0" equalAverage="0" bottom="0" percent="0" rank="0" text="" dxfId="0">
      <formula>F150</formula>
    </cfRule>
  </conditionalFormatting>
  <conditionalFormatting sqref="P151">
    <cfRule type="cellIs" priority="327" operator="lessThanOrEqual" aboveAverage="0" equalAverage="0" bottom="0" percent="0" rank="0" text="" dxfId="0">
      <formula>F151</formula>
    </cfRule>
  </conditionalFormatting>
  <conditionalFormatting sqref="P152">
    <cfRule type="cellIs" priority="328" operator="lessThanOrEqual" aboveAverage="0" equalAverage="0" bottom="0" percent="0" rank="0" text="" dxfId="0">
      <formula>F152</formula>
    </cfRule>
  </conditionalFormatting>
  <conditionalFormatting sqref="P153">
    <cfRule type="cellIs" priority="329" operator="lessThanOrEqual" aboveAverage="0" equalAverage="0" bottom="0" percent="0" rank="0" text="" dxfId="0">
      <formula>F153</formula>
    </cfRule>
  </conditionalFormatting>
  <conditionalFormatting sqref="P154">
    <cfRule type="cellIs" priority="330" operator="lessThanOrEqual" aboveAverage="0" equalAverage="0" bottom="0" percent="0" rank="0" text="" dxfId="0">
      <formula>F154</formula>
    </cfRule>
  </conditionalFormatting>
  <conditionalFormatting sqref="P155">
    <cfRule type="cellIs" priority="331" operator="lessThanOrEqual" aboveAverage="0" equalAverage="0" bottom="0" percent="0" rank="0" text="" dxfId="0">
      <formula>F155</formula>
    </cfRule>
  </conditionalFormatting>
  <conditionalFormatting sqref="P156">
    <cfRule type="cellIs" priority="332" operator="lessThanOrEqual" aboveAverage="0" equalAverage="0" bottom="0" percent="0" rank="0" text="" dxfId="0">
      <formula>F156</formula>
    </cfRule>
  </conditionalFormatting>
  <conditionalFormatting sqref="P157">
    <cfRule type="cellIs" priority="333" operator="lessThanOrEqual" aboveAverage="0" equalAverage="0" bottom="0" percent="0" rank="0" text="" dxfId="0">
      <formula>F157</formula>
    </cfRule>
  </conditionalFormatting>
  <conditionalFormatting sqref="P158">
    <cfRule type="cellIs" priority="334" operator="lessThanOrEqual" aboveAverage="0" equalAverage="0" bottom="0" percent="0" rank="0" text="" dxfId="0">
      <formula>F158</formula>
    </cfRule>
  </conditionalFormatting>
  <conditionalFormatting sqref="P16">
    <cfRule type="cellIs" priority="335" operator="lessThanOrEqual" aboveAverage="0" equalAverage="0" bottom="0" percent="0" rank="0" text="" dxfId="0">
      <formula>F16</formula>
    </cfRule>
  </conditionalFormatting>
  <conditionalFormatting sqref="P160">
    <cfRule type="cellIs" priority="336" operator="lessThanOrEqual" aboveAverage="0" equalAverage="0" bottom="0" percent="0" rank="0" text="" dxfId="0">
      <formula>F160</formula>
    </cfRule>
  </conditionalFormatting>
  <conditionalFormatting sqref="P161">
    <cfRule type="cellIs" priority="337" operator="lessThanOrEqual" aboveAverage="0" equalAverage="0" bottom="0" percent="0" rank="0" text="" dxfId="0">
      <formula>F161</formula>
    </cfRule>
  </conditionalFormatting>
  <conditionalFormatting sqref="P162">
    <cfRule type="cellIs" priority="338" operator="lessThanOrEqual" aboveAverage="0" equalAverage="0" bottom="0" percent="0" rank="0" text="" dxfId="0">
      <formula>F162</formula>
    </cfRule>
  </conditionalFormatting>
  <conditionalFormatting sqref="P164">
    <cfRule type="cellIs" priority="339" operator="lessThanOrEqual" aboveAverage="0" equalAverage="0" bottom="0" percent="0" rank="0" text="" dxfId="0">
      <formula>F164</formula>
    </cfRule>
  </conditionalFormatting>
  <conditionalFormatting sqref="P165">
    <cfRule type="cellIs" priority="340" operator="lessThanOrEqual" aboveAverage="0" equalAverage="0" bottom="0" percent="0" rank="0" text="" dxfId="0">
      <formula>F165</formula>
    </cfRule>
  </conditionalFormatting>
  <conditionalFormatting sqref="P166">
    <cfRule type="cellIs" priority="341" operator="lessThanOrEqual" aboveAverage="0" equalAverage="0" bottom="0" percent="0" rank="0" text="" dxfId="0">
      <formula>F166</formula>
    </cfRule>
  </conditionalFormatting>
  <conditionalFormatting sqref="P167">
    <cfRule type="cellIs" priority="342" operator="lessThanOrEqual" aboveAverage="0" equalAverage="0" bottom="0" percent="0" rank="0" text="" dxfId="0">
      <formula>F167</formula>
    </cfRule>
  </conditionalFormatting>
  <conditionalFormatting sqref="P17">
    <cfRule type="cellIs" priority="343" operator="lessThanOrEqual" aboveAverage="0" equalAverage="0" bottom="0" percent="0" rank="0" text="" dxfId="0">
      <formula>F17</formula>
    </cfRule>
  </conditionalFormatting>
  <conditionalFormatting sqref="P18">
    <cfRule type="cellIs" priority="344" operator="lessThanOrEqual" aboveAverage="0" equalAverage="0" bottom="0" percent="0" rank="0" text="" dxfId="0">
      <formula>F18</formula>
    </cfRule>
  </conditionalFormatting>
  <conditionalFormatting sqref="P19">
    <cfRule type="cellIs" priority="345" operator="lessThanOrEqual" aboveAverage="0" equalAverage="0" bottom="0" percent="0" rank="0" text="" dxfId="0">
      <formula>F19</formula>
    </cfRule>
  </conditionalFormatting>
  <conditionalFormatting sqref="P20">
    <cfRule type="cellIs" priority="346" operator="lessThanOrEqual" aboveAverage="0" equalAverage="0" bottom="0" percent="0" rank="0" text="" dxfId="0">
      <formula>F20</formula>
    </cfRule>
  </conditionalFormatting>
  <conditionalFormatting sqref="P21">
    <cfRule type="cellIs" priority="347" operator="lessThanOrEqual" aboveAverage="0" equalAverage="0" bottom="0" percent="0" rank="0" text="" dxfId="0">
      <formula>F21</formula>
    </cfRule>
  </conditionalFormatting>
  <conditionalFormatting sqref="P22">
    <cfRule type="cellIs" priority="348" operator="lessThanOrEqual" aboveAverage="0" equalAverage="0" bottom="0" percent="0" rank="0" text="" dxfId="0">
      <formula>F22</formula>
    </cfRule>
  </conditionalFormatting>
  <conditionalFormatting sqref="P23">
    <cfRule type="cellIs" priority="349" operator="lessThanOrEqual" aboveAverage="0" equalAverage="0" bottom="0" percent="0" rank="0" text="" dxfId="0">
      <formula>F23</formula>
    </cfRule>
  </conditionalFormatting>
  <conditionalFormatting sqref="P24">
    <cfRule type="cellIs" priority="350" operator="lessThanOrEqual" aboveAverage="0" equalAverage="0" bottom="0" percent="0" rank="0" text="" dxfId="0">
      <formula>F24</formula>
    </cfRule>
  </conditionalFormatting>
  <conditionalFormatting sqref="P28">
    <cfRule type="cellIs" priority="351" operator="lessThanOrEqual" aboveAverage="0" equalAverage="0" bottom="0" percent="0" rank="0" text="" dxfId="0">
      <formula>F28</formula>
    </cfRule>
  </conditionalFormatting>
  <conditionalFormatting sqref="P29">
    <cfRule type="cellIs" priority="352" operator="lessThanOrEqual" aboveAverage="0" equalAverage="0" bottom="0" percent="0" rank="0" text="" dxfId="0">
      <formula>F29</formula>
    </cfRule>
  </conditionalFormatting>
  <conditionalFormatting sqref="P30">
    <cfRule type="cellIs" priority="353" operator="lessThanOrEqual" aboveAverage="0" equalAverage="0" bottom="0" percent="0" rank="0" text="" dxfId="0">
      <formula>F30</formula>
    </cfRule>
  </conditionalFormatting>
  <conditionalFormatting sqref="P31">
    <cfRule type="cellIs" priority="354" operator="lessThanOrEqual" aboveAverage="0" equalAverage="0" bottom="0" percent="0" rank="0" text="" dxfId="0">
      <formula>F31</formula>
    </cfRule>
  </conditionalFormatting>
  <conditionalFormatting sqref="P32">
    <cfRule type="cellIs" priority="355" operator="lessThanOrEqual" aboveAverage="0" equalAverage="0" bottom="0" percent="0" rank="0" text="" dxfId="0">
      <formula>F32</formula>
    </cfRule>
  </conditionalFormatting>
  <conditionalFormatting sqref="P33">
    <cfRule type="cellIs" priority="356" operator="lessThanOrEqual" aboveAverage="0" equalAverage="0" bottom="0" percent="0" rank="0" text="" dxfId="0">
      <formula>F33</formula>
    </cfRule>
  </conditionalFormatting>
  <conditionalFormatting sqref="P35">
    <cfRule type="cellIs" priority="357" operator="lessThanOrEqual" aboveAverage="0" equalAverage="0" bottom="0" percent="0" rank="0" text="" dxfId="0">
      <formula>F35</formula>
    </cfRule>
  </conditionalFormatting>
  <conditionalFormatting sqref="P36">
    <cfRule type="cellIs" priority="358" operator="lessThanOrEqual" aboveAverage="0" equalAverage="0" bottom="0" percent="0" rank="0" text="" dxfId="0">
      <formula>F36</formula>
    </cfRule>
  </conditionalFormatting>
  <conditionalFormatting sqref="P38">
    <cfRule type="cellIs" priority="359" operator="lessThanOrEqual" aboveAverage="0" equalAverage="0" bottom="0" percent="0" rank="0" text="" dxfId="0">
      <formula>F38</formula>
    </cfRule>
  </conditionalFormatting>
  <conditionalFormatting sqref="P39">
    <cfRule type="cellIs" priority="360" operator="lessThanOrEqual" aboveAverage="0" equalAverage="0" bottom="0" percent="0" rank="0" text="" dxfId="0">
      <formula>F39</formula>
    </cfRule>
  </conditionalFormatting>
  <conditionalFormatting sqref="P40">
    <cfRule type="cellIs" priority="361" operator="lessThanOrEqual" aboveAverage="0" equalAverage="0" bottom="0" percent="0" rank="0" text="" dxfId="0">
      <formula>F40</formula>
    </cfRule>
  </conditionalFormatting>
  <conditionalFormatting sqref="P41">
    <cfRule type="cellIs" priority="362" operator="lessThanOrEqual" aboveAverage="0" equalAverage="0" bottom="0" percent="0" rank="0" text="" dxfId="0">
      <formula>F41</formula>
    </cfRule>
  </conditionalFormatting>
  <conditionalFormatting sqref="P43">
    <cfRule type="cellIs" priority="363" operator="lessThanOrEqual" aboveAverage="0" equalAverage="0" bottom="0" percent="0" rank="0" text="" dxfId="0">
      <formula>F43</formula>
    </cfRule>
  </conditionalFormatting>
  <conditionalFormatting sqref="P45">
    <cfRule type="cellIs" priority="364" operator="lessThanOrEqual" aboveAverage="0" equalAverage="0" bottom="0" percent="0" rank="0" text="" dxfId="0">
      <formula>F45</formula>
    </cfRule>
  </conditionalFormatting>
  <conditionalFormatting sqref="P46">
    <cfRule type="cellIs" priority="365" operator="lessThanOrEqual" aboveAverage="0" equalAverage="0" bottom="0" percent="0" rank="0" text="" dxfId="0">
      <formula>F46</formula>
    </cfRule>
  </conditionalFormatting>
  <conditionalFormatting sqref="P47">
    <cfRule type="cellIs" priority="366" operator="lessThanOrEqual" aboveAverage="0" equalAverage="0" bottom="0" percent="0" rank="0" text="" dxfId="0">
      <formula>F47</formula>
    </cfRule>
  </conditionalFormatting>
  <conditionalFormatting sqref="P49">
    <cfRule type="cellIs" priority="367" operator="lessThanOrEqual" aboveAverage="0" equalAverage="0" bottom="0" percent="0" rank="0" text="" dxfId="0">
      <formula>F49</formula>
    </cfRule>
  </conditionalFormatting>
  <conditionalFormatting sqref="P50">
    <cfRule type="cellIs" priority="368" operator="lessThanOrEqual" aboveAverage="0" equalAverage="0" bottom="0" percent="0" rank="0" text="" dxfId="0">
      <formula>F50</formula>
    </cfRule>
  </conditionalFormatting>
  <conditionalFormatting sqref="P51">
    <cfRule type="cellIs" priority="369" operator="lessThanOrEqual" aboveAverage="0" equalAverage="0" bottom="0" percent="0" rank="0" text="" dxfId="0">
      <formula>F51</formula>
    </cfRule>
  </conditionalFormatting>
  <conditionalFormatting sqref="P52">
    <cfRule type="cellIs" priority="370" operator="lessThanOrEqual" aboveAverage="0" equalAverage="0" bottom="0" percent="0" rank="0" text="" dxfId="0">
      <formula>F52</formula>
    </cfRule>
  </conditionalFormatting>
  <conditionalFormatting sqref="P53">
    <cfRule type="cellIs" priority="371" operator="lessThanOrEqual" aboveAverage="0" equalAverage="0" bottom="0" percent="0" rank="0" text="" dxfId="0">
      <formula>F53</formula>
    </cfRule>
  </conditionalFormatting>
  <conditionalFormatting sqref="P54">
    <cfRule type="cellIs" priority="372" operator="lessThanOrEqual" aboveAverage="0" equalAverage="0" bottom="0" percent="0" rank="0" text="" dxfId="0">
      <formula>F54</formula>
    </cfRule>
  </conditionalFormatting>
  <conditionalFormatting sqref="P55">
    <cfRule type="cellIs" priority="373" operator="lessThanOrEqual" aboveAverage="0" equalAverage="0" bottom="0" percent="0" rank="0" text="" dxfId="0">
      <formula>F55</formula>
    </cfRule>
  </conditionalFormatting>
  <conditionalFormatting sqref="P56">
    <cfRule type="cellIs" priority="374" operator="lessThanOrEqual" aboveAverage="0" equalAverage="0" bottom="0" percent="0" rank="0" text="" dxfId="0">
      <formula>F56</formula>
    </cfRule>
  </conditionalFormatting>
  <conditionalFormatting sqref="P57">
    <cfRule type="cellIs" priority="375" operator="lessThanOrEqual" aboveAverage="0" equalAverage="0" bottom="0" percent="0" rank="0" text="" dxfId="0">
      <formula>F57</formula>
    </cfRule>
  </conditionalFormatting>
  <conditionalFormatting sqref="P58">
    <cfRule type="cellIs" priority="376" operator="lessThanOrEqual" aboveAverage="0" equalAverage="0" bottom="0" percent="0" rank="0" text="" dxfId="0">
      <formula>F58</formula>
    </cfRule>
  </conditionalFormatting>
  <conditionalFormatting sqref="P59">
    <cfRule type="cellIs" priority="377" operator="lessThanOrEqual" aboveAverage="0" equalAverage="0" bottom="0" percent="0" rank="0" text="" dxfId="0">
      <formula>F59</formula>
    </cfRule>
  </conditionalFormatting>
  <conditionalFormatting sqref="P60">
    <cfRule type="cellIs" priority="378" operator="lessThanOrEqual" aboveAverage="0" equalAverage="0" bottom="0" percent="0" rank="0" text="" dxfId="0">
      <formula>F60</formula>
    </cfRule>
  </conditionalFormatting>
  <conditionalFormatting sqref="P61">
    <cfRule type="cellIs" priority="379" operator="lessThanOrEqual" aboveAverage="0" equalAverage="0" bottom="0" percent="0" rank="0" text="" dxfId="0">
      <formula>F61</formula>
    </cfRule>
  </conditionalFormatting>
  <conditionalFormatting sqref="P62">
    <cfRule type="cellIs" priority="380" operator="lessThanOrEqual" aboveAverage="0" equalAverage="0" bottom="0" percent="0" rank="0" text="" dxfId="0">
      <formula>F62</formula>
    </cfRule>
  </conditionalFormatting>
  <conditionalFormatting sqref="P63">
    <cfRule type="cellIs" priority="381" operator="lessThanOrEqual" aboveAverage="0" equalAverage="0" bottom="0" percent="0" rank="0" text="" dxfId="0">
      <formula>F63</formula>
    </cfRule>
  </conditionalFormatting>
  <conditionalFormatting sqref="P64">
    <cfRule type="cellIs" priority="382" operator="lessThanOrEqual" aboveAverage="0" equalAverage="0" bottom="0" percent="0" rank="0" text="" dxfId="0">
      <formula>F64</formula>
    </cfRule>
  </conditionalFormatting>
  <conditionalFormatting sqref="P65">
    <cfRule type="cellIs" priority="383" operator="lessThanOrEqual" aboveAverage="0" equalAverage="0" bottom="0" percent="0" rank="0" text="" dxfId="0">
      <formula>F65</formula>
    </cfRule>
  </conditionalFormatting>
  <conditionalFormatting sqref="P66">
    <cfRule type="cellIs" priority="384" operator="lessThanOrEqual" aboveAverage="0" equalAverage="0" bottom="0" percent="0" rank="0" text="" dxfId="0">
      <formula>F66</formula>
    </cfRule>
  </conditionalFormatting>
  <conditionalFormatting sqref="P67">
    <cfRule type="cellIs" priority="385" operator="lessThanOrEqual" aboveAverage="0" equalAverage="0" bottom="0" percent="0" rank="0" text="" dxfId="0">
      <formula>F67</formula>
    </cfRule>
  </conditionalFormatting>
  <conditionalFormatting sqref="P68">
    <cfRule type="cellIs" priority="386" operator="lessThanOrEqual" aboveAverage="0" equalAverage="0" bottom="0" percent="0" rank="0" text="" dxfId="0">
      <formula>F68</formula>
    </cfRule>
  </conditionalFormatting>
  <conditionalFormatting sqref="P69">
    <cfRule type="cellIs" priority="387" operator="lessThanOrEqual" aboveAverage="0" equalAverage="0" bottom="0" percent="0" rank="0" text="" dxfId="0">
      <formula>F69</formula>
    </cfRule>
  </conditionalFormatting>
  <conditionalFormatting sqref="P7">
    <cfRule type="cellIs" priority="388" operator="lessThanOrEqual" aboveAverage="0" equalAverage="0" bottom="0" percent="0" rank="0" text="" dxfId="0">
      <formula>F7</formula>
    </cfRule>
  </conditionalFormatting>
  <conditionalFormatting sqref="P71">
    <cfRule type="cellIs" priority="389" operator="lessThanOrEqual" aboveAverage="0" equalAverage="0" bottom="0" percent="0" rank="0" text="" dxfId="0">
      <formula>F71</formula>
    </cfRule>
  </conditionalFormatting>
  <conditionalFormatting sqref="P72">
    <cfRule type="cellIs" priority="390" operator="lessThanOrEqual" aboveAverage="0" equalAverage="0" bottom="0" percent="0" rank="0" text="" dxfId="0">
      <formula>F72</formula>
    </cfRule>
  </conditionalFormatting>
  <conditionalFormatting sqref="P73">
    <cfRule type="cellIs" priority="391" operator="lessThanOrEqual" aboveAverage="0" equalAverage="0" bottom="0" percent="0" rank="0" text="" dxfId="0">
      <formula>F73</formula>
    </cfRule>
  </conditionalFormatting>
  <conditionalFormatting sqref="P74">
    <cfRule type="cellIs" priority="392" operator="lessThanOrEqual" aboveAverage="0" equalAverage="0" bottom="0" percent="0" rank="0" text="" dxfId="0">
      <formula>F74</formula>
    </cfRule>
  </conditionalFormatting>
  <conditionalFormatting sqref="P75">
    <cfRule type="cellIs" priority="393" operator="lessThanOrEqual" aboveAverage="0" equalAverage="0" bottom="0" percent="0" rank="0" text="" dxfId="0">
      <formula>F75</formula>
    </cfRule>
  </conditionalFormatting>
  <conditionalFormatting sqref="P76">
    <cfRule type="cellIs" priority="394" operator="lessThanOrEqual" aboveAverage="0" equalAverage="0" bottom="0" percent="0" rank="0" text="" dxfId="0">
      <formula>F76</formula>
    </cfRule>
  </conditionalFormatting>
  <conditionalFormatting sqref="P77">
    <cfRule type="cellIs" priority="395" operator="lessThanOrEqual" aboveAverage="0" equalAverage="0" bottom="0" percent="0" rank="0" text="" dxfId="0">
      <formula>F77</formula>
    </cfRule>
  </conditionalFormatting>
  <conditionalFormatting sqref="P78">
    <cfRule type="cellIs" priority="396" operator="lessThanOrEqual" aboveAverage="0" equalAverage="0" bottom="0" percent="0" rank="0" text="" dxfId="0">
      <formula>F78</formula>
    </cfRule>
  </conditionalFormatting>
  <conditionalFormatting sqref="P79">
    <cfRule type="cellIs" priority="397" operator="lessThanOrEqual" aboveAverage="0" equalAverage="0" bottom="0" percent="0" rank="0" text="" dxfId="0">
      <formula>F79</formula>
    </cfRule>
  </conditionalFormatting>
  <conditionalFormatting sqref="P80">
    <cfRule type="cellIs" priority="398" operator="lessThanOrEqual" aboveAverage="0" equalAverage="0" bottom="0" percent="0" rank="0" text="" dxfId="0">
      <formula>F80</formula>
    </cfRule>
  </conditionalFormatting>
  <conditionalFormatting sqref="P82">
    <cfRule type="cellIs" priority="399" operator="lessThanOrEqual" aboveAverage="0" equalAverage="0" bottom="0" percent="0" rank="0" text="" dxfId="0">
      <formula>F82</formula>
    </cfRule>
  </conditionalFormatting>
  <conditionalFormatting sqref="P83">
    <cfRule type="cellIs" priority="400" operator="lessThanOrEqual" aboveAverage="0" equalAverage="0" bottom="0" percent="0" rank="0" text="" dxfId="0">
      <formula>F83</formula>
    </cfRule>
  </conditionalFormatting>
  <conditionalFormatting sqref="P85">
    <cfRule type="cellIs" priority="401" operator="lessThanOrEqual" aboveAverage="0" equalAverage="0" bottom="0" percent="0" rank="0" text="" dxfId="0">
      <formula>F85</formula>
    </cfRule>
  </conditionalFormatting>
  <conditionalFormatting sqref="P86">
    <cfRule type="cellIs" priority="402" operator="lessThanOrEqual" aboveAverage="0" equalAverage="0" bottom="0" percent="0" rank="0" text="" dxfId="0">
      <formula>F86</formula>
    </cfRule>
  </conditionalFormatting>
  <conditionalFormatting sqref="P87">
    <cfRule type="cellIs" priority="403" operator="lessThanOrEqual" aboveAverage="0" equalAverage="0" bottom="0" percent="0" rank="0" text="" dxfId="0">
      <formula>F87</formula>
    </cfRule>
  </conditionalFormatting>
  <conditionalFormatting sqref="P89">
    <cfRule type="cellIs" priority="404" operator="lessThanOrEqual" aboveAverage="0" equalAverage="0" bottom="0" percent="0" rank="0" text="" dxfId="0">
      <formula>F89</formula>
    </cfRule>
  </conditionalFormatting>
  <conditionalFormatting sqref="P9">
    <cfRule type="cellIs" priority="405" operator="lessThanOrEqual" aboveAverage="0" equalAverage="0" bottom="0" percent="0" rank="0" text="" dxfId="0">
      <formula>F9</formula>
    </cfRule>
  </conditionalFormatting>
  <conditionalFormatting sqref="P90">
    <cfRule type="cellIs" priority="406" operator="lessThanOrEqual" aboveAverage="0" equalAverage="0" bottom="0" percent="0" rank="0" text="" dxfId="0">
      <formula>F90</formula>
    </cfRule>
  </conditionalFormatting>
  <conditionalFormatting sqref="P93">
    <cfRule type="cellIs" priority="407" operator="lessThanOrEqual" aboveAverage="0" equalAverage="0" bottom="0" percent="0" rank="0" text="" dxfId="0">
      <formula>F93</formula>
    </cfRule>
  </conditionalFormatting>
  <conditionalFormatting sqref="P94">
    <cfRule type="cellIs" priority="408" operator="lessThanOrEqual" aboveAverage="0" equalAverage="0" bottom="0" percent="0" rank="0" text="" dxfId="0">
      <formula>F94</formula>
    </cfRule>
  </conditionalFormatting>
  <conditionalFormatting sqref="P95">
    <cfRule type="cellIs" priority="409" operator="lessThanOrEqual" aboveAverage="0" equalAverage="0" bottom="0" percent="0" rank="0" text="" dxfId="0">
      <formula>F95</formula>
    </cfRule>
  </conditionalFormatting>
  <conditionalFormatting sqref="P96">
    <cfRule type="cellIs" priority="410" operator="lessThanOrEqual" aboveAverage="0" equalAverage="0" bottom="0" percent="0" rank="0" text="" dxfId="0">
      <formula>F96</formula>
    </cfRule>
  </conditionalFormatting>
  <conditionalFormatting sqref="P97">
    <cfRule type="cellIs" priority="411" operator="lessThanOrEqual" aboveAverage="0" equalAverage="0" bottom="0" percent="0" rank="0" text="" dxfId="0">
      <formula>F97</formula>
    </cfRule>
  </conditionalFormatting>
  <conditionalFormatting sqref="P98">
    <cfRule type="cellIs" priority="412" operator="lessThanOrEqual" aboveAverage="0" equalAverage="0" bottom="0" percent="0" rank="0" text="" dxfId="0">
      <formula>F98</formula>
    </cfRule>
  </conditionalFormatting>
  <conditionalFormatting sqref="P99">
    <cfRule type="cellIs" priority="413" operator="lessThanOrEqual" aboveAverage="0" equalAverage="0" bottom="0" percent="0" rank="0" text="" dxfId="0">
      <formula>F99</formula>
    </cfRule>
  </conditionalFormatting>
  <conditionalFormatting sqref="Q10">
    <cfRule type="cellIs" priority="414" operator="lessThanOrEqual" aboveAverage="0" equalAverage="0" bottom="0" percent="0" rank="0" text="" dxfId="0">
      <formula>G10</formula>
    </cfRule>
  </conditionalFormatting>
  <conditionalFormatting sqref="Q100">
    <cfRule type="cellIs" priority="415" operator="lessThanOrEqual" aboveAverage="0" equalAverage="0" bottom="0" percent="0" rank="0" text="" dxfId="0">
      <formula>G100</formula>
    </cfRule>
  </conditionalFormatting>
  <conditionalFormatting sqref="Q101">
    <cfRule type="cellIs" priority="416" operator="lessThanOrEqual" aboveAverage="0" equalAverage="0" bottom="0" percent="0" rank="0" text="" dxfId="0">
      <formula>G101</formula>
    </cfRule>
  </conditionalFormatting>
  <conditionalFormatting sqref="Q102">
    <cfRule type="cellIs" priority="417" operator="lessThanOrEqual" aboveAverage="0" equalAverage="0" bottom="0" percent="0" rank="0" text="" dxfId="0">
      <formula>G102</formula>
    </cfRule>
  </conditionalFormatting>
  <conditionalFormatting sqref="Q103">
    <cfRule type="cellIs" priority="418" operator="lessThanOrEqual" aboveAverage="0" equalAverage="0" bottom="0" percent="0" rank="0" text="" dxfId="0">
      <formula>G103</formula>
    </cfRule>
  </conditionalFormatting>
  <conditionalFormatting sqref="Q104">
    <cfRule type="cellIs" priority="419" operator="lessThanOrEqual" aboveAverage="0" equalAverage="0" bottom="0" percent="0" rank="0" text="" dxfId="0">
      <formula>G104</formula>
    </cfRule>
  </conditionalFormatting>
  <conditionalFormatting sqref="Q105">
    <cfRule type="cellIs" priority="420" operator="lessThanOrEqual" aboveAverage="0" equalAverage="0" bottom="0" percent="0" rank="0" text="" dxfId="0">
      <formula>G105</formula>
    </cfRule>
  </conditionalFormatting>
  <conditionalFormatting sqref="Q106">
    <cfRule type="cellIs" priority="421" operator="lessThanOrEqual" aboveAverage="0" equalAverage="0" bottom="0" percent="0" rank="0" text="" dxfId="0">
      <formula>G106</formula>
    </cfRule>
  </conditionalFormatting>
  <conditionalFormatting sqref="Q107">
    <cfRule type="cellIs" priority="422" operator="lessThanOrEqual" aboveAverage="0" equalAverage="0" bottom="0" percent="0" rank="0" text="" dxfId="0">
      <formula>G107</formula>
    </cfRule>
  </conditionalFormatting>
  <conditionalFormatting sqref="Q108">
    <cfRule type="cellIs" priority="423" operator="lessThanOrEqual" aboveAverage="0" equalAverage="0" bottom="0" percent="0" rank="0" text="" dxfId="0">
      <formula>G108</formula>
    </cfRule>
  </conditionalFormatting>
  <conditionalFormatting sqref="Q109">
    <cfRule type="cellIs" priority="424" operator="lessThanOrEqual" aboveAverage="0" equalAverage="0" bottom="0" percent="0" rank="0" text="" dxfId="0">
      <formula>G109</formula>
    </cfRule>
  </conditionalFormatting>
  <conditionalFormatting sqref="Q11">
    <cfRule type="cellIs" priority="425" operator="lessThanOrEqual" aboveAverage="0" equalAverage="0" bottom="0" percent="0" rank="0" text="" dxfId="0">
      <formula>G11</formula>
    </cfRule>
  </conditionalFormatting>
  <conditionalFormatting sqref="Q110">
    <cfRule type="cellIs" priority="426" operator="lessThanOrEqual" aboveAverage="0" equalAverage="0" bottom="0" percent="0" rank="0" text="" dxfId="0">
      <formula>G110</formula>
    </cfRule>
  </conditionalFormatting>
  <conditionalFormatting sqref="Q111">
    <cfRule type="cellIs" priority="427" operator="lessThanOrEqual" aboveAverage="0" equalAverage="0" bottom="0" percent="0" rank="0" text="" dxfId="0">
      <formula>G111</formula>
    </cfRule>
  </conditionalFormatting>
  <conditionalFormatting sqref="Q112">
    <cfRule type="cellIs" priority="428" operator="lessThanOrEqual" aboveAverage="0" equalAverage="0" bottom="0" percent="0" rank="0" text="" dxfId="0">
      <formula>G112</formula>
    </cfRule>
  </conditionalFormatting>
  <conditionalFormatting sqref="Q113">
    <cfRule type="cellIs" priority="429" operator="lessThanOrEqual" aboveAverage="0" equalAverage="0" bottom="0" percent="0" rank="0" text="" dxfId="0">
      <formula>G113</formula>
    </cfRule>
  </conditionalFormatting>
  <conditionalFormatting sqref="Q114">
    <cfRule type="cellIs" priority="430" operator="lessThanOrEqual" aboveAverage="0" equalAverage="0" bottom="0" percent="0" rank="0" text="" dxfId="0">
      <formula>G114</formula>
    </cfRule>
  </conditionalFormatting>
  <conditionalFormatting sqref="Q115">
    <cfRule type="cellIs" priority="431" operator="lessThanOrEqual" aboveAverage="0" equalAverage="0" bottom="0" percent="0" rank="0" text="" dxfId="0">
      <formula>G115</formula>
    </cfRule>
  </conditionalFormatting>
  <conditionalFormatting sqref="Q116">
    <cfRule type="cellIs" priority="432" operator="lessThanOrEqual" aboveAverage="0" equalAverage="0" bottom="0" percent="0" rank="0" text="" dxfId="0">
      <formula>G116</formula>
    </cfRule>
  </conditionalFormatting>
  <conditionalFormatting sqref="Q117">
    <cfRule type="cellIs" priority="433" operator="lessThanOrEqual" aboveAverage="0" equalAverage="0" bottom="0" percent="0" rank="0" text="" dxfId="0">
      <formula>G117</formula>
    </cfRule>
  </conditionalFormatting>
  <conditionalFormatting sqref="Q118">
    <cfRule type="cellIs" priority="434" operator="lessThanOrEqual" aboveAverage="0" equalAverage="0" bottom="0" percent="0" rank="0" text="" dxfId="0">
      <formula>G118</formula>
    </cfRule>
  </conditionalFormatting>
  <conditionalFormatting sqref="Q119">
    <cfRule type="cellIs" priority="435" operator="lessThanOrEqual" aboveAverage="0" equalAverage="0" bottom="0" percent="0" rank="0" text="" dxfId="0">
      <formula>G119</formula>
    </cfRule>
  </conditionalFormatting>
  <conditionalFormatting sqref="Q12">
    <cfRule type="cellIs" priority="436" operator="lessThanOrEqual" aboveAverage="0" equalAverage="0" bottom="0" percent="0" rank="0" text="" dxfId="0">
      <formula>G12</formula>
    </cfRule>
  </conditionalFormatting>
  <conditionalFormatting sqref="Q122">
    <cfRule type="cellIs" priority="437" operator="lessThanOrEqual" aboveAverage="0" equalAverage="0" bottom="0" percent="0" rank="0" text="" dxfId="0">
      <formula>G122</formula>
    </cfRule>
  </conditionalFormatting>
  <conditionalFormatting sqref="Q123">
    <cfRule type="cellIs" priority="438" operator="lessThanOrEqual" aboveAverage="0" equalAverage="0" bottom="0" percent="0" rank="0" text="" dxfId="0">
      <formula>G123</formula>
    </cfRule>
  </conditionalFormatting>
  <conditionalFormatting sqref="Q125">
    <cfRule type="cellIs" priority="439" operator="lessThanOrEqual" aboveAverage="0" equalAverage="0" bottom="0" percent="0" rank="0" text="" dxfId="0">
      <formula>G125</formula>
    </cfRule>
  </conditionalFormatting>
  <conditionalFormatting sqref="Q126">
    <cfRule type="cellIs" priority="440" operator="lessThanOrEqual" aboveAverage="0" equalAverage="0" bottom="0" percent="0" rank="0" text="" dxfId="0">
      <formula>G126</formula>
    </cfRule>
  </conditionalFormatting>
  <conditionalFormatting sqref="Q127">
    <cfRule type="cellIs" priority="441" operator="lessThanOrEqual" aboveAverage="0" equalAverage="0" bottom="0" percent="0" rank="0" text="" dxfId="0">
      <formula>G127</formula>
    </cfRule>
  </conditionalFormatting>
  <conditionalFormatting sqref="Q129">
    <cfRule type="cellIs" priority="442" operator="lessThanOrEqual" aboveAverage="0" equalAverage="0" bottom="0" percent="0" rank="0" text="" dxfId="0">
      <formula>G129</formula>
    </cfRule>
  </conditionalFormatting>
  <conditionalFormatting sqref="Q13">
    <cfRule type="cellIs" priority="443" operator="lessThanOrEqual" aboveAverage="0" equalAverage="0" bottom="0" percent="0" rank="0" text="" dxfId="0">
      <formula>G13</formula>
    </cfRule>
  </conditionalFormatting>
  <conditionalFormatting sqref="Q130">
    <cfRule type="cellIs" priority="444" operator="lessThanOrEqual" aboveAverage="0" equalAverage="0" bottom="0" percent="0" rank="0" text="" dxfId="0">
      <formula>G130</formula>
    </cfRule>
  </conditionalFormatting>
  <conditionalFormatting sqref="Q131">
    <cfRule type="cellIs" priority="445" operator="lessThanOrEqual" aboveAverage="0" equalAverage="0" bottom="0" percent="0" rank="0" text="" dxfId="0">
      <formula>G131</formula>
    </cfRule>
  </conditionalFormatting>
  <conditionalFormatting sqref="Q132">
    <cfRule type="cellIs" priority="446" operator="lessThanOrEqual" aboveAverage="0" equalAverage="0" bottom="0" percent="0" rank="0" text="" dxfId="0">
      <formula>G132</formula>
    </cfRule>
  </conditionalFormatting>
  <conditionalFormatting sqref="Q134">
    <cfRule type="cellIs" priority="447" operator="lessThanOrEqual" aboveAverage="0" equalAverage="0" bottom="0" percent="0" rank="0" text="" dxfId="0">
      <formula>G134</formula>
    </cfRule>
  </conditionalFormatting>
  <conditionalFormatting sqref="Q135">
    <cfRule type="cellIs" priority="448" operator="lessThanOrEqual" aboveAverage="0" equalAverage="0" bottom="0" percent="0" rank="0" text="" dxfId="0">
      <formula>G135</formula>
    </cfRule>
  </conditionalFormatting>
  <conditionalFormatting sqref="Q136">
    <cfRule type="cellIs" priority="449" operator="lessThanOrEqual" aboveAverage="0" equalAverage="0" bottom="0" percent="0" rank="0" text="" dxfId="0">
      <formula>G136</formula>
    </cfRule>
  </conditionalFormatting>
  <conditionalFormatting sqref="Q137">
    <cfRule type="cellIs" priority="450" operator="lessThanOrEqual" aboveAverage="0" equalAverage="0" bottom="0" percent="0" rank="0" text="" dxfId="0">
      <formula>G137</formula>
    </cfRule>
  </conditionalFormatting>
  <conditionalFormatting sqref="Q138">
    <cfRule type="cellIs" priority="451" operator="lessThanOrEqual" aboveAverage="0" equalAverage="0" bottom="0" percent="0" rank="0" text="" dxfId="0">
      <formula>G138</formula>
    </cfRule>
  </conditionalFormatting>
  <conditionalFormatting sqref="Q139">
    <cfRule type="cellIs" priority="452" operator="lessThanOrEqual" aboveAverage="0" equalAverage="0" bottom="0" percent="0" rank="0" text="" dxfId="0">
      <formula>G139</formula>
    </cfRule>
  </conditionalFormatting>
  <conditionalFormatting sqref="Q14">
    <cfRule type="cellIs" priority="453" operator="lessThanOrEqual" aboveAverage="0" equalAverage="0" bottom="0" percent="0" rank="0" text="" dxfId="0">
      <formula>G14</formula>
    </cfRule>
  </conditionalFormatting>
  <conditionalFormatting sqref="Q140">
    <cfRule type="cellIs" priority="454" operator="lessThanOrEqual" aboveAverage="0" equalAverage="0" bottom="0" percent="0" rank="0" text="" dxfId="0">
      <formula>G140</formula>
    </cfRule>
  </conditionalFormatting>
  <conditionalFormatting sqref="Q141">
    <cfRule type="cellIs" priority="455" operator="lessThanOrEqual" aboveAverage="0" equalAverage="0" bottom="0" percent="0" rank="0" text="" dxfId="0">
      <formula>G141</formula>
    </cfRule>
  </conditionalFormatting>
  <conditionalFormatting sqref="Q142">
    <cfRule type="cellIs" priority="456" operator="lessThanOrEqual" aboveAverage="0" equalAverage="0" bottom="0" percent="0" rank="0" text="" dxfId="0">
      <formula>G142</formula>
    </cfRule>
  </conditionalFormatting>
  <conditionalFormatting sqref="Q143">
    <cfRule type="cellIs" priority="457" operator="lessThanOrEqual" aboveAverage="0" equalAverage="0" bottom="0" percent="0" rank="0" text="" dxfId="0">
      <formula>G143</formula>
    </cfRule>
  </conditionalFormatting>
  <conditionalFormatting sqref="Q144">
    <cfRule type="cellIs" priority="458" operator="lessThanOrEqual" aboveAverage="0" equalAverage="0" bottom="0" percent="0" rank="0" text="" dxfId="0">
      <formula>G144</formula>
    </cfRule>
  </conditionalFormatting>
  <conditionalFormatting sqref="Q145">
    <cfRule type="cellIs" priority="459" operator="lessThanOrEqual" aboveAverage="0" equalAverage="0" bottom="0" percent="0" rank="0" text="" dxfId="0">
      <formula>G145</formula>
    </cfRule>
  </conditionalFormatting>
  <conditionalFormatting sqref="Q146">
    <cfRule type="cellIs" priority="460" operator="lessThanOrEqual" aboveAverage="0" equalAverage="0" bottom="0" percent="0" rank="0" text="" dxfId="0">
      <formula>G146</formula>
    </cfRule>
  </conditionalFormatting>
  <conditionalFormatting sqref="Q147">
    <cfRule type="cellIs" priority="461" operator="lessThanOrEqual" aboveAverage="0" equalAverage="0" bottom="0" percent="0" rank="0" text="" dxfId="0">
      <formula>G147</formula>
    </cfRule>
  </conditionalFormatting>
  <conditionalFormatting sqref="Q149">
    <cfRule type="cellIs" priority="462" operator="lessThanOrEqual" aboveAverage="0" equalAverage="0" bottom="0" percent="0" rank="0" text="" dxfId="0">
      <formula>G149</formula>
    </cfRule>
  </conditionalFormatting>
  <conditionalFormatting sqref="Q15">
    <cfRule type="cellIs" priority="463" operator="lessThanOrEqual" aboveAverage="0" equalAverage="0" bottom="0" percent="0" rank="0" text="" dxfId="0">
      <formula>G15</formula>
    </cfRule>
  </conditionalFormatting>
  <conditionalFormatting sqref="Q150">
    <cfRule type="cellIs" priority="464" operator="lessThanOrEqual" aboveAverage="0" equalAverage="0" bottom="0" percent="0" rank="0" text="" dxfId="0">
      <formula>G150</formula>
    </cfRule>
  </conditionalFormatting>
  <conditionalFormatting sqref="Q151">
    <cfRule type="cellIs" priority="465" operator="lessThanOrEqual" aboveAverage="0" equalAverage="0" bottom="0" percent="0" rank="0" text="" dxfId="0">
      <formula>G151</formula>
    </cfRule>
  </conditionalFormatting>
  <conditionalFormatting sqref="Q152">
    <cfRule type="cellIs" priority="466" operator="lessThanOrEqual" aboveAverage="0" equalAverage="0" bottom="0" percent="0" rank="0" text="" dxfId="0">
      <formula>G152</formula>
    </cfRule>
  </conditionalFormatting>
  <conditionalFormatting sqref="Q153">
    <cfRule type="cellIs" priority="467" operator="lessThanOrEqual" aboveAverage="0" equalAverage="0" bottom="0" percent="0" rank="0" text="" dxfId="0">
      <formula>G153</formula>
    </cfRule>
  </conditionalFormatting>
  <conditionalFormatting sqref="Q154">
    <cfRule type="cellIs" priority="468" operator="lessThanOrEqual" aboveAverage="0" equalAverage="0" bottom="0" percent="0" rank="0" text="" dxfId="0">
      <formula>G154</formula>
    </cfRule>
  </conditionalFormatting>
  <conditionalFormatting sqref="Q155">
    <cfRule type="cellIs" priority="469" operator="lessThanOrEqual" aboveAverage="0" equalAverage="0" bottom="0" percent="0" rank="0" text="" dxfId="0">
      <formula>G155</formula>
    </cfRule>
  </conditionalFormatting>
  <conditionalFormatting sqref="Q156">
    <cfRule type="cellIs" priority="470" operator="lessThanOrEqual" aboveAverage="0" equalAverage="0" bottom="0" percent="0" rank="0" text="" dxfId="0">
      <formula>G156</formula>
    </cfRule>
  </conditionalFormatting>
  <conditionalFormatting sqref="Q157">
    <cfRule type="cellIs" priority="471" operator="lessThanOrEqual" aboveAverage="0" equalAverage="0" bottom="0" percent="0" rank="0" text="" dxfId="0">
      <formula>G157</formula>
    </cfRule>
  </conditionalFormatting>
  <conditionalFormatting sqref="Q158">
    <cfRule type="cellIs" priority="472" operator="lessThanOrEqual" aboveAverage="0" equalAverage="0" bottom="0" percent="0" rank="0" text="" dxfId="0">
      <formula>G158</formula>
    </cfRule>
  </conditionalFormatting>
  <conditionalFormatting sqref="Q16">
    <cfRule type="cellIs" priority="473" operator="lessThanOrEqual" aboveAverage="0" equalAverage="0" bottom="0" percent="0" rank="0" text="" dxfId="0">
      <formula>G16</formula>
    </cfRule>
  </conditionalFormatting>
  <conditionalFormatting sqref="Q160">
    <cfRule type="cellIs" priority="474" operator="lessThanOrEqual" aboveAverage="0" equalAverage="0" bottom="0" percent="0" rank="0" text="" dxfId="0">
      <formula>G160</formula>
    </cfRule>
  </conditionalFormatting>
  <conditionalFormatting sqref="Q161">
    <cfRule type="cellIs" priority="475" operator="lessThanOrEqual" aboveAverage="0" equalAverage="0" bottom="0" percent="0" rank="0" text="" dxfId="0">
      <formula>G161</formula>
    </cfRule>
  </conditionalFormatting>
  <conditionalFormatting sqref="Q162">
    <cfRule type="cellIs" priority="476" operator="lessThanOrEqual" aboveAverage="0" equalAverage="0" bottom="0" percent="0" rank="0" text="" dxfId="0">
      <formula>G162</formula>
    </cfRule>
  </conditionalFormatting>
  <conditionalFormatting sqref="Q164">
    <cfRule type="cellIs" priority="477" operator="lessThanOrEqual" aboveAverage="0" equalAverage="0" bottom="0" percent="0" rank="0" text="" dxfId="0">
      <formula>G164</formula>
    </cfRule>
  </conditionalFormatting>
  <conditionalFormatting sqref="Q165">
    <cfRule type="cellIs" priority="478" operator="lessThanOrEqual" aboveAverage="0" equalAverage="0" bottom="0" percent="0" rank="0" text="" dxfId="0">
      <formula>G165</formula>
    </cfRule>
  </conditionalFormatting>
  <conditionalFormatting sqref="Q166">
    <cfRule type="cellIs" priority="479" operator="lessThanOrEqual" aboveAverage="0" equalAverage="0" bottom="0" percent="0" rank="0" text="" dxfId="0">
      <formula>G166</formula>
    </cfRule>
  </conditionalFormatting>
  <conditionalFormatting sqref="Q167">
    <cfRule type="cellIs" priority="480" operator="lessThanOrEqual" aboveAverage="0" equalAverage="0" bottom="0" percent="0" rank="0" text="" dxfId="0">
      <formula>G167</formula>
    </cfRule>
  </conditionalFormatting>
  <conditionalFormatting sqref="Q17">
    <cfRule type="cellIs" priority="481" operator="lessThanOrEqual" aboveAverage="0" equalAverage="0" bottom="0" percent="0" rank="0" text="" dxfId="0">
      <formula>G17</formula>
    </cfRule>
  </conditionalFormatting>
  <conditionalFormatting sqref="Q18">
    <cfRule type="cellIs" priority="482" operator="lessThanOrEqual" aboveAverage="0" equalAverage="0" bottom="0" percent="0" rank="0" text="" dxfId="0">
      <formula>G18</formula>
    </cfRule>
  </conditionalFormatting>
  <conditionalFormatting sqref="Q19">
    <cfRule type="cellIs" priority="483" operator="lessThanOrEqual" aboveAverage="0" equalAverage="0" bottom="0" percent="0" rank="0" text="" dxfId="0">
      <formula>G19</formula>
    </cfRule>
  </conditionalFormatting>
  <conditionalFormatting sqref="Q20">
    <cfRule type="cellIs" priority="484" operator="lessThanOrEqual" aboveAverage="0" equalAverage="0" bottom="0" percent="0" rank="0" text="" dxfId="0">
      <formula>G20</formula>
    </cfRule>
  </conditionalFormatting>
  <conditionalFormatting sqref="Q21">
    <cfRule type="cellIs" priority="485" operator="lessThanOrEqual" aboveAverage="0" equalAverage="0" bottom="0" percent="0" rank="0" text="" dxfId="0">
      <formula>G21</formula>
    </cfRule>
  </conditionalFormatting>
  <conditionalFormatting sqref="Q22">
    <cfRule type="cellIs" priority="486" operator="lessThanOrEqual" aboveAverage="0" equalAverage="0" bottom="0" percent="0" rank="0" text="" dxfId="0">
      <formula>G22</formula>
    </cfRule>
  </conditionalFormatting>
  <conditionalFormatting sqref="Q23">
    <cfRule type="cellIs" priority="487" operator="lessThanOrEqual" aboveAverage="0" equalAverage="0" bottom="0" percent="0" rank="0" text="" dxfId="0">
      <formula>G23</formula>
    </cfRule>
  </conditionalFormatting>
  <conditionalFormatting sqref="Q24">
    <cfRule type="cellIs" priority="488" operator="lessThanOrEqual" aboveAverage="0" equalAverage="0" bottom="0" percent="0" rank="0" text="" dxfId="0">
      <formula>G24</formula>
    </cfRule>
  </conditionalFormatting>
  <conditionalFormatting sqref="Q28">
    <cfRule type="cellIs" priority="489" operator="lessThanOrEqual" aboveAverage="0" equalAverage="0" bottom="0" percent="0" rank="0" text="" dxfId="0">
      <formula>G28</formula>
    </cfRule>
  </conditionalFormatting>
  <conditionalFormatting sqref="Q29">
    <cfRule type="cellIs" priority="490" operator="lessThanOrEqual" aboveAverage="0" equalAverage="0" bottom="0" percent="0" rank="0" text="" dxfId="0">
      <formula>G29</formula>
    </cfRule>
  </conditionalFormatting>
  <conditionalFormatting sqref="Q30">
    <cfRule type="cellIs" priority="491" operator="lessThanOrEqual" aboveAverage="0" equalAverage="0" bottom="0" percent="0" rank="0" text="" dxfId="0">
      <formula>G30</formula>
    </cfRule>
  </conditionalFormatting>
  <conditionalFormatting sqref="Q31">
    <cfRule type="cellIs" priority="492" operator="lessThanOrEqual" aboveAverage="0" equalAverage="0" bottom="0" percent="0" rank="0" text="" dxfId="0">
      <formula>G31</formula>
    </cfRule>
  </conditionalFormatting>
  <conditionalFormatting sqref="Q32">
    <cfRule type="cellIs" priority="493" operator="lessThanOrEqual" aboveAverage="0" equalAverage="0" bottom="0" percent="0" rank="0" text="" dxfId="0">
      <formula>G32</formula>
    </cfRule>
  </conditionalFormatting>
  <conditionalFormatting sqref="Q33">
    <cfRule type="cellIs" priority="494" operator="lessThanOrEqual" aboveAverage="0" equalAverage="0" bottom="0" percent="0" rank="0" text="" dxfId="0">
      <formula>G33</formula>
    </cfRule>
  </conditionalFormatting>
  <conditionalFormatting sqref="Q35">
    <cfRule type="cellIs" priority="495" operator="lessThanOrEqual" aboveAverage="0" equalAverage="0" bottom="0" percent="0" rank="0" text="" dxfId="0">
      <formula>G35</formula>
    </cfRule>
  </conditionalFormatting>
  <conditionalFormatting sqref="Q36">
    <cfRule type="cellIs" priority="496" operator="lessThanOrEqual" aboveAverage="0" equalAverage="0" bottom="0" percent="0" rank="0" text="" dxfId="0">
      <formula>G36</formula>
    </cfRule>
  </conditionalFormatting>
  <conditionalFormatting sqref="Q38">
    <cfRule type="cellIs" priority="497" operator="lessThanOrEqual" aboveAverage="0" equalAverage="0" bottom="0" percent="0" rank="0" text="" dxfId="0">
      <formula>G38</formula>
    </cfRule>
  </conditionalFormatting>
  <conditionalFormatting sqref="Q39">
    <cfRule type="cellIs" priority="498" operator="lessThanOrEqual" aboveAverage="0" equalAverage="0" bottom="0" percent="0" rank="0" text="" dxfId="0">
      <formula>G39</formula>
    </cfRule>
  </conditionalFormatting>
  <conditionalFormatting sqref="Q40">
    <cfRule type="cellIs" priority="499" operator="lessThanOrEqual" aboveAverage="0" equalAverage="0" bottom="0" percent="0" rank="0" text="" dxfId="0">
      <formula>G40</formula>
    </cfRule>
  </conditionalFormatting>
  <conditionalFormatting sqref="Q41">
    <cfRule type="cellIs" priority="500" operator="lessThanOrEqual" aboveAverage="0" equalAverage="0" bottom="0" percent="0" rank="0" text="" dxfId="0">
      <formula>G41</formula>
    </cfRule>
  </conditionalFormatting>
  <conditionalFormatting sqref="Q43">
    <cfRule type="cellIs" priority="501" operator="lessThanOrEqual" aboveAverage="0" equalAverage="0" bottom="0" percent="0" rank="0" text="" dxfId="0">
      <formula>G43</formula>
    </cfRule>
  </conditionalFormatting>
  <conditionalFormatting sqref="Q45">
    <cfRule type="cellIs" priority="502" operator="lessThanOrEqual" aboveAverage="0" equalAverage="0" bottom="0" percent="0" rank="0" text="" dxfId="0">
      <formula>G45</formula>
    </cfRule>
  </conditionalFormatting>
  <conditionalFormatting sqref="Q46">
    <cfRule type="cellIs" priority="503" operator="lessThanOrEqual" aboveAverage="0" equalAverage="0" bottom="0" percent="0" rank="0" text="" dxfId="0">
      <formula>G46</formula>
    </cfRule>
  </conditionalFormatting>
  <conditionalFormatting sqref="Q47">
    <cfRule type="cellIs" priority="504" operator="lessThanOrEqual" aboveAverage="0" equalAverage="0" bottom="0" percent="0" rank="0" text="" dxfId="0">
      <formula>G47</formula>
    </cfRule>
  </conditionalFormatting>
  <conditionalFormatting sqref="Q49">
    <cfRule type="cellIs" priority="505" operator="lessThanOrEqual" aboveAverage="0" equalAverage="0" bottom="0" percent="0" rank="0" text="" dxfId="0">
      <formula>G49</formula>
    </cfRule>
  </conditionalFormatting>
  <conditionalFormatting sqref="Q50">
    <cfRule type="cellIs" priority="506" operator="lessThanOrEqual" aboveAverage="0" equalAverage="0" bottom="0" percent="0" rank="0" text="" dxfId="0">
      <formula>G50</formula>
    </cfRule>
  </conditionalFormatting>
  <conditionalFormatting sqref="Q51">
    <cfRule type="cellIs" priority="507" operator="lessThanOrEqual" aboveAverage="0" equalAverage="0" bottom="0" percent="0" rank="0" text="" dxfId="0">
      <formula>G51</formula>
    </cfRule>
  </conditionalFormatting>
  <conditionalFormatting sqref="Q52">
    <cfRule type="cellIs" priority="508" operator="lessThanOrEqual" aboveAverage="0" equalAverage="0" bottom="0" percent="0" rank="0" text="" dxfId="0">
      <formula>G52</formula>
    </cfRule>
  </conditionalFormatting>
  <conditionalFormatting sqref="Q53">
    <cfRule type="cellIs" priority="509" operator="lessThanOrEqual" aboveAverage="0" equalAverage="0" bottom="0" percent="0" rank="0" text="" dxfId="0">
      <formula>G53</formula>
    </cfRule>
  </conditionalFormatting>
  <conditionalFormatting sqref="Q54">
    <cfRule type="cellIs" priority="510" operator="lessThanOrEqual" aboveAverage="0" equalAverage="0" bottom="0" percent="0" rank="0" text="" dxfId="0">
      <formula>G54</formula>
    </cfRule>
  </conditionalFormatting>
  <conditionalFormatting sqref="Q55">
    <cfRule type="cellIs" priority="511" operator="lessThanOrEqual" aboveAverage="0" equalAverage="0" bottom="0" percent="0" rank="0" text="" dxfId="0">
      <formula>G55</formula>
    </cfRule>
  </conditionalFormatting>
  <conditionalFormatting sqref="Q56">
    <cfRule type="cellIs" priority="512" operator="lessThanOrEqual" aboveAverage="0" equalAverage="0" bottom="0" percent="0" rank="0" text="" dxfId="0">
      <formula>G56</formula>
    </cfRule>
  </conditionalFormatting>
  <conditionalFormatting sqref="Q57">
    <cfRule type="cellIs" priority="513" operator="lessThanOrEqual" aboveAverage="0" equalAverage="0" bottom="0" percent="0" rank="0" text="" dxfId="0">
      <formula>G57</formula>
    </cfRule>
  </conditionalFormatting>
  <conditionalFormatting sqref="Q58">
    <cfRule type="cellIs" priority="514" operator="lessThanOrEqual" aboveAverage="0" equalAverage="0" bottom="0" percent="0" rank="0" text="" dxfId="0">
      <formula>G58</formula>
    </cfRule>
  </conditionalFormatting>
  <conditionalFormatting sqref="Q59">
    <cfRule type="cellIs" priority="515" operator="lessThanOrEqual" aboveAverage="0" equalAverage="0" bottom="0" percent="0" rank="0" text="" dxfId="0">
      <formula>G59</formula>
    </cfRule>
  </conditionalFormatting>
  <conditionalFormatting sqref="Q60">
    <cfRule type="cellIs" priority="516" operator="lessThanOrEqual" aboveAverage="0" equalAverage="0" bottom="0" percent="0" rank="0" text="" dxfId="0">
      <formula>G60</formula>
    </cfRule>
  </conditionalFormatting>
  <conditionalFormatting sqref="Q61">
    <cfRule type="cellIs" priority="517" operator="lessThanOrEqual" aboveAverage="0" equalAverage="0" bottom="0" percent="0" rank="0" text="" dxfId="0">
      <formula>G61</formula>
    </cfRule>
  </conditionalFormatting>
  <conditionalFormatting sqref="Q62">
    <cfRule type="cellIs" priority="518" operator="lessThanOrEqual" aboveAverage="0" equalAverage="0" bottom="0" percent="0" rank="0" text="" dxfId="0">
      <formula>G62</formula>
    </cfRule>
  </conditionalFormatting>
  <conditionalFormatting sqref="Q63">
    <cfRule type="cellIs" priority="519" operator="lessThanOrEqual" aboveAverage="0" equalAverage="0" bottom="0" percent="0" rank="0" text="" dxfId="0">
      <formula>G63</formula>
    </cfRule>
  </conditionalFormatting>
  <conditionalFormatting sqref="Q64">
    <cfRule type="cellIs" priority="520" operator="lessThanOrEqual" aboveAverage="0" equalAverage="0" bottom="0" percent="0" rank="0" text="" dxfId="0">
      <formula>G64</formula>
    </cfRule>
  </conditionalFormatting>
  <conditionalFormatting sqref="Q65">
    <cfRule type="cellIs" priority="521" operator="lessThanOrEqual" aboveAverage="0" equalAverage="0" bottom="0" percent="0" rank="0" text="" dxfId="0">
      <formula>G65</formula>
    </cfRule>
  </conditionalFormatting>
  <conditionalFormatting sqref="Q66">
    <cfRule type="cellIs" priority="522" operator="lessThanOrEqual" aboveAverage="0" equalAverage="0" bottom="0" percent="0" rank="0" text="" dxfId="0">
      <formula>G66</formula>
    </cfRule>
  </conditionalFormatting>
  <conditionalFormatting sqref="Q67">
    <cfRule type="cellIs" priority="523" operator="lessThanOrEqual" aboveAverage="0" equalAverage="0" bottom="0" percent="0" rank="0" text="" dxfId="0">
      <formula>G67</formula>
    </cfRule>
  </conditionalFormatting>
  <conditionalFormatting sqref="Q68">
    <cfRule type="cellIs" priority="524" operator="lessThanOrEqual" aboveAverage="0" equalAverage="0" bottom="0" percent="0" rank="0" text="" dxfId="0">
      <formula>G68</formula>
    </cfRule>
  </conditionalFormatting>
  <conditionalFormatting sqref="Q69">
    <cfRule type="cellIs" priority="525" operator="lessThanOrEqual" aboveAverage="0" equalAverage="0" bottom="0" percent="0" rank="0" text="" dxfId="0">
      <formula>G69</formula>
    </cfRule>
  </conditionalFormatting>
  <conditionalFormatting sqref="Q7">
    <cfRule type="cellIs" priority="526" operator="lessThanOrEqual" aboveAverage="0" equalAverage="0" bottom="0" percent="0" rank="0" text="" dxfId="0">
      <formula>G7</formula>
    </cfRule>
  </conditionalFormatting>
  <conditionalFormatting sqref="Q71">
    <cfRule type="cellIs" priority="527" operator="lessThanOrEqual" aboveAverage="0" equalAverage="0" bottom="0" percent="0" rank="0" text="" dxfId="0">
      <formula>G71</formula>
    </cfRule>
  </conditionalFormatting>
  <conditionalFormatting sqref="Q72">
    <cfRule type="cellIs" priority="528" operator="lessThanOrEqual" aboveAverage="0" equalAverage="0" bottom="0" percent="0" rank="0" text="" dxfId="0">
      <formula>G72</formula>
    </cfRule>
  </conditionalFormatting>
  <conditionalFormatting sqref="Q73">
    <cfRule type="cellIs" priority="529" operator="lessThanOrEqual" aboveAverage="0" equalAverage="0" bottom="0" percent="0" rank="0" text="" dxfId="0">
      <formula>G73</formula>
    </cfRule>
  </conditionalFormatting>
  <conditionalFormatting sqref="Q74">
    <cfRule type="cellIs" priority="530" operator="lessThanOrEqual" aboveAverage="0" equalAverage="0" bottom="0" percent="0" rank="0" text="" dxfId="0">
      <formula>G74</formula>
    </cfRule>
  </conditionalFormatting>
  <conditionalFormatting sqref="Q75">
    <cfRule type="cellIs" priority="531" operator="lessThanOrEqual" aboveAverage="0" equalAverage="0" bottom="0" percent="0" rank="0" text="" dxfId="0">
      <formula>G75</formula>
    </cfRule>
  </conditionalFormatting>
  <conditionalFormatting sqref="Q76">
    <cfRule type="cellIs" priority="532" operator="lessThanOrEqual" aboveAverage="0" equalAverage="0" bottom="0" percent="0" rank="0" text="" dxfId="0">
      <formula>G76</formula>
    </cfRule>
  </conditionalFormatting>
  <conditionalFormatting sqref="Q77">
    <cfRule type="cellIs" priority="533" operator="lessThanOrEqual" aboveAverage="0" equalAverage="0" bottom="0" percent="0" rank="0" text="" dxfId="0">
      <formula>G77</formula>
    </cfRule>
  </conditionalFormatting>
  <conditionalFormatting sqref="Q78">
    <cfRule type="cellIs" priority="534" operator="lessThanOrEqual" aboveAverage="0" equalAverage="0" bottom="0" percent="0" rank="0" text="" dxfId="0">
      <formula>G78</formula>
    </cfRule>
  </conditionalFormatting>
  <conditionalFormatting sqref="Q79">
    <cfRule type="cellIs" priority="535" operator="lessThanOrEqual" aboveAverage="0" equalAverage="0" bottom="0" percent="0" rank="0" text="" dxfId="0">
      <formula>G79</formula>
    </cfRule>
  </conditionalFormatting>
  <conditionalFormatting sqref="Q80">
    <cfRule type="cellIs" priority="536" operator="lessThanOrEqual" aboveAverage="0" equalAverage="0" bottom="0" percent="0" rank="0" text="" dxfId="0">
      <formula>G80</formula>
    </cfRule>
  </conditionalFormatting>
  <conditionalFormatting sqref="Q82">
    <cfRule type="cellIs" priority="537" operator="lessThanOrEqual" aboveAverage="0" equalAverage="0" bottom="0" percent="0" rank="0" text="" dxfId="0">
      <formula>G82</formula>
    </cfRule>
  </conditionalFormatting>
  <conditionalFormatting sqref="Q83">
    <cfRule type="cellIs" priority="538" operator="lessThanOrEqual" aboveAverage="0" equalAverage="0" bottom="0" percent="0" rank="0" text="" dxfId="0">
      <formula>G83</formula>
    </cfRule>
  </conditionalFormatting>
  <conditionalFormatting sqref="Q85">
    <cfRule type="cellIs" priority="539" operator="lessThanOrEqual" aboveAverage="0" equalAverage="0" bottom="0" percent="0" rank="0" text="" dxfId="0">
      <formula>G85</formula>
    </cfRule>
  </conditionalFormatting>
  <conditionalFormatting sqref="Q86">
    <cfRule type="cellIs" priority="540" operator="lessThanOrEqual" aboveAverage="0" equalAverage="0" bottom="0" percent="0" rank="0" text="" dxfId="0">
      <formula>G86</formula>
    </cfRule>
  </conditionalFormatting>
  <conditionalFormatting sqref="Q87">
    <cfRule type="cellIs" priority="541" operator="lessThanOrEqual" aboveAverage="0" equalAverage="0" bottom="0" percent="0" rank="0" text="" dxfId="0">
      <formula>G87</formula>
    </cfRule>
  </conditionalFormatting>
  <conditionalFormatting sqref="Q89">
    <cfRule type="cellIs" priority="542" operator="lessThanOrEqual" aboveAverage="0" equalAverage="0" bottom="0" percent="0" rank="0" text="" dxfId="0">
      <formula>G89</formula>
    </cfRule>
  </conditionalFormatting>
  <conditionalFormatting sqref="Q9">
    <cfRule type="cellIs" priority="543" operator="lessThanOrEqual" aboveAverage="0" equalAverage="0" bottom="0" percent="0" rank="0" text="" dxfId="0">
      <formula>G9</formula>
    </cfRule>
  </conditionalFormatting>
  <conditionalFormatting sqref="Q90">
    <cfRule type="cellIs" priority="544" operator="lessThanOrEqual" aboveAverage="0" equalAverage="0" bottom="0" percent="0" rank="0" text="" dxfId="0">
      <formula>G90</formula>
    </cfRule>
  </conditionalFormatting>
  <conditionalFormatting sqref="Q93">
    <cfRule type="cellIs" priority="545" operator="lessThanOrEqual" aboveAverage="0" equalAverage="0" bottom="0" percent="0" rank="0" text="" dxfId="0">
      <formula>G93</formula>
    </cfRule>
  </conditionalFormatting>
  <conditionalFormatting sqref="Q94">
    <cfRule type="cellIs" priority="546" operator="lessThanOrEqual" aboveAverage="0" equalAverage="0" bottom="0" percent="0" rank="0" text="" dxfId="0">
      <formula>G94</formula>
    </cfRule>
  </conditionalFormatting>
  <conditionalFormatting sqref="Q95">
    <cfRule type="cellIs" priority="547" operator="lessThanOrEqual" aboveAverage="0" equalAverage="0" bottom="0" percent="0" rank="0" text="" dxfId="0">
      <formula>G95</formula>
    </cfRule>
  </conditionalFormatting>
  <conditionalFormatting sqref="Q96">
    <cfRule type="cellIs" priority="548" operator="lessThanOrEqual" aboveAverage="0" equalAverage="0" bottom="0" percent="0" rank="0" text="" dxfId="0">
      <formula>G96</formula>
    </cfRule>
  </conditionalFormatting>
  <conditionalFormatting sqref="Q97">
    <cfRule type="cellIs" priority="549" operator="lessThanOrEqual" aboveAverage="0" equalAverage="0" bottom="0" percent="0" rank="0" text="" dxfId="0">
      <formula>G97</formula>
    </cfRule>
  </conditionalFormatting>
  <conditionalFormatting sqref="Q98">
    <cfRule type="cellIs" priority="550" operator="lessThanOrEqual" aboveAverage="0" equalAverage="0" bottom="0" percent="0" rank="0" text="" dxfId="0">
      <formula>G98</formula>
    </cfRule>
  </conditionalFormatting>
  <conditionalFormatting sqref="Q99">
    <cfRule type="cellIs" priority="551" operator="lessThanOrEqual" aboveAverage="0" equalAverage="0" bottom="0" percent="0" rank="0" text="" dxfId="0">
      <formula>G99</formula>
    </cfRule>
  </conditionalFormatting>
  <conditionalFormatting sqref="V10">
    <cfRule type="cellIs" priority="552" operator="lessThanOrEqual" aboveAverage="0" equalAverage="0" bottom="0" percent="0" rank="0" text="" dxfId="0">
      <formula>F10</formula>
    </cfRule>
  </conditionalFormatting>
  <conditionalFormatting sqref="V101">
    <cfRule type="cellIs" priority="553" operator="lessThanOrEqual" aboveAverage="0" equalAverage="0" bottom="0" percent="0" rank="0" text="" dxfId="0">
      <formula>F101</formula>
    </cfRule>
  </conditionalFormatting>
  <conditionalFormatting sqref="V102">
    <cfRule type="cellIs" priority="554" operator="lessThanOrEqual" aboveAverage="0" equalAverage="0" bottom="0" percent="0" rank="0" text="" dxfId="0">
      <formula>F102</formula>
    </cfRule>
  </conditionalFormatting>
  <conditionalFormatting sqref="V106">
    <cfRule type="cellIs" priority="555" operator="lessThanOrEqual" aboveAverage="0" equalAverage="0" bottom="0" percent="0" rank="0" text="" dxfId="0">
      <formula>F106</formula>
    </cfRule>
  </conditionalFormatting>
  <conditionalFormatting sqref="V108">
    <cfRule type="cellIs" priority="556" operator="lessThanOrEqual" aboveAverage="0" equalAverage="0" bottom="0" percent="0" rank="0" text="" dxfId="0">
      <formula>F108</formula>
    </cfRule>
  </conditionalFormatting>
  <conditionalFormatting sqref="V109">
    <cfRule type="cellIs" priority="557" operator="lessThanOrEqual" aboveAverage="0" equalAverage="0" bottom="0" percent="0" rank="0" text="" dxfId="0">
      <formula>F109</formula>
    </cfRule>
  </conditionalFormatting>
  <conditionalFormatting sqref="V11">
    <cfRule type="cellIs" priority="558" operator="lessThanOrEqual" aboveAverage="0" equalAverage="0" bottom="0" percent="0" rank="0" text="" dxfId="0">
      <formula>F11</formula>
    </cfRule>
  </conditionalFormatting>
  <conditionalFormatting sqref="V111">
    <cfRule type="cellIs" priority="559" operator="lessThanOrEqual" aboveAverage="0" equalAverage="0" bottom="0" percent="0" rank="0" text="" dxfId="0">
      <formula>F111</formula>
    </cfRule>
  </conditionalFormatting>
  <conditionalFormatting sqref="V112">
    <cfRule type="cellIs" priority="560" operator="lessThanOrEqual" aboveAverage="0" equalAverage="0" bottom="0" percent="0" rank="0" text="" dxfId="0">
      <formula>F112</formula>
    </cfRule>
  </conditionalFormatting>
  <conditionalFormatting sqref="V113">
    <cfRule type="cellIs" priority="561" operator="lessThanOrEqual" aboveAverage="0" equalAverage="0" bottom="0" percent="0" rank="0" text="" dxfId="0">
      <formula>F113</formula>
    </cfRule>
  </conditionalFormatting>
  <conditionalFormatting sqref="V114">
    <cfRule type="cellIs" priority="562" operator="lessThanOrEqual" aboveAverage="0" equalAverage="0" bottom="0" percent="0" rank="0" text="" dxfId="0">
      <formula>F114</formula>
    </cfRule>
  </conditionalFormatting>
  <conditionalFormatting sqref="V115">
    <cfRule type="cellIs" priority="563" operator="lessThanOrEqual" aboveAverage="0" equalAverage="0" bottom="0" percent="0" rank="0" text="" dxfId="0">
      <formula>F115</formula>
    </cfRule>
  </conditionalFormatting>
  <conditionalFormatting sqref="V116">
    <cfRule type="cellIs" priority="564" operator="lessThanOrEqual" aboveAverage="0" equalAverage="0" bottom="0" percent="0" rank="0" text="" dxfId="0">
      <formula>F116</formula>
    </cfRule>
  </conditionalFormatting>
  <conditionalFormatting sqref="V117">
    <cfRule type="cellIs" priority="565" operator="lessThanOrEqual" aboveAverage="0" equalAverage="0" bottom="0" percent="0" rank="0" text="" dxfId="0">
      <formula>F117</formula>
    </cfRule>
  </conditionalFormatting>
  <conditionalFormatting sqref="V118">
    <cfRule type="cellIs" priority="566" operator="lessThanOrEqual" aboveAverage="0" equalAverage="0" bottom="0" percent="0" rank="0" text="" dxfId="0">
      <formula>F118</formula>
    </cfRule>
  </conditionalFormatting>
  <conditionalFormatting sqref="V119">
    <cfRule type="cellIs" priority="567" operator="lessThanOrEqual" aboveAverage="0" equalAverage="0" bottom="0" percent="0" rank="0" text="" dxfId="0">
      <formula>F119</formula>
    </cfRule>
  </conditionalFormatting>
  <conditionalFormatting sqref="V120">
    <cfRule type="cellIs" priority="568" operator="lessThanOrEqual" aboveAverage="0" equalAverage="0" bottom="0" percent="0" rank="0" text="" dxfId="0">
      <formula>F120</formula>
    </cfRule>
  </conditionalFormatting>
  <conditionalFormatting sqref="V125">
    <cfRule type="cellIs" priority="569" operator="lessThanOrEqual" aboveAverage="0" equalAverage="0" bottom="0" percent="0" rank="0" text="" dxfId="0">
      <formula>F125</formula>
    </cfRule>
  </conditionalFormatting>
  <conditionalFormatting sqref="V126">
    <cfRule type="cellIs" priority="570" operator="lessThanOrEqual" aboveAverage="0" equalAverage="0" bottom="0" percent="0" rank="0" text="" dxfId="0">
      <formula>F126</formula>
    </cfRule>
  </conditionalFormatting>
  <conditionalFormatting sqref="V127">
    <cfRule type="cellIs" priority="571" operator="lessThanOrEqual" aboveAverage="0" equalAverage="0" bottom="0" percent="0" rank="0" text="" dxfId="0">
      <formula>F127</formula>
    </cfRule>
  </conditionalFormatting>
  <conditionalFormatting sqref="V129">
    <cfRule type="cellIs" priority="572" operator="lessThanOrEqual" aboveAverage="0" equalAverage="0" bottom="0" percent="0" rank="0" text="" dxfId="0">
      <formula>F129</formula>
    </cfRule>
  </conditionalFormatting>
  <conditionalFormatting sqref="V13">
    <cfRule type="cellIs" priority="573" operator="lessThanOrEqual" aboveAverage="0" equalAverage="0" bottom="0" percent="0" rank="0" text="" dxfId="0">
      <formula>F13</formula>
    </cfRule>
  </conditionalFormatting>
  <conditionalFormatting sqref="V130">
    <cfRule type="cellIs" priority="574" operator="lessThanOrEqual" aboveAverage="0" equalAverage="0" bottom="0" percent="0" rank="0" text="" dxfId="0">
      <formula>F130</formula>
    </cfRule>
  </conditionalFormatting>
  <conditionalFormatting sqref="V134">
    <cfRule type="cellIs" priority="575" operator="lessThanOrEqual" aboveAverage="0" equalAverage="0" bottom="0" percent="0" rank="0" text="" dxfId="0">
      <formula>F134</formula>
    </cfRule>
  </conditionalFormatting>
  <conditionalFormatting sqref="V135">
    <cfRule type="cellIs" priority="576" operator="lessThanOrEqual" aboveAverage="0" equalAverage="0" bottom="0" percent="0" rank="0" text="" dxfId="0">
      <formula>F135</formula>
    </cfRule>
  </conditionalFormatting>
  <conditionalFormatting sqref="V137">
    <cfRule type="cellIs" priority="577" operator="lessThanOrEqual" aboveAverage="0" equalAverage="0" bottom="0" percent="0" rank="0" text="" dxfId="0">
      <formula>F137</formula>
    </cfRule>
  </conditionalFormatting>
  <conditionalFormatting sqref="V138">
    <cfRule type="cellIs" priority="578" operator="lessThanOrEqual" aboveAverage="0" equalAverage="0" bottom="0" percent="0" rank="0" text="" dxfId="0">
      <formula>F138</formula>
    </cfRule>
  </conditionalFormatting>
  <conditionalFormatting sqref="V139">
    <cfRule type="cellIs" priority="579" operator="lessThanOrEqual" aboveAverage="0" equalAverage="0" bottom="0" percent="0" rank="0" text="" dxfId="0">
      <formula>F139</formula>
    </cfRule>
  </conditionalFormatting>
  <conditionalFormatting sqref="V140">
    <cfRule type="cellIs" priority="580" operator="lessThanOrEqual" aboveAverage="0" equalAverage="0" bottom="0" percent="0" rank="0" text="" dxfId="0">
      <formula>F140</formula>
    </cfRule>
  </conditionalFormatting>
  <conditionalFormatting sqref="V141">
    <cfRule type="cellIs" priority="581" operator="lessThanOrEqual" aboveAverage="0" equalAverage="0" bottom="0" percent="0" rank="0" text="" dxfId="0">
      <formula>F141</formula>
    </cfRule>
  </conditionalFormatting>
  <conditionalFormatting sqref="V145">
    <cfRule type="cellIs" priority="582" operator="lessThanOrEqual" aboveAverage="0" equalAverage="0" bottom="0" percent="0" rank="0" text="" dxfId="0">
      <formula>F145</formula>
    </cfRule>
  </conditionalFormatting>
  <conditionalFormatting sqref="V146">
    <cfRule type="cellIs" priority="583" operator="lessThanOrEqual" aboveAverage="0" equalAverage="0" bottom="0" percent="0" rank="0" text="" dxfId="0">
      <formula>F146</formula>
    </cfRule>
  </conditionalFormatting>
  <conditionalFormatting sqref="V147">
    <cfRule type="cellIs" priority="584" operator="lessThanOrEqual" aboveAverage="0" equalAverage="0" bottom="0" percent="0" rank="0" text="" dxfId="0">
      <formula>F147</formula>
    </cfRule>
  </conditionalFormatting>
  <conditionalFormatting sqref="V149">
    <cfRule type="cellIs" priority="585" operator="lessThanOrEqual" aboveAverage="0" equalAverage="0" bottom="0" percent="0" rank="0" text="" dxfId="0">
      <formula>F149</formula>
    </cfRule>
  </conditionalFormatting>
  <conditionalFormatting sqref="V150">
    <cfRule type="cellIs" priority="586" operator="lessThanOrEqual" aboveAverage="0" equalAverage="0" bottom="0" percent="0" rank="0" text="" dxfId="0">
      <formula>F150</formula>
    </cfRule>
  </conditionalFormatting>
  <conditionalFormatting sqref="V151">
    <cfRule type="cellIs" priority="587" operator="lessThanOrEqual" aboveAverage="0" equalAverage="0" bottom="0" percent="0" rank="0" text="" dxfId="0">
      <formula>F151</formula>
    </cfRule>
  </conditionalFormatting>
  <conditionalFormatting sqref="V153">
    <cfRule type="cellIs" priority="588" operator="lessThanOrEqual" aboveAverage="0" equalAverage="0" bottom="0" percent="0" rank="0" text="" dxfId="0">
      <formula>F153</formula>
    </cfRule>
  </conditionalFormatting>
  <conditionalFormatting sqref="V154">
    <cfRule type="cellIs" priority="589" operator="lessThanOrEqual" aboveAverage="0" equalAverage="0" bottom="0" percent="0" rank="0" text="" dxfId="0">
      <formula>F154</formula>
    </cfRule>
  </conditionalFormatting>
  <conditionalFormatting sqref="V156">
    <cfRule type="cellIs" priority="590" operator="lessThanOrEqual" aboveAverage="0" equalAverage="0" bottom="0" percent="0" rank="0" text="" dxfId="0">
      <formula>F156</formula>
    </cfRule>
  </conditionalFormatting>
  <conditionalFormatting sqref="V157">
    <cfRule type="cellIs" priority="591" operator="lessThanOrEqual" aboveAverage="0" equalAverage="0" bottom="0" percent="0" rank="0" text="" dxfId="0">
      <formula>F157</formula>
    </cfRule>
  </conditionalFormatting>
  <conditionalFormatting sqref="V16">
    <cfRule type="cellIs" priority="592" operator="lessThanOrEqual" aboveAverage="0" equalAverage="0" bottom="0" percent="0" rank="0" text="" dxfId="0">
      <formula>F16</formula>
    </cfRule>
  </conditionalFormatting>
  <conditionalFormatting sqref="V160">
    <cfRule type="cellIs" priority="593" operator="lessThanOrEqual" aboveAverage="0" equalAverage="0" bottom="0" percent="0" rank="0" text="" dxfId="0">
      <formula>F160</formula>
    </cfRule>
  </conditionalFormatting>
  <conditionalFormatting sqref="V163">
    <cfRule type="cellIs" priority="594" operator="lessThanOrEqual" aboveAverage="0" equalAverage="0" bottom="0" percent="0" rank="0" text="" dxfId="0">
      <formula>F163</formula>
    </cfRule>
  </conditionalFormatting>
  <conditionalFormatting sqref="V18">
    <cfRule type="cellIs" priority="595" operator="lessThanOrEqual" aboveAverage="0" equalAverage="0" bottom="0" percent="0" rank="0" text="" dxfId="0">
      <formula>F18</formula>
    </cfRule>
  </conditionalFormatting>
  <conditionalFormatting sqref="V19">
    <cfRule type="cellIs" priority="596" operator="lessThanOrEqual" aboveAverage="0" equalAverage="0" bottom="0" percent="0" rank="0" text="" dxfId="0">
      <formula>F19</formula>
    </cfRule>
  </conditionalFormatting>
  <conditionalFormatting sqref="V20">
    <cfRule type="cellIs" priority="597" operator="lessThanOrEqual" aboveAverage="0" equalAverage="0" bottom="0" percent="0" rank="0" text="" dxfId="0">
      <formula>F20</formula>
    </cfRule>
  </conditionalFormatting>
  <conditionalFormatting sqref="V21">
    <cfRule type="cellIs" priority="598" operator="lessThanOrEqual" aboveAverage="0" equalAverage="0" bottom="0" percent="0" rank="0" text="" dxfId="0">
      <formula>F21</formula>
    </cfRule>
  </conditionalFormatting>
  <conditionalFormatting sqref="V22">
    <cfRule type="cellIs" priority="599" operator="lessThanOrEqual" aboveAverage="0" equalAverage="0" bottom="0" percent="0" rank="0" text="" dxfId="0">
      <formula>F22</formula>
    </cfRule>
  </conditionalFormatting>
  <conditionalFormatting sqref="V23">
    <cfRule type="cellIs" priority="600" operator="lessThanOrEqual" aboveAverage="0" equalAverage="0" bottom="0" percent="0" rank="0" text="" dxfId="0">
      <formula>F23</formula>
    </cfRule>
  </conditionalFormatting>
  <conditionalFormatting sqref="V24">
    <cfRule type="cellIs" priority="601" operator="lessThanOrEqual" aboveAverage="0" equalAverage="0" bottom="0" percent="0" rank="0" text="" dxfId="0">
      <formula>F24</formula>
    </cfRule>
  </conditionalFormatting>
  <conditionalFormatting sqref="V30">
    <cfRule type="cellIs" priority="602" operator="lessThanOrEqual" aboveAverage="0" equalAverage="0" bottom="0" percent="0" rank="0" text="" dxfId="0">
      <formula>F30</formula>
    </cfRule>
  </conditionalFormatting>
  <conditionalFormatting sqref="V31">
    <cfRule type="cellIs" priority="603" operator="lessThanOrEqual" aboveAverage="0" equalAverage="0" bottom="0" percent="0" rank="0" text="" dxfId="0">
      <formula>F31</formula>
    </cfRule>
  </conditionalFormatting>
  <conditionalFormatting sqref="V32">
    <cfRule type="cellIs" priority="604" operator="lessThanOrEqual" aboveAverage="0" equalAverage="0" bottom="0" percent="0" rank="0" text="" dxfId="0">
      <formula>F32</formula>
    </cfRule>
  </conditionalFormatting>
  <conditionalFormatting sqref="V33">
    <cfRule type="cellIs" priority="605" operator="lessThanOrEqual" aboveAverage="0" equalAverage="0" bottom="0" percent="0" rank="0" text="" dxfId="0">
      <formula>F33</formula>
    </cfRule>
  </conditionalFormatting>
  <conditionalFormatting sqref="V34">
    <cfRule type="cellIs" priority="606" operator="lessThanOrEqual" aboveAverage="0" equalAverage="0" bottom="0" percent="0" rank="0" text="" dxfId="0">
      <formula>F34</formula>
    </cfRule>
  </conditionalFormatting>
  <conditionalFormatting sqref="V35">
    <cfRule type="cellIs" priority="607" operator="lessThanOrEqual" aboveAverage="0" equalAverage="0" bottom="0" percent="0" rank="0" text="" dxfId="0">
      <formula>F35</formula>
    </cfRule>
  </conditionalFormatting>
  <conditionalFormatting sqref="V36">
    <cfRule type="cellIs" priority="608" operator="lessThanOrEqual" aboveAverage="0" equalAverage="0" bottom="0" percent="0" rank="0" text="" dxfId="0">
      <formula>F36</formula>
    </cfRule>
  </conditionalFormatting>
  <conditionalFormatting sqref="V39">
    <cfRule type="cellIs" priority="609" operator="lessThanOrEqual" aboveAverage="0" equalAverage="0" bottom="0" percent="0" rank="0" text="" dxfId="0">
      <formula>F39</formula>
    </cfRule>
  </conditionalFormatting>
  <conditionalFormatting sqref="V40">
    <cfRule type="cellIs" priority="610" operator="lessThanOrEqual" aboveAverage="0" equalAverage="0" bottom="0" percent="0" rank="0" text="" dxfId="0">
      <formula>F40</formula>
    </cfRule>
  </conditionalFormatting>
  <conditionalFormatting sqref="V41">
    <cfRule type="cellIs" priority="611" operator="lessThanOrEqual" aboveAverage="0" equalAverage="0" bottom="0" percent="0" rank="0" text="" dxfId="0">
      <formula>F41</formula>
    </cfRule>
  </conditionalFormatting>
  <conditionalFormatting sqref="V44">
    <cfRule type="cellIs" priority="612" operator="lessThanOrEqual" aboveAverage="0" equalAverage="0" bottom="0" percent="0" rank="0" text="" dxfId="0">
      <formula>F44</formula>
    </cfRule>
  </conditionalFormatting>
  <conditionalFormatting sqref="V46">
    <cfRule type="cellIs" priority="613" operator="lessThanOrEqual" aboveAverage="0" equalAverage="0" bottom="0" percent="0" rank="0" text="" dxfId="0">
      <formula>F46</formula>
    </cfRule>
  </conditionalFormatting>
  <conditionalFormatting sqref="V47">
    <cfRule type="cellIs" priority="614" operator="lessThanOrEqual" aboveAverage="0" equalAverage="0" bottom="0" percent="0" rank="0" text="" dxfId="0">
      <formula>F47</formula>
    </cfRule>
  </conditionalFormatting>
  <conditionalFormatting sqref="V49">
    <cfRule type="cellIs" priority="615" operator="lessThanOrEqual" aboveAverage="0" equalAverage="0" bottom="0" percent="0" rank="0" text="" dxfId="0">
      <formula>F49</formula>
    </cfRule>
  </conditionalFormatting>
  <conditionalFormatting sqref="V50">
    <cfRule type="cellIs" priority="616" operator="lessThanOrEqual" aboveAverage="0" equalAverage="0" bottom="0" percent="0" rank="0" text="" dxfId="0">
      <formula>F50</formula>
    </cfRule>
  </conditionalFormatting>
  <conditionalFormatting sqref="V51">
    <cfRule type="cellIs" priority="617" operator="lessThanOrEqual" aboveAverage="0" equalAverage="0" bottom="0" percent="0" rank="0" text="" dxfId="0">
      <formula>F51</formula>
    </cfRule>
  </conditionalFormatting>
  <conditionalFormatting sqref="V53">
    <cfRule type="cellIs" priority="618" operator="lessThanOrEqual" aboveAverage="0" equalAverage="0" bottom="0" percent="0" rank="0" text="" dxfId="0">
      <formula>F53</formula>
    </cfRule>
  </conditionalFormatting>
  <conditionalFormatting sqref="V58">
    <cfRule type="cellIs" priority="619" operator="lessThanOrEqual" aboveAverage="0" equalAverage="0" bottom="0" percent="0" rank="0" text="" dxfId="0">
      <formula>F58</formula>
    </cfRule>
  </conditionalFormatting>
  <conditionalFormatting sqref="V59">
    <cfRule type="cellIs" priority="620" operator="lessThanOrEqual" aboveAverage="0" equalAverage="0" bottom="0" percent="0" rank="0" text="" dxfId="0">
      <formula>F59</formula>
    </cfRule>
  </conditionalFormatting>
  <conditionalFormatting sqref="V60">
    <cfRule type="cellIs" priority="621" operator="lessThanOrEqual" aboveAverage="0" equalAverage="0" bottom="0" percent="0" rank="0" text="" dxfId="0">
      <formula>F60</formula>
    </cfRule>
  </conditionalFormatting>
  <conditionalFormatting sqref="V61">
    <cfRule type="cellIs" priority="622" operator="lessThanOrEqual" aboveAverage="0" equalAverage="0" bottom="0" percent="0" rank="0" text="" dxfId="0">
      <formula>F61</formula>
    </cfRule>
  </conditionalFormatting>
  <conditionalFormatting sqref="V62">
    <cfRule type="cellIs" priority="623" operator="lessThanOrEqual" aboveAverage="0" equalAverage="0" bottom="0" percent="0" rank="0" text="" dxfId="0">
      <formula>F62</formula>
    </cfRule>
  </conditionalFormatting>
  <conditionalFormatting sqref="V63">
    <cfRule type="cellIs" priority="624" operator="lessThanOrEqual" aboveAverage="0" equalAverage="0" bottom="0" percent="0" rank="0" text="" dxfId="0">
      <formula>F63</formula>
    </cfRule>
  </conditionalFormatting>
  <conditionalFormatting sqref="V64">
    <cfRule type="cellIs" priority="625" operator="lessThanOrEqual" aboveAverage="0" equalAverage="0" bottom="0" percent="0" rank="0" text="" dxfId="0">
      <formula>F64</formula>
    </cfRule>
  </conditionalFormatting>
  <conditionalFormatting sqref="V65">
    <cfRule type="cellIs" priority="626" operator="lessThanOrEqual" aboveAverage="0" equalAverage="0" bottom="0" percent="0" rank="0" text="" dxfId="0">
      <formula>F65</formula>
    </cfRule>
  </conditionalFormatting>
  <conditionalFormatting sqref="V66">
    <cfRule type="cellIs" priority="627" operator="lessThanOrEqual" aboveAverage="0" equalAverage="0" bottom="0" percent="0" rank="0" text="" dxfId="0">
      <formula>F66</formula>
    </cfRule>
  </conditionalFormatting>
  <conditionalFormatting sqref="V67">
    <cfRule type="cellIs" priority="628" operator="lessThanOrEqual" aboveAverage="0" equalAverage="0" bottom="0" percent="0" rank="0" text="" dxfId="0">
      <formula>F67</formula>
    </cfRule>
  </conditionalFormatting>
  <conditionalFormatting sqref="V68">
    <cfRule type="cellIs" priority="629" operator="lessThanOrEqual" aboveAverage="0" equalAverage="0" bottom="0" percent="0" rank="0" text="" dxfId="0">
      <formula>F68</formula>
    </cfRule>
  </conditionalFormatting>
  <conditionalFormatting sqref="V7">
    <cfRule type="cellIs" priority="630" operator="lessThanOrEqual" aboveAverage="0" equalAverage="0" bottom="0" percent="0" rank="0" text="" dxfId="0">
      <formula>F7</formula>
    </cfRule>
  </conditionalFormatting>
  <conditionalFormatting sqref="V72">
    <cfRule type="cellIs" priority="631" operator="lessThanOrEqual" aboveAverage="0" equalAverage="0" bottom="0" percent="0" rank="0" text="" dxfId="0">
      <formula>F72</formula>
    </cfRule>
  </conditionalFormatting>
  <conditionalFormatting sqref="V73">
    <cfRule type="cellIs" priority="632" operator="lessThanOrEqual" aboveAverage="0" equalAverage="0" bottom="0" percent="0" rank="0" text="" dxfId="0">
      <formula>F73</formula>
    </cfRule>
  </conditionalFormatting>
  <conditionalFormatting sqref="V74">
    <cfRule type="cellIs" priority="633" operator="lessThanOrEqual" aboveAverage="0" equalAverage="0" bottom="0" percent="0" rank="0" text="" dxfId="0">
      <formula>F74</formula>
    </cfRule>
  </conditionalFormatting>
  <conditionalFormatting sqref="V78">
    <cfRule type="cellIs" priority="634" operator="lessThanOrEqual" aboveAverage="0" equalAverage="0" bottom="0" percent="0" rank="0" text="" dxfId="0">
      <formula>F78</formula>
    </cfRule>
  </conditionalFormatting>
  <conditionalFormatting sqref="V80">
    <cfRule type="cellIs" priority="635" operator="lessThanOrEqual" aboveAverage="0" equalAverage="0" bottom="0" percent="0" rank="0" text="" dxfId="0">
      <formula>F80</formula>
    </cfRule>
  </conditionalFormatting>
  <conditionalFormatting sqref="V83">
    <cfRule type="cellIs" priority="636" operator="lessThanOrEqual" aboveAverage="0" equalAverage="0" bottom="0" percent="0" rank="0" text="" dxfId="0">
      <formula>F83</formula>
    </cfRule>
  </conditionalFormatting>
  <conditionalFormatting sqref="V85">
    <cfRule type="cellIs" priority="637" operator="lessThanOrEqual" aboveAverage="0" equalAverage="0" bottom="0" percent="0" rank="0" text="" dxfId="0">
      <formula>F85</formula>
    </cfRule>
  </conditionalFormatting>
  <conditionalFormatting sqref="V89">
    <cfRule type="cellIs" priority="638" operator="lessThanOrEqual" aboveAverage="0" equalAverage="0" bottom="0" percent="0" rank="0" text="" dxfId="0">
      <formula>F89</formula>
    </cfRule>
  </conditionalFormatting>
  <conditionalFormatting sqref="V9">
    <cfRule type="cellIs" priority="639" operator="lessThanOrEqual" aboveAverage="0" equalAverage="0" bottom="0" percent="0" rank="0" text="" dxfId="0">
      <formula>F9</formula>
    </cfRule>
  </conditionalFormatting>
  <conditionalFormatting sqref="V90">
    <cfRule type="cellIs" priority="640" operator="lessThanOrEqual" aboveAverage="0" equalAverage="0" bottom="0" percent="0" rank="0" text="" dxfId="0">
      <formula>F90</formula>
    </cfRule>
  </conditionalFormatting>
  <conditionalFormatting sqref="V92">
    <cfRule type="cellIs" priority="641" operator="lessThanOrEqual" aboveAverage="0" equalAverage="0" bottom="0" percent="0" rank="0" text="" dxfId="0">
      <formula>F92</formula>
    </cfRule>
  </conditionalFormatting>
  <conditionalFormatting sqref="V96">
    <cfRule type="cellIs" priority="642" operator="lessThanOrEqual" aboveAverage="0" equalAverage="0" bottom="0" percent="0" rank="0" text="" dxfId="0">
      <formula>F96</formula>
    </cfRule>
  </conditionalFormatting>
  <conditionalFormatting sqref="V97">
    <cfRule type="cellIs" priority="643" operator="lessThanOrEqual" aboveAverage="0" equalAverage="0" bottom="0" percent="0" rank="0" text="" dxfId="0">
      <formula>F97</formula>
    </cfRule>
  </conditionalFormatting>
  <conditionalFormatting sqref="V98">
    <cfRule type="cellIs" priority="644" operator="lessThanOrEqual" aboveAverage="0" equalAverage="0" bottom="0" percent="0" rank="0" text="" dxfId="0">
      <formula>F98</formula>
    </cfRule>
  </conditionalFormatting>
  <conditionalFormatting sqref="W10">
    <cfRule type="cellIs" priority="645" operator="lessThanOrEqual" aboveAverage="0" equalAverage="0" bottom="0" percent="0" rank="0" text="" dxfId="0">
      <formula>G10</formula>
    </cfRule>
  </conditionalFormatting>
  <conditionalFormatting sqref="W101">
    <cfRule type="cellIs" priority="646" operator="lessThanOrEqual" aboveAverage="0" equalAverage="0" bottom="0" percent="0" rank="0" text="" dxfId="0">
      <formula>G101</formula>
    </cfRule>
  </conditionalFormatting>
  <conditionalFormatting sqref="W102">
    <cfRule type="cellIs" priority="647" operator="lessThanOrEqual" aboveAverage="0" equalAverage="0" bottom="0" percent="0" rank="0" text="" dxfId="0">
      <formula>G102</formula>
    </cfRule>
  </conditionalFormatting>
  <conditionalFormatting sqref="W106">
    <cfRule type="cellIs" priority="648" operator="lessThanOrEqual" aboveAverage="0" equalAverage="0" bottom="0" percent="0" rank="0" text="" dxfId="0">
      <formula>G106</formula>
    </cfRule>
  </conditionalFormatting>
  <conditionalFormatting sqref="W108">
    <cfRule type="cellIs" priority="649" operator="lessThanOrEqual" aboveAverage="0" equalAverage="0" bottom="0" percent="0" rank="0" text="" dxfId="0">
      <formula>G108</formula>
    </cfRule>
  </conditionalFormatting>
  <conditionalFormatting sqref="W109">
    <cfRule type="cellIs" priority="650" operator="lessThanOrEqual" aboveAverage="0" equalAverage="0" bottom="0" percent="0" rank="0" text="" dxfId="0">
      <formula>G109</formula>
    </cfRule>
  </conditionalFormatting>
  <conditionalFormatting sqref="W11">
    <cfRule type="cellIs" priority="651" operator="lessThanOrEqual" aboveAverage="0" equalAverage="0" bottom="0" percent="0" rank="0" text="" dxfId="0">
      <formula>G11</formula>
    </cfRule>
  </conditionalFormatting>
  <conditionalFormatting sqref="W111">
    <cfRule type="cellIs" priority="652" operator="lessThanOrEqual" aboveAverage="0" equalAverage="0" bottom="0" percent="0" rank="0" text="" dxfId="0">
      <formula>G111</formula>
    </cfRule>
  </conditionalFormatting>
  <conditionalFormatting sqref="W112">
    <cfRule type="cellIs" priority="653" operator="lessThanOrEqual" aboveAverage="0" equalAverage="0" bottom="0" percent="0" rank="0" text="" dxfId="0">
      <formula>G112</formula>
    </cfRule>
  </conditionalFormatting>
  <conditionalFormatting sqref="W113">
    <cfRule type="cellIs" priority="654" operator="lessThanOrEqual" aboveAverage="0" equalAverage="0" bottom="0" percent="0" rank="0" text="" dxfId="0">
      <formula>G113</formula>
    </cfRule>
  </conditionalFormatting>
  <conditionalFormatting sqref="W114">
    <cfRule type="cellIs" priority="655" operator="lessThanOrEqual" aboveAverage="0" equalAverage="0" bottom="0" percent="0" rank="0" text="" dxfId="0">
      <formula>G114</formula>
    </cfRule>
  </conditionalFormatting>
  <conditionalFormatting sqref="W115">
    <cfRule type="cellIs" priority="656" operator="lessThanOrEqual" aboveAverage="0" equalAverage="0" bottom="0" percent="0" rank="0" text="" dxfId="0">
      <formula>G115</formula>
    </cfRule>
  </conditionalFormatting>
  <conditionalFormatting sqref="W116">
    <cfRule type="cellIs" priority="657" operator="lessThanOrEqual" aboveAverage="0" equalAverage="0" bottom="0" percent="0" rank="0" text="" dxfId="0">
      <formula>G116</formula>
    </cfRule>
  </conditionalFormatting>
  <conditionalFormatting sqref="W117">
    <cfRule type="cellIs" priority="658" operator="lessThanOrEqual" aboveAverage="0" equalAverage="0" bottom="0" percent="0" rank="0" text="" dxfId="0">
      <formula>G117</formula>
    </cfRule>
  </conditionalFormatting>
  <conditionalFormatting sqref="W118">
    <cfRule type="cellIs" priority="659" operator="lessThanOrEqual" aboveAverage="0" equalAverage="0" bottom="0" percent="0" rank="0" text="" dxfId="0">
      <formula>G118</formula>
    </cfRule>
  </conditionalFormatting>
  <conditionalFormatting sqref="W119">
    <cfRule type="cellIs" priority="660" operator="lessThanOrEqual" aboveAverage="0" equalAverage="0" bottom="0" percent="0" rank="0" text="" dxfId="0">
      <formula>G119</formula>
    </cfRule>
  </conditionalFormatting>
  <conditionalFormatting sqref="W120">
    <cfRule type="cellIs" priority="661" operator="lessThanOrEqual" aboveAverage="0" equalAverage="0" bottom="0" percent="0" rank="0" text="" dxfId="0">
      <formula>G120</formula>
    </cfRule>
  </conditionalFormatting>
  <conditionalFormatting sqref="W125">
    <cfRule type="cellIs" priority="662" operator="lessThanOrEqual" aboveAverage="0" equalAverage="0" bottom="0" percent="0" rank="0" text="" dxfId="0">
      <formula>G125</formula>
    </cfRule>
  </conditionalFormatting>
  <conditionalFormatting sqref="W126">
    <cfRule type="cellIs" priority="663" operator="lessThanOrEqual" aboveAverage="0" equalAverage="0" bottom="0" percent="0" rank="0" text="" dxfId="0">
      <formula>G126</formula>
    </cfRule>
  </conditionalFormatting>
  <conditionalFormatting sqref="W127">
    <cfRule type="cellIs" priority="664" operator="lessThanOrEqual" aboveAverage="0" equalAverage="0" bottom="0" percent="0" rank="0" text="" dxfId="0">
      <formula>G127</formula>
    </cfRule>
  </conditionalFormatting>
  <conditionalFormatting sqref="W129">
    <cfRule type="cellIs" priority="665" operator="lessThanOrEqual" aboveAverage="0" equalAverage="0" bottom="0" percent="0" rank="0" text="" dxfId="0">
      <formula>G129</formula>
    </cfRule>
  </conditionalFormatting>
  <conditionalFormatting sqref="W13">
    <cfRule type="cellIs" priority="666" operator="lessThanOrEqual" aboveAverage="0" equalAverage="0" bottom="0" percent="0" rank="0" text="" dxfId="0">
      <formula>G13</formula>
    </cfRule>
  </conditionalFormatting>
  <conditionalFormatting sqref="W130">
    <cfRule type="cellIs" priority="667" operator="lessThanOrEqual" aboveAverage="0" equalAverage="0" bottom="0" percent="0" rank="0" text="" dxfId="0">
      <formula>G130</formula>
    </cfRule>
  </conditionalFormatting>
  <conditionalFormatting sqref="W134">
    <cfRule type="cellIs" priority="668" operator="lessThanOrEqual" aboveAverage="0" equalAverage="0" bottom="0" percent="0" rank="0" text="" dxfId="0">
      <formula>G134</formula>
    </cfRule>
  </conditionalFormatting>
  <conditionalFormatting sqref="W135">
    <cfRule type="cellIs" priority="669" operator="lessThanOrEqual" aboveAverage="0" equalAverage="0" bottom="0" percent="0" rank="0" text="" dxfId="0">
      <formula>G135</formula>
    </cfRule>
  </conditionalFormatting>
  <conditionalFormatting sqref="W137">
    <cfRule type="cellIs" priority="670" operator="lessThanOrEqual" aboveAverage="0" equalAverage="0" bottom="0" percent="0" rank="0" text="" dxfId="0">
      <formula>G137</formula>
    </cfRule>
  </conditionalFormatting>
  <conditionalFormatting sqref="W138">
    <cfRule type="cellIs" priority="671" operator="lessThanOrEqual" aboveAverage="0" equalAverage="0" bottom="0" percent="0" rank="0" text="" dxfId="0">
      <formula>G138</formula>
    </cfRule>
  </conditionalFormatting>
  <conditionalFormatting sqref="W139">
    <cfRule type="cellIs" priority="672" operator="lessThanOrEqual" aboveAverage="0" equalAverage="0" bottom="0" percent="0" rank="0" text="" dxfId="0">
      <formula>G139</formula>
    </cfRule>
  </conditionalFormatting>
  <conditionalFormatting sqref="W140">
    <cfRule type="cellIs" priority="673" operator="lessThanOrEqual" aboveAverage="0" equalAverage="0" bottom="0" percent="0" rank="0" text="" dxfId="0">
      <formula>G140</formula>
    </cfRule>
  </conditionalFormatting>
  <conditionalFormatting sqref="W141">
    <cfRule type="cellIs" priority="674" operator="lessThanOrEqual" aboveAverage="0" equalAverage="0" bottom="0" percent="0" rank="0" text="" dxfId="0">
      <formula>G141</formula>
    </cfRule>
  </conditionalFormatting>
  <conditionalFormatting sqref="W145">
    <cfRule type="cellIs" priority="675" operator="lessThanOrEqual" aboveAverage="0" equalAverage="0" bottom="0" percent="0" rank="0" text="" dxfId="0">
      <formula>G145</formula>
    </cfRule>
  </conditionalFormatting>
  <conditionalFormatting sqref="W146">
    <cfRule type="cellIs" priority="676" operator="lessThanOrEqual" aboveAverage="0" equalAverage="0" bottom="0" percent="0" rank="0" text="" dxfId="0">
      <formula>G146</formula>
    </cfRule>
  </conditionalFormatting>
  <conditionalFormatting sqref="W147">
    <cfRule type="cellIs" priority="677" operator="lessThanOrEqual" aboveAverage="0" equalAverage="0" bottom="0" percent="0" rank="0" text="" dxfId="0">
      <formula>G147</formula>
    </cfRule>
  </conditionalFormatting>
  <conditionalFormatting sqref="W149">
    <cfRule type="cellIs" priority="678" operator="lessThanOrEqual" aboveAverage="0" equalAverage="0" bottom="0" percent="0" rank="0" text="" dxfId="0">
      <formula>G149</formula>
    </cfRule>
  </conditionalFormatting>
  <conditionalFormatting sqref="W150">
    <cfRule type="cellIs" priority="679" operator="lessThanOrEqual" aboveAverage="0" equalAverage="0" bottom="0" percent="0" rank="0" text="" dxfId="0">
      <formula>G150</formula>
    </cfRule>
  </conditionalFormatting>
  <conditionalFormatting sqref="W151">
    <cfRule type="cellIs" priority="680" operator="lessThanOrEqual" aboveAverage="0" equalAverage="0" bottom="0" percent="0" rank="0" text="" dxfId="0">
      <formula>G151</formula>
    </cfRule>
  </conditionalFormatting>
  <conditionalFormatting sqref="W153">
    <cfRule type="cellIs" priority="681" operator="lessThanOrEqual" aboveAverage="0" equalAverage="0" bottom="0" percent="0" rank="0" text="" dxfId="0">
      <formula>G153</formula>
    </cfRule>
  </conditionalFormatting>
  <conditionalFormatting sqref="W154">
    <cfRule type="cellIs" priority="682" operator="lessThanOrEqual" aboveAverage="0" equalAverage="0" bottom="0" percent="0" rank="0" text="" dxfId="0">
      <formula>G154</formula>
    </cfRule>
  </conditionalFormatting>
  <conditionalFormatting sqref="W156">
    <cfRule type="cellIs" priority="683" operator="lessThanOrEqual" aboveAverage="0" equalAverage="0" bottom="0" percent="0" rank="0" text="" dxfId="0">
      <formula>G156</formula>
    </cfRule>
  </conditionalFormatting>
  <conditionalFormatting sqref="W157">
    <cfRule type="cellIs" priority="684" operator="lessThanOrEqual" aboveAverage="0" equalAverage="0" bottom="0" percent="0" rank="0" text="" dxfId="0">
      <formula>G157</formula>
    </cfRule>
  </conditionalFormatting>
  <conditionalFormatting sqref="W16">
    <cfRule type="cellIs" priority="685" operator="lessThanOrEqual" aboveAverage="0" equalAverage="0" bottom="0" percent="0" rank="0" text="" dxfId="0">
      <formula>G16</formula>
    </cfRule>
  </conditionalFormatting>
  <conditionalFormatting sqref="W160">
    <cfRule type="cellIs" priority="686" operator="lessThanOrEqual" aboveAverage="0" equalAverage="0" bottom="0" percent="0" rank="0" text="" dxfId="0">
      <formula>G160</formula>
    </cfRule>
  </conditionalFormatting>
  <conditionalFormatting sqref="W163">
    <cfRule type="cellIs" priority="687" operator="lessThanOrEqual" aboveAverage="0" equalAverage="0" bottom="0" percent="0" rank="0" text="" dxfId="0">
      <formula>G163</formula>
    </cfRule>
  </conditionalFormatting>
  <conditionalFormatting sqref="W18">
    <cfRule type="cellIs" priority="688" operator="lessThanOrEqual" aboveAverage="0" equalAverage="0" bottom="0" percent="0" rank="0" text="" dxfId="0">
      <formula>G18</formula>
    </cfRule>
  </conditionalFormatting>
  <conditionalFormatting sqref="W19">
    <cfRule type="cellIs" priority="689" operator="lessThanOrEqual" aboveAverage="0" equalAverage="0" bottom="0" percent="0" rank="0" text="" dxfId="0">
      <formula>G19</formula>
    </cfRule>
  </conditionalFormatting>
  <conditionalFormatting sqref="W20">
    <cfRule type="cellIs" priority="690" operator="lessThanOrEqual" aboveAverage="0" equalAverage="0" bottom="0" percent="0" rank="0" text="" dxfId="0">
      <formula>G20</formula>
    </cfRule>
  </conditionalFormatting>
  <conditionalFormatting sqref="W21">
    <cfRule type="cellIs" priority="691" operator="lessThanOrEqual" aboveAverage="0" equalAverage="0" bottom="0" percent="0" rank="0" text="" dxfId="0">
      <formula>G21</formula>
    </cfRule>
  </conditionalFormatting>
  <conditionalFormatting sqref="W22">
    <cfRule type="cellIs" priority="692" operator="lessThanOrEqual" aboveAverage="0" equalAverage="0" bottom="0" percent="0" rank="0" text="" dxfId="0">
      <formula>G22</formula>
    </cfRule>
  </conditionalFormatting>
  <conditionalFormatting sqref="W23">
    <cfRule type="cellIs" priority="693" operator="lessThanOrEqual" aboveAverage="0" equalAverage="0" bottom="0" percent="0" rank="0" text="" dxfId="0">
      <formula>G23</formula>
    </cfRule>
  </conditionalFormatting>
  <conditionalFormatting sqref="W24">
    <cfRule type="cellIs" priority="694" operator="lessThanOrEqual" aboveAverage="0" equalAverage="0" bottom="0" percent="0" rank="0" text="" dxfId="0">
      <formula>G24</formula>
    </cfRule>
  </conditionalFormatting>
  <conditionalFormatting sqref="W30">
    <cfRule type="cellIs" priority="695" operator="lessThanOrEqual" aboveAverage="0" equalAverage="0" bottom="0" percent="0" rank="0" text="" dxfId="0">
      <formula>G30</formula>
    </cfRule>
  </conditionalFormatting>
  <conditionalFormatting sqref="W31">
    <cfRule type="cellIs" priority="696" operator="lessThanOrEqual" aboveAverage="0" equalAverage="0" bottom="0" percent="0" rank="0" text="" dxfId="0">
      <formula>G31</formula>
    </cfRule>
  </conditionalFormatting>
  <conditionalFormatting sqref="W32">
    <cfRule type="cellIs" priority="697" operator="lessThanOrEqual" aboveAverage="0" equalAverage="0" bottom="0" percent="0" rank="0" text="" dxfId="0">
      <formula>G32</formula>
    </cfRule>
  </conditionalFormatting>
  <conditionalFormatting sqref="W33">
    <cfRule type="cellIs" priority="698" operator="lessThanOrEqual" aboveAverage="0" equalAverage="0" bottom="0" percent="0" rank="0" text="" dxfId="0">
      <formula>G33</formula>
    </cfRule>
  </conditionalFormatting>
  <conditionalFormatting sqref="W34">
    <cfRule type="cellIs" priority="699" operator="lessThanOrEqual" aboveAverage="0" equalAverage="0" bottom="0" percent="0" rank="0" text="" dxfId="0">
      <formula>G34</formula>
    </cfRule>
  </conditionalFormatting>
  <conditionalFormatting sqref="W35">
    <cfRule type="cellIs" priority="700" operator="lessThanOrEqual" aboveAverage="0" equalAverage="0" bottom="0" percent="0" rank="0" text="" dxfId="0">
      <formula>G35</formula>
    </cfRule>
  </conditionalFormatting>
  <conditionalFormatting sqref="W36">
    <cfRule type="cellIs" priority="701" operator="lessThanOrEqual" aboveAverage="0" equalAverage="0" bottom="0" percent="0" rank="0" text="" dxfId="0">
      <formula>G36</formula>
    </cfRule>
  </conditionalFormatting>
  <conditionalFormatting sqref="W39">
    <cfRule type="cellIs" priority="702" operator="lessThanOrEqual" aboveAverage="0" equalAverage="0" bottom="0" percent="0" rank="0" text="" dxfId="0">
      <formula>G39</formula>
    </cfRule>
  </conditionalFormatting>
  <conditionalFormatting sqref="W40">
    <cfRule type="cellIs" priority="703" operator="lessThanOrEqual" aboveAverage="0" equalAverage="0" bottom="0" percent="0" rank="0" text="" dxfId="0">
      <formula>G40</formula>
    </cfRule>
  </conditionalFormatting>
  <conditionalFormatting sqref="W41">
    <cfRule type="cellIs" priority="704" operator="lessThanOrEqual" aboveAverage="0" equalAverage="0" bottom="0" percent="0" rank="0" text="" dxfId="0">
      <formula>G41</formula>
    </cfRule>
  </conditionalFormatting>
  <conditionalFormatting sqref="W44">
    <cfRule type="cellIs" priority="705" operator="lessThanOrEqual" aboveAverage="0" equalAverage="0" bottom="0" percent="0" rank="0" text="" dxfId="0">
      <formula>G44</formula>
    </cfRule>
  </conditionalFormatting>
  <conditionalFormatting sqref="W46">
    <cfRule type="cellIs" priority="706" operator="lessThanOrEqual" aboveAverage="0" equalAverage="0" bottom="0" percent="0" rank="0" text="" dxfId="0">
      <formula>G46</formula>
    </cfRule>
  </conditionalFormatting>
  <conditionalFormatting sqref="W47">
    <cfRule type="cellIs" priority="707" operator="lessThanOrEqual" aboveAverage="0" equalAverage="0" bottom="0" percent="0" rank="0" text="" dxfId="0">
      <formula>G47</formula>
    </cfRule>
  </conditionalFormatting>
  <conditionalFormatting sqref="W49">
    <cfRule type="cellIs" priority="708" operator="lessThanOrEqual" aboveAverage="0" equalAverage="0" bottom="0" percent="0" rank="0" text="" dxfId="0">
      <formula>G49</formula>
    </cfRule>
  </conditionalFormatting>
  <conditionalFormatting sqref="W50">
    <cfRule type="cellIs" priority="709" operator="lessThanOrEqual" aboveAverage="0" equalAverage="0" bottom="0" percent="0" rank="0" text="" dxfId="0">
      <formula>G50</formula>
    </cfRule>
  </conditionalFormatting>
  <conditionalFormatting sqref="W51">
    <cfRule type="cellIs" priority="710" operator="lessThanOrEqual" aboveAverage="0" equalAverage="0" bottom="0" percent="0" rank="0" text="" dxfId="0">
      <formula>G51</formula>
    </cfRule>
  </conditionalFormatting>
  <conditionalFormatting sqref="W53">
    <cfRule type="cellIs" priority="711" operator="lessThanOrEqual" aboveAverage="0" equalAverage="0" bottom="0" percent="0" rank="0" text="" dxfId="0">
      <formula>G53</formula>
    </cfRule>
  </conditionalFormatting>
  <conditionalFormatting sqref="W58">
    <cfRule type="cellIs" priority="712" operator="lessThanOrEqual" aboveAverage="0" equalAverage="0" bottom="0" percent="0" rank="0" text="" dxfId="0">
      <formula>G58</formula>
    </cfRule>
  </conditionalFormatting>
  <conditionalFormatting sqref="W59">
    <cfRule type="cellIs" priority="713" operator="lessThanOrEqual" aboveAverage="0" equalAverage="0" bottom="0" percent="0" rank="0" text="" dxfId="0">
      <formula>G59</formula>
    </cfRule>
  </conditionalFormatting>
  <conditionalFormatting sqref="W60">
    <cfRule type="cellIs" priority="714" operator="lessThanOrEqual" aboveAverage="0" equalAverage="0" bottom="0" percent="0" rank="0" text="" dxfId="0">
      <formula>G60</formula>
    </cfRule>
  </conditionalFormatting>
  <conditionalFormatting sqref="W61">
    <cfRule type="cellIs" priority="715" operator="lessThanOrEqual" aboveAverage="0" equalAverage="0" bottom="0" percent="0" rank="0" text="" dxfId="0">
      <formula>G61</formula>
    </cfRule>
  </conditionalFormatting>
  <conditionalFormatting sqref="W62">
    <cfRule type="cellIs" priority="716" operator="lessThanOrEqual" aboveAverage="0" equalAverage="0" bottom="0" percent="0" rank="0" text="" dxfId="0">
      <formula>G62</formula>
    </cfRule>
  </conditionalFormatting>
  <conditionalFormatting sqref="W63">
    <cfRule type="cellIs" priority="717" operator="lessThanOrEqual" aboveAverage="0" equalAverage="0" bottom="0" percent="0" rank="0" text="" dxfId="0">
      <formula>G63</formula>
    </cfRule>
  </conditionalFormatting>
  <conditionalFormatting sqref="W64">
    <cfRule type="cellIs" priority="718" operator="lessThanOrEqual" aboveAverage="0" equalAverage="0" bottom="0" percent="0" rank="0" text="" dxfId="0">
      <formula>G64</formula>
    </cfRule>
  </conditionalFormatting>
  <conditionalFormatting sqref="W65">
    <cfRule type="cellIs" priority="719" operator="lessThanOrEqual" aboveAverage="0" equalAverage="0" bottom="0" percent="0" rank="0" text="" dxfId="0">
      <formula>G65</formula>
    </cfRule>
  </conditionalFormatting>
  <conditionalFormatting sqref="W66">
    <cfRule type="cellIs" priority="720" operator="lessThanOrEqual" aboveAverage="0" equalAverage="0" bottom="0" percent="0" rank="0" text="" dxfId="0">
      <formula>G66</formula>
    </cfRule>
  </conditionalFormatting>
  <conditionalFormatting sqref="W67">
    <cfRule type="cellIs" priority="721" operator="lessThanOrEqual" aboveAverage="0" equalAverage="0" bottom="0" percent="0" rank="0" text="" dxfId="0">
      <formula>G67</formula>
    </cfRule>
  </conditionalFormatting>
  <conditionalFormatting sqref="W68">
    <cfRule type="cellIs" priority="722" operator="lessThanOrEqual" aboveAverage="0" equalAverage="0" bottom="0" percent="0" rank="0" text="" dxfId="0">
      <formula>G68</formula>
    </cfRule>
  </conditionalFormatting>
  <conditionalFormatting sqref="W7">
    <cfRule type="cellIs" priority="723" operator="lessThanOrEqual" aboveAverage="0" equalAverage="0" bottom="0" percent="0" rank="0" text="" dxfId="0">
      <formula>G7</formula>
    </cfRule>
  </conditionalFormatting>
  <conditionalFormatting sqref="W72">
    <cfRule type="cellIs" priority="724" operator="lessThanOrEqual" aboveAverage="0" equalAverage="0" bottom="0" percent="0" rank="0" text="" dxfId="0">
      <formula>G72</formula>
    </cfRule>
  </conditionalFormatting>
  <conditionalFormatting sqref="W73">
    <cfRule type="cellIs" priority="725" operator="lessThanOrEqual" aboveAverage="0" equalAverage="0" bottom="0" percent="0" rank="0" text="" dxfId="0">
      <formula>G73</formula>
    </cfRule>
  </conditionalFormatting>
  <conditionalFormatting sqref="W74">
    <cfRule type="cellIs" priority="726" operator="lessThanOrEqual" aboveAverage="0" equalAverage="0" bottom="0" percent="0" rank="0" text="" dxfId="0">
      <formula>G74</formula>
    </cfRule>
  </conditionalFormatting>
  <conditionalFormatting sqref="W78">
    <cfRule type="cellIs" priority="727" operator="lessThanOrEqual" aboveAverage="0" equalAverage="0" bottom="0" percent="0" rank="0" text="" dxfId="0">
      <formula>G78</formula>
    </cfRule>
  </conditionalFormatting>
  <conditionalFormatting sqref="W80">
    <cfRule type="cellIs" priority="728" operator="lessThanOrEqual" aboveAverage="0" equalAverage="0" bottom="0" percent="0" rank="0" text="" dxfId="0">
      <formula>G80</formula>
    </cfRule>
  </conditionalFormatting>
  <conditionalFormatting sqref="W83">
    <cfRule type="cellIs" priority="729" operator="lessThanOrEqual" aboveAverage="0" equalAverage="0" bottom="0" percent="0" rank="0" text="" dxfId="0">
      <formula>G83</formula>
    </cfRule>
  </conditionalFormatting>
  <conditionalFormatting sqref="W85">
    <cfRule type="cellIs" priority="730" operator="lessThanOrEqual" aboveAverage="0" equalAverage="0" bottom="0" percent="0" rank="0" text="" dxfId="0">
      <formula>G85</formula>
    </cfRule>
  </conditionalFormatting>
  <conditionalFormatting sqref="W89">
    <cfRule type="cellIs" priority="731" operator="lessThanOrEqual" aboveAverage="0" equalAverage="0" bottom="0" percent="0" rank="0" text="" dxfId="0">
      <formula>G89</formula>
    </cfRule>
  </conditionalFormatting>
  <conditionalFormatting sqref="W9">
    <cfRule type="cellIs" priority="732" operator="lessThanOrEqual" aboveAverage="0" equalAverage="0" bottom="0" percent="0" rank="0" text="" dxfId="0">
      <formula>G9</formula>
    </cfRule>
  </conditionalFormatting>
  <conditionalFormatting sqref="W90">
    <cfRule type="cellIs" priority="733" operator="lessThanOrEqual" aboveAverage="0" equalAverage="0" bottom="0" percent="0" rank="0" text="" dxfId="0">
      <formula>G90</formula>
    </cfRule>
  </conditionalFormatting>
  <conditionalFormatting sqref="W92">
    <cfRule type="cellIs" priority="734" operator="lessThanOrEqual" aboveAverage="0" equalAverage="0" bottom="0" percent="0" rank="0" text="" dxfId="0">
      <formula>G92</formula>
    </cfRule>
  </conditionalFormatting>
  <conditionalFormatting sqref="W96">
    <cfRule type="cellIs" priority="735" operator="lessThanOrEqual" aboveAverage="0" equalAverage="0" bottom="0" percent="0" rank="0" text="" dxfId="0">
      <formula>G96</formula>
    </cfRule>
  </conditionalFormatting>
  <conditionalFormatting sqref="W97">
    <cfRule type="cellIs" priority="736" operator="lessThanOrEqual" aboveAverage="0" equalAverage="0" bottom="0" percent="0" rank="0" text="" dxfId="0">
      <formula>G97</formula>
    </cfRule>
  </conditionalFormatting>
  <conditionalFormatting sqref="W98">
    <cfRule type="cellIs" priority="737" operator="lessThanOrEqual" aboveAverage="0" equalAverage="0" bottom="0" percent="0" rank="0" text="" dxfId="0">
      <formula>G98</formula>
    </cfRule>
  </conditionalFormatting>
  <hyperlinks>
    <hyperlink ref="M7" r:id="rId2" display="Link"/>
    <hyperlink ref="S7" r:id="rId3" display="Link"/>
    <hyperlink ref="Y7" r:id="rId4" display="Link"/>
    <hyperlink ref="M8" r:id="rId5" display="Link"/>
    <hyperlink ref="S8" r:id="rId6" display="Link"/>
    <hyperlink ref="M9" r:id="rId7" display="Link"/>
    <hyperlink ref="S9" r:id="rId8" display="Link"/>
    <hyperlink ref="Y9" r:id="rId9" display="Link"/>
    <hyperlink ref="M10" r:id="rId10" display="Link"/>
    <hyperlink ref="S10" r:id="rId11" display="Link"/>
    <hyperlink ref="Y10" r:id="rId12" display="Link"/>
    <hyperlink ref="M11" r:id="rId13" display="Link"/>
    <hyperlink ref="S11" r:id="rId14" display="Link"/>
    <hyperlink ref="Y11" r:id="rId15" display="Link"/>
    <hyperlink ref="M12" r:id="rId16" display="Link"/>
    <hyperlink ref="S12" r:id="rId17" display="Link"/>
    <hyperlink ref="Y12" r:id="rId18" display="Link"/>
    <hyperlink ref="M13" r:id="rId19" display="Link"/>
    <hyperlink ref="S13" r:id="rId20" display="Link"/>
    <hyperlink ref="Y13" r:id="rId21" display="Link"/>
    <hyperlink ref="M14" r:id="rId22" display="Link"/>
    <hyperlink ref="S14" r:id="rId23" display="Link"/>
    <hyperlink ref="Y14" r:id="rId24" display="Link"/>
    <hyperlink ref="M15" r:id="rId25" display="Link"/>
    <hyperlink ref="S15" r:id="rId26" display="Link"/>
    <hyperlink ref="Y15" r:id="rId27" display="Link"/>
    <hyperlink ref="M16" r:id="rId28" display="Link"/>
    <hyperlink ref="S16" r:id="rId29" display="Link"/>
    <hyperlink ref="Y16" r:id="rId30" display="Link"/>
    <hyperlink ref="M17" r:id="rId31" display="Link"/>
    <hyperlink ref="S17" r:id="rId32" display="Link"/>
    <hyperlink ref="M18" r:id="rId33" display="Link"/>
    <hyperlink ref="S18" r:id="rId34" display="Link"/>
    <hyperlink ref="Y18" r:id="rId35" display="Link"/>
    <hyperlink ref="M19" r:id="rId36" display="Link"/>
    <hyperlink ref="S19" r:id="rId37" display="Link"/>
    <hyperlink ref="Y19" r:id="rId38" display="Link"/>
    <hyperlink ref="M20" r:id="rId39" display="Link"/>
    <hyperlink ref="S20" r:id="rId40" display="Link"/>
    <hyperlink ref="Y20" r:id="rId41" display="Link"/>
    <hyperlink ref="M21" r:id="rId42" display="Link"/>
    <hyperlink ref="S21" r:id="rId43" display="Link"/>
    <hyperlink ref="Y21" r:id="rId44" display="Link"/>
    <hyperlink ref="M22" r:id="rId45" display="Link"/>
    <hyperlink ref="S22" r:id="rId46" display="Link"/>
    <hyperlink ref="Y22" r:id="rId47" display="Link"/>
    <hyperlink ref="M23" r:id="rId48" display="Link"/>
    <hyperlink ref="S23" r:id="rId49" display="Link"/>
    <hyperlink ref="Y23" r:id="rId50" display="Link"/>
    <hyperlink ref="M24" r:id="rId51" display="Link"/>
    <hyperlink ref="S24" r:id="rId52" display="Link"/>
    <hyperlink ref="Y24" r:id="rId53" display="Link"/>
    <hyperlink ref="M25" r:id="rId54" display="Link"/>
    <hyperlink ref="M27" r:id="rId55" display="Link"/>
    <hyperlink ref="M28" r:id="rId56" display="Link"/>
    <hyperlink ref="S28" r:id="rId57" display="Link"/>
    <hyperlink ref="Y28" r:id="rId58" display="Link"/>
    <hyperlink ref="M29" r:id="rId59" display="Link"/>
    <hyperlink ref="S29" r:id="rId60" display="Link"/>
    <hyperlink ref="Y29" r:id="rId61" display="Link"/>
    <hyperlink ref="M30" r:id="rId62" display="Link"/>
    <hyperlink ref="S30" r:id="rId63" display="Link"/>
    <hyperlink ref="Y30" r:id="rId64" display="Link"/>
    <hyperlink ref="M31" r:id="rId65" display="Link"/>
    <hyperlink ref="S31" r:id="rId66" display="Link"/>
    <hyperlink ref="Y31" r:id="rId67" display="Link"/>
    <hyperlink ref="M32" r:id="rId68" display="Link"/>
    <hyperlink ref="S32" r:id="rId69" display="Link"/>
    <hyperlink ref="Y32" r:id="rId70" display="Link"/>
    <hyperlink ref="M33" r:id="rId71" display="Link"/>
    <hyperlink ref="S33" r:id="rId72" display="Link"/>
    <hyperlink ref="Y33" r:id="rId73" display="Link"/>
    <hyperlink ref="M34" r:id="rId74" display="Link"/>
    <hyperlink ref="S34" r:id="rId75" display="Link"/>
    <hyperlink ref="Y34" r:id="rId76" display="Link"/>
    <hyperlink ref="M35" r:id="rId77" display="Link"/>
    <hyperlink ref="S35" r:id="rId78" display="Link"/>
    <hyperlink ref="Y35" r:id="rId79" display="Link"/>
    <hyperlink ref="M36" r:id="rId80" display="Link"/>
    <hyperlink ref="S36" r:id="rId81" display="Link"/>
    <hyperlink ref="Y36" r:id="rId82" display="Link"/>
    <hyperlink ref="M38" r:id="rId83" display="Link"/>
    <hyperlink ref="S38" r:id="rId84" display="Link"/>
    <hyperlink ref="Y38" r:id="rId85" display="Link"/>
    <hyperlink ref="M39" r:id="rId86" display="Link"/>
    <hyperlink ref="S39" r:id="rId87" display="Link"/>
    <hyperlink ref="Y39" r:id="rId88" display="Link"/>
    <hyperlink ref="M40" r:id="rId89" display="Link"/>
    <hyperlink ref="S40" r:id="rId90" display="Link"/>
    <hyperlink ref="Y40" r:id="rId91" display="Link"/>
    <hyperlink ref="M41" r:id="rId92" display="Link"/>
    <hyperlink ref="S41" r:id="rId93" display="Link"/>
    <hyperlink ref="Y41" r:id="rId94" display="Link"/>
    <hyperlink ref="M43" r:id="rId95" display="Link"/>
    <hyperlink ref="S43" r:id="rId96" display="Link"/>
    <hyperlink ref="M44" r:id="rId97" display="Link"/>
    <hyperlink ref="Y44" r:id="rId98" display="Link"/>
    <hyperlink ref="M45" r:id="rId99" display="Link"/>
    <hyperlink ref="S45" r:id="rId100" display="Link"/>
    <hyperlink ref="Y45" r:id="rId101" display="Link"/>
    <hyperlink ref="M46" r:id="rId102" display="Link"/>
    <hyperlink ref="S46" r:id="rId103" display="Link"/>
    <hyperlink ref="Y46" r:id="rId104" display="Link"/>
    <hyperlink ref="M47" r:id="rId105" display="Link"/>
    <hyperlink ref="S47" r:id="rId106" display="Link"/>
    <hyperlink ref="Y47" r:id="rId107" display="Link"/>
    <hyperlink ref="M49" r:id="rId108" display="Link"/>
    <hyperlink ref="S49" r:id="rId109" display="Link"/>
    <hyperlink ref="Y49" r:id="rId110" display="Link"/>
    <hyperlink ref="M50" r:id="rId111" display="Link"/>
    <hyperlink ref="S50" r:id="rId112" display="Link"/>
    <hyperlink ref="Y50" r:id="rId113" display="Link"/>
    <hyperlink ref="M51" r:id="rId114" display="Link"/>
    <hyperlink ref="S51" r:id="rId115" display="Link"/>
    <hyperlink ref="Y51" r:id="rId116" display="Link"/>
    <hyperlink ref="M52" r:id="rId117" display="Link"/>
    <hyperlink ref="S52" r:id="rId118" display="Link"/>
    <hyperlink ref="Y52" r:id="rId119" display="Link"/>
    <hyperlink ref="M53" r:id="rId120" display="Link"/>
    <hyperlink ref="S53" r:id="rId121" display="Link"/>
    <hyperlink ref="Y53" r:id="rId122" display="Link"/>
    <hyperlink ref="M54" r:id="rId123" display="Link"/>
    <hyperlink ref="S54" r:id="rId124" display="Link"/>
    <hyperlink ref="Y54" r:id="rId125" display="Link"/>
    <hyperlink ref="M55" r:id="rId126" display="Link"/>
    <hyperlink ref="S55" r:id="rId127" display="Link"/>
    <hyperlink ref="Y55" r:id="rId128" display="Link"/>
    <hyperlink ref="M56" r:id="rId129" display="Link"/>
    <hyperlink ref="S56" r:id="rId130" display="Link"/>
    <hyperlink ref="Y56" r:id="rId131" display="Link"/>
    <hyperlink ref="M57" r:id="rId132" display="Link"/>
    <hyperlink ref="S57" r:id="rId133" display="Link"/>
    <hyperlink ref="Y57" r:id="rId134" display="Link"/>
    <hyperlink ref="M58" r:id="rId135" display="Link"/>
    <hyperlink ref="S58" r:id="rId136" display="Link"/>
    <hyperlink ref="Y58" r:id="rId137" display="Link"/>
    <hyperlink ref="M59" r:id="rId138" display="Link"/>
    <hyperlink ref="S59" r:id="rId139" display="Link"/>
    <hyperlink ref="Y59" r:id="rId140" display="Link"/>
    <hyperlink ref="M60" r:id="rId141" display="Link"/>
    <hyperlink ref="S60" r:id="rId142" display="Link"/>
    <hyperlink ref="Y60" r:id="rId143" display="Link"/>
    <hyperlink ref="M61" r:id="rId144" display="Link"/>
    <hyperlink ref="S61" r:id="rId145" display="Link"/>
    <hyperlink ref="Y61" r:id="rId146" display="Link"/>
    <hyperlink ref="M62" r:id="rId147" display="Link"/>
    <hyperlink ref="S62" r:id="rId148" display="Link"/>
    <hyperlink ref="Y62" r:id="rId149" display="Link"/>
    <hyperlink ref="M63" r:id="rId150" display="Link"/>
    <hyperlink ref="S63" r:id="rId151" display="Link"/>
    <hyperlink ref="Y63" r:id="rId152" display="Link"/>
    <hyperlink ref="M64" r:id="rId153" display="Link"/>
    <hyperlink ref="S64" r:id="rId154" display="Link"/>
    <hyperlink ref="Y64" r:id="rId155" display="Link"/>
    <hyperlink ref="M65" r:id="rId156" display="Link"/>
    <hyperlink ref="S65" r:id="rId157" display="Link"/>
    <hyperlink ref="Y65" r:id="rId158" display="Link"/>
    <hyperlink ref="M66" r:id="rId159" display="Link"/>
    <hyperlink ref="S66" r:id="rId160" display="Link"/>
    <hyperlink ref="Y66" r:id="rId161" display="Link"/>
    <hyperlink ref="M67" r:id="rId162" display="Link"/>
    <hyperlink ref="S67" r:id="rId163" display="Link"/>
    <hyperlink ref="Y67" r:id="rId164" display="Link"/>
    <hyperlink ref="M68" r:id="rId165" display="Link"/>
    <hyperlink ref="S68" r:id="rId166" display="Link"/>
    <hyperlink ref="Y68" r:id="rId167" display="Link"/>
    <hyperlink ref="M69" r:id="rId168" display="Link"/>
    <hyperlink ref="S69" r:id="rId169" display="Link"/>
    <hyperlink ref="Y69" r:id="rId170" display="Link"/>
    <hyperlink ref="M71" r:id="rId171" display="Link"/>
    <hyperlink ref="S71" r:id="rId172" display="Link"/>
    <hyperlink ref="Y71" r:id="rId173" display="Link"/>
    <hyperlink ref="M72" r:id="rId174" display="Link"/>
    <hyperlink ref="S72" r:id="rId175" display="Link"/>
    <hyperlink ref="Y72" r:id="rId176" display="Link"/>
    <hyperlink ref="M73" r:id="rId177" display="Link"/>
    <hyperlink ref="S73" r:id="rId178" display="Link"/>
    <hyperlink ref="Y73" r:id="rId179" display="Link"/>
    <hyperlink ref="M74" r:id="rId180" display="Link"/>
    <hyperlink ref="S74" r:id="rId181" display="Link"/>
    <hyperlink ref="Y74" r:id="rId182" display="Link"/>
    <hyperlink ref="M75" r:id="rId183" display="Link"/>
    <hyperlink ref="S75" r:id="rId184" display="Link"/>
    <hyperlink ref="Y75" r:id="rId185" display="Link"/>
    <hyperlink ref="M76" r:id="rId186" display="Link"/>
    <hyperlink ref="S76" r:id="rId187" display="Link"/>
    <hyperlink ref="M77" r:id="rId188" display="Link"/>
    <hyperlink ref="S77" r:id="rId189" display="Link"/>
    <hyperlink ref="M78" r:id="rId190" display="Link"/>
    <hyperlink ref="S78" r:id="rId191" display="Link"/>
    <hyperlink ref="Y78" r:id="rId192" display="Link"/>
    <hyperlink ref="M79" r:id="rId193" display="Link"/>
    <hyperlink ref="S79" r:id="rId194" display="Link"/>
    <hyperlink ref="Y79" r:id="rId195" display="Link"/>
    <hyperlink ref="M80" r:id="rId196" display="Link"/>
    <hyperlink ref="S80" r:id="rId197" display="Link"/>
    <hyperlink ref="Y80" r:id="rId198" display="Link"/>
    <hyperlink ref="M81" r:id="rId199" display="Link"/>
    <hyperlink ref="S81" r:id="rId200" display="Link"/>
    <hyperlink ref="Y81" r:id="rId201" display="Link"/>
    <hyperlink ref="M82" r:id="rId202" display="Link"/>
    <hyperlink ref="S82" r:id="rId203" display="Link"/>
    <hyperlink ref="Y82" r:id="rId204" display="Link"/>
    <hyperlink ref="M83" r:id="rId205" display="Link"/>
    <hyperlink ref="S83" r:id="rId206" display="Link"/>
    <hyperlink ref="Y83" r:id="rId207" display="Link"/>
    <hyperlink ref="M85" r:id="rId208" display="Link"/>
    <hyperlink ref="S85" r:id="rId209" display="Link"/>
    <hyperlink ref="Y85" r:id="rId210" display="Link"/>
    <hyperlink ref="M86" r:id="rId211" display="Link"/>
    <hyperlink ref="S86" r:id="rId212" display="Link"/>
    <hyperlink ref="Y86" r:id="rId213" display="Link"/>
    <hyperlink ref="M87" r:id="rId214" display="Link"/>
    <hyperlink ref="S87" r:id="rId215" display="Link"/>
    <hyperlink ref="M89" r:id="rId216" display="Link"/>
    <hyperlink ref="S89" r:id="rId217" display="Link"/>
    <hyperlink ref="Y89" r:id="rId218" display="Link"/>
    <hyperlink ref="M90" r:id="rId219" display="Link"/>
    <hyperlink ref="S90" r:id="rId220" display="Link"/>
    <hyperlink ref="Y90" r:id="rId221" display="Link"/>
    <hyperlink ref="M91" r:id="rId222" display="Link"/>
    <hyperlink ref="S91" r:id="rId223" display="Link"/>
    <hyperlink ref="M92" r:id="rId224" display="Link"/>
    <hyperlink ref="S92" r:id="rId225" display="Link"/>
    <hyperlink ref="Y92" r:id="rId226" display="Link"/>
    <hyperlink ref="M93" r:id="rId227" display="Link"/>
    <hyperlink ref="S93" r:id="rId228" display="Link"/>
    <hyperlink ref="Y93" r:id="rId229" display="Link"/>
    <hyperlink ref="M94" r:id="rId230" display="Link"/>
    <hyperlink ref="S94" r:id="rId231" display="Link"/>
    <hyperlink ref="M95" r:id="rId232" display="Link"/>
    <hyperlink ref="S95" r:id="rId233" display="Link"/>
    <hyperlink ref="Y95" r:id="rId234" display="Link"/>
    <hyperlink ref="M96" r:id="rId235" display="Link"/>
    <hyperlink ref="S96" r:id="rId236" display="Link"/>
    <hyperlink ref="Y96" r:id="rId237" display="Link"/>
    <hyperlink ref="M97" r:id="rId238" display="Link"/>
    <hyperlink ref="S97" r:id="rId239" display="Link"/>
    <hyperlink ref="Y97" r:id="rId240" display="Link"/>
    <hyperlink ref="M98" r:id="rId241" display="Link"/>
    <hyperlink ref="S98" r:id="rId242" display="Link"/>
    <hyperlink ref="Y98" r:id="rId243" display="Link"/>
    <hyperlink ref="M99" r:id="rId244" display="Link"/>
    <hyperlink ref="S99" r:id="rId245" display="Link"/>
    <hyperlink ref="Y99" r:id="rId246" display="Link"/>
    <hyperlink ref="M100" r:id="rId247" display="Link"/>
    <hyperlink ref="S100" r:id="rId248" display="Link"/>
    <hyperlink ref="Y100" r:id="rId249" display="Link"/>
    <hyperlink ref="M101" r:id="rId250" display="Link"/>
    <hyperlink ref="S101" r:id="rId251" display="Link"/>
    <hyperlink ref="Y101" r:id="rId252" display="Link"/>
    <hyperlink ref="M102" r:id="rId253" display="Link"/>
    <hyperlink ref="S102" r:id="rId254" display="Link"/>
    <hyperlink ref="Y102" r:id="rId255" display="Link"/>
    <hyperlink ref="M103" r:id="rId256" display="Link"/>
    <hyperlink ref="S103" r:id="rId257" display="Link"/>
    <hyperlink ref="Y103" r:id="rId258" display="Link"/>
    <hyperlink ref="M104" r:id="rId259" display="Link"/>
    <hyperlink ref="S104" r:id="rId260" display="Link"/>
    <hyperlink ref="Y104" r:id="rId261" display="Link"/>
    <hyperlink ref="M105" r:id="rId262" display="Link"/>
    <hyperlink ref="S105" r:id="rId263" display="Link"/>
    <hyperlink ref="Y105" r:id="rId264" display="Link"/>
    <hyperlink ref="M106" r:id="rId265" display="Link"/>
    <hyperlink ref="S106" r:id="rId266" display="Link"/>
    <hyperlink ref="Y106" r:id="rId267" display="Link"/>
    <hyperlink ref="M107" r:id="rId268" display="Link"/>
    <hyperlink ref="S107" r:id="rId269" display="Link"/>
    <hyperlink ref="Y107" r:id="rId270" display="Link"/>
    <hyperlink ref="M108" r:id="rId271" display="Link"/>
    <hyperlink ref="S108" r:id="rId272" display="Link"/>
    <hyperlink ref="Y108" r:id="rId273" display="Link"/>
    <hyperlink ref="M109" r:id="rId274" display="Link"/>
    <hyperlink ref="S109" r:id="rId275" display="Link"/>
    <hyperlink ref="Y109" r:id="rId276" display="Link"/>
    <hyperlink ref="M110" r:id="rId277" display="Link"/>
    <hyperlink ref="S110" r:id="rId278" display="Link"/>
    <hyperlink ref="Y110" r:id="rId279" display="Link"/>
    <hyperlink ref="M111" r:id="rId280" display="Link"/>
    <hyperlink ref="S111" r:id="rId281" display="Link"/>
    <hyperlink ref="Y111" r:id="rId282" display="Link"/>
    <hyperlink ref="M112" r:id="rId283" display="Link"/>
    <hyperlink ref="S112" r:id="rId284" display="Link"/>
    <hyperlink ref="Y112" r:id="rId285" display="Link"/>
    <hyperlink ref="M113" r:id="rId286" display="Link"/>
    <hyperlink ref="S113" r:id="rId287" display="Link"/>
    <hyperlink ref="Y113" r:id="rId288" display="Link"/>
    <hyperlink ref="M114" r:id="rId289" display="Link"/>
    <hyperlink ref="S114" r:id="rId290" display="Link"/>
    <hyperlink ref="Y114" r:id="rId291" display="Link"/>
    <hyperlink ref="M115" r:id="rId292" display="Link"/>
    <hyperlink ref="S115" r:id="rId293" display="Link"/>
    <hyperlink ref="Y115" r:id="rId294" display="Link"/>
    <hyperlink ref="M116" r:id="rId295" display="Link"/>
    <hyperlink ref="S116" r:id="rId296" display="Link"/>
    <hyperlink ref="Y116" r:id="rId297" display="Link"/>
    <hyperlink ref="M117" r:id="rId298" display="Link"/>
    <hyperlink ref="S117" r:id="rId299" display="Link"/>
    <hyperlink ref="Y117" r:id="rId300" display="Link"/>
    <hyperlink ref="M118" r:id="rId301" display="Link"/>
    <hyperlink ref="S118" r:id="rId302" display="Link"/>
    <hyperlink ref="Y118" r:id="rId303" display="Link"/>
    <hyperlink ref="M119" r:id="rId304" display="Link"/>
    <hyperlink ref="S119" r:id="rId305" display="Link"/>
    <hyperlink ref="Y119" r:id="rId306" display="Link"/>
    <hyperlink ref="M120" r:id="rId307" display="Link"/>
    <hyperlink ref="Y120" r:id="rId308" display="Link"/>
    <hyperlink ref="M122" r:id="rId309" display="Link"/>
    <hyperlink ref="S122" r:id="rId310" display="Link"/>
    <hyperlink ref="M123" r:id="rId311" display="Link"/>
    <hyperlink ref="S123" r:id="rId312" display="Link"/>
    <hyperlink ref="Y123" r:id="rId313" display="Link"/>
    <hyperlink ref="M125" r:id="rId314" display="Link"/>
    <hyperlink ref="S125" r:id="rId315" display="Link"/>
    <hyperlink ref="Y125" r:id="rId316" display="Link"/>
    <hyperlink ref="M126" r:id="rId317" display="Link"/>
    <hyperlink ref="S126" r:id="rId318" display="Link"/>
    <hyperlink ref="Y126" r:id="rId319" display="Link"/>
    <hyperlink ref="M127" r:id="rId320" display="Link"/>
    <hyperlink ref="S127" r:id="rId321" display="Link"/>
    <hyperlink ref="Y127" r:id="rId322" display="Link"/>
    <hyperlink ref="M129" r:id="rId323" display="Link"/>
    <hyperlink ref="S129" r:id="rId324" display="Link"/>
    <hyperlink ref="Y129" r:id="rId325" display="Link"/>
    <hyperlink ref="M130" r:id="rId326" display="Link"/>
    <hyperlink ref="S130" r:id="rId327" display="Link"/>
    <hyperlink ref="Y130" r:id="rId328" display="Link"/>
    <hyperlink ref="M131" r:id="rId329" display="Link"/>
    <hyperlink ref="S131" r:id="rId330" display="Link"/>
    <hyperlink ref="Y131" r:id="rId331" display="Link"/>
    <hyperlink ref="M132" r:id="rId332" display="Link"/>
    <hyperlink ref="S132" r:id="rId333" display="Link"/>
    <hyperlink ref="M134" r:id="rId334" display="Link"/>
    <hyperlink ref="S134" r:id="rId335" display="Link"/>
    <hyperlink ref="Y134" r:id="rId336" display="Link"/>
    <hyperlink ref="M135" r:id="rId337" display="Link"/>
    <hyperlink ref="S135" r:id="rId338" display="Link"/>
    <hyperlink ref="Y135" r:id="rId339" display="Link"/>
    <hyperlink ref="M136" r:id="rId340" display="Link"/>
    <hyperlink ref="S136" r:id="rId341" display="Link"/>
    <hyperlink ref="M137" r:id="rId342" display="Link"/>
    <hyperlink ref="S137" r:id="rId343" display="Link"/>
    <hyperlink ref="Y137" r:id="rId344" display="Link"/>
    <hyperlink ref="M138" r:id="rId345" display="Link"/>
    <hyperlink ref="S138" r:id="rId346" display="Link"/>
    <hyperlink ref="Y138" r:id="rId347" display="Link"/>
    <hyperlink ref="M139" r:id="rId348" display="Link"/>
    <hyperlink ref="S139" r:id="rId349" display="Link"/>
    <hyperlink ref="Y139" r:id="rId350" display="Link"/>
    <hyperlink ref="M140" r:id="rId351" display="Link"/>
    <hyperlink ref="S140" r:id="rId352" display="Link"/>
    <hyperlink ref="Y140" r:id="rId353" display="Link"/>
    <hyperlink ref="M141" r:id="rId354" display="Link"/>
    <hyperlink ref="S141" r:id="rId355" display="Link"/>
    <hyperlink ref="Y141" r:id="rId356" display="Link"/>
    <hyperlink ref="M142" r:id="rId357" display="Link"/>
    <hyperlink ref="S142" r:id="rId358" display="Link"/>
    <hyperlink ref="Y142" r:id="rId359" display="Link"/>
    <hyperlink ref="M143" r:id="rId360" display="Link"/>
    <hyperlink ref="S143" r:id="rId361" display="Link"/>
    <hyperlink ref="Y143" r:id="rId362" display="Link"/>
    <hyperlink ref="M144" r:id="rId363" display="Link"/>
    <hyperlink ref="S144" r:id="rId364" display="Link"/>
    <hyperlink ref="Y144" r:id="rId365" display="Link"/>
    <hyperlink ref="M145" r:id="rId366" display="Link"/>
    <hyperlink ref="S145" r:id="rId367" display="Link"/>
    <hyperlink ref="Y145" r:id="rId368" display="Link"/>
    <hyperlink ref="M146" r:id="rId369" display="Link"/>
    <hyperlink ref="S146" r:id="rId370" display="Link"/>
    <hyperlink ref="Y146" r:id="rId371" display="Link"/>
    <hyperlink ref="M147" r:id="rId372" display="Link"/>
    <hyperlink ref="S147" r:id="rId373" display="Link"/>
    <hyperlink ref="Y147" r:id="rId374" display="Link"/>
    <hyperlink ref="M149" r:id="rId375" display="Link"/>
    <hyperlink ref="S149" r:id="rId376" display="Link"/>
    <hyperlink ref="Y149" r:id="rId377" display="Link"/>
    <hyperlink ref="M150" r:id="rId378" display="Link"/>
    <hyperlink ref="S150" r:id="rId379" display="Link"/>
    <hyperlink ref="Y150" r:id="rId380" display="Link"/>
    <hyperlink ref="M151" r:id="rId381" display="Link"/>
    <hyperlink ref="S151" r:id="rId382" display="Link"/>
    <hyperlink ref="Y151" r:id="rId383" display="Link"/>
    <hyperlink ref="M152" r:id="rId384" display="Link"/>
    <hyperlink ref="S152" r:id="rId385" display="Link"/>
    <hyperlink ref="Y152" r:id="rId386" display="Link"/>
    <hyperlink ref="M153" r:id="rId387" display="Link"/>
    <hyperlink ref="S153" r:id="rId388" display="Link"/>
    <hyperlink ref="Y153" r:id="rId389" display="Link"/>
    <hyperlink ref="M154" r:id="rId390" display="Link"/>
    <hyperlink ref="S154" r:id="rId391" display="Link"/>
    <hyperlink ref="Y154" r:id="rId392" display="Link"/>
    <hyperlink ref="M155" r:id="rId393" display="Link"/>
    <hyperlink ref="S155" r:id="rId394" display="Link"/>
    <hyperlink ref="M156" r:id="rId395" display="Link"/>
    <hyperlink ref="S156" r:id="rId396" display="Link"/>
    <hyperlink ref="Y156" r:id="rId397" display="Link"/>
    <hyperlink ref="M157" r:id="rId398" display="Link"/>
    <hyperlink ref="S157" r:id="rId399" display="Link"/>
    <hyperlink ref="Y157" r:id="rId400" display="Link"/>
    <hyperlink ref="M158" r:id="rId401" display="Link"/>
    <hyperlink ref="S158" r:id="rId402" display="Link"/>
    <hyperlink ref="M160" r:id="rId403" display="Link"/>
    <hyperlink ref="S160" r:id="rId404" display="Link"/>
    <hyperlink ref="Y160" r:id="rId405" display="Link"/>
    <hyperlink ref="M161" r:id="rId406" display="Link"/>
    <hyperlink ref="S161" r:id="rId407" display="Link"/>
    <hyperlink ref="Y161" r:id="rId408" display="Link"/>
    <hyperlink ref="M162" r:id="rId409" display="Link"/>
    <hyperlink ref="S162" r:id="rId410" display="Link"/>
    <hyperlink ref="Y162" r:id="rId411" display="Link"/>
    <hyperlink ref="M163" r:id="rId412" display="Link"/>
    <hyperlink ref="Y163" r:id="rId413" display="Link"/>
    <hyperlink ref="M164" r:id="rId414" display="Link"/>
    <hyperlink ref="S164" r:id="rId415" display="Link"/>
    <hyperlink ref="M165" r:id="rId416" display="Link"/>
    <hyperlink ref="S165" r:id="rId417" display="Link"/>
    <hyperlink ref="M166" r:id="rId418" display="Link"/>
    <hyperlink ref="S166" r:id="rId419" display="Link"/>
    <hyperlink ref="M167" r:id="rId420" display="Link"/>
    <hyperlink ref="S167" r:id="rId421" display="Link"/>
    <hyperlink ref="Y167" r:id="rId422" display="Lin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294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2016-09-04T02:58:43Z</dcterms:created>
  <dc:language>es-AR</dc:language>
  <dcterms:modified xsi:type="dcterms:W3CDTF">2016-09-04T00:24:40Z</dcterms:modified>
  <cp:revision>6</cp:revision>
</cp:coreProperties>
</file>