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a Jose Rivera\OneDrive - James Cook University\Australia renamed\Sanamere\EA\Runs\"/>
    </mc:Choice>
  </mc:AlternateContent>
  <xr:revisionPtr revIDLastSave="4" documentId="8_{BE11EF9C-7CFD-4A42-B6A2-7718045F2B2A}" xr6:coauthVersionLast="43" xr6:coauthVersionMax="43" xr10:uidLastSave="{5F3E65EC-9D94-4686-A099-BD78B6F09DCA}"/>
  <bookViews>
    <workbookView xWindow="-120" yWindow="-120" windowWidth="20730" windowHeight="11160" tabRatio="500" activeTab="2" xr2:uid="{00000000-000D-0000-FFFF-FFFF00000000}"/>
  </bookViews>
  <sheets>
    <sheet name="raw" sheetId="3" r:id="rId1"/>
    <sheet name="standards" sheetId="1" r:id="rId2"/>
    <sheet name="data reduc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" l="1"/>
  <c r="N44" i="2"/>
  <c r="T44" i="2"/>
  <c r="U44" i="2"/>
  <c r="M45" i="2"/>
  <c r="N45" i="2"/>
  <c r="T45" i="2"/>
  <c r="U45" i="2"/>
  <c r="M46" i="2"/>
  <c r="N46" i="2"/>
  <c r="T46" i="2"/>
  <c r="U46" i="2"/>
  <c r="M47" i="2"/>
  <c r="N47" i="2"/>
  <c r="T47" i="2"/>
  <c r="U47" i="2"/>
  <c r="M48" i="2"/>
  <c r="N48" i="2"/>
  <c r="T48" i="2"/>
  <c r="U48" i="2"/>
  <c r="M3" i="1" l="1"/>
  <c r="M4" i="1"/>
  <c r="M5" i="1"/>
  <c r="M6" i="1"/>
  <c r="H31" i="1" s="1"/>
  <c r="M7" i="1"/>
  <c r="M8" i="1"/>
  <c r="M12" i="1"/>
  <c r="M13" i="1"/>
  <c r="I32" i="1" s="1"/>
  <c r="M14" i="1"/>
  <c r="M18" i="1"/>
  <c r="M19" i="1"/>
  <c r="M20" i="1"/>
  <c r="I33" i="1" s="1"/>
  <c r="L3" i="1"/>
  <c r="L4" i="1"/>
  <c r="L5" i="1"/>
  <c r="L6" i="1"/>
  <c r="L7" i="1"/>
  <c r="L8" i="1"/>
  <c r="L12" i="1"/>
  <c r="L13" i="1"/>
  <c r="L14" i="1"/>
  <c r="L18" i="1"/>
  <c r="L19" i="1"/>
  <c r="L20" i="1"/>
  <c r="T2" i="2"/>
  <c r="R3" i="1"/>
  <c r="S3" i="1"/>
  <c r="N31" i="1"/>
  <c r="E33" i="1"/>
  <c r="E32" i="1"/>
  <c r="E31" i="1"/>
  <c r="E27" i="1"/>
  <c r="E26" i="1"/>
  <c r="E25" i="1"/>
  <c r="N27" i="1"/>
  <c r="N25" i="1"/>
  <c r="N33" i="1"/>
  <c r="N32" i="1"/>
  <c r="N26" i="1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C62" i="1"/>
  <c r="C55" i="1"/>
  <c r="C56" i="1"/>
  <c r="C57" i="1"/>
  <c r="C58" i="1"/>
  <c r="E58" i="1" s="1"/>
  <c r="C59" i="1"/>
  <c r="C60" i="1"/>
  <c r="C61" i="1"/>
  <c r="E62" i="1"/>
  <c r="B55" i="1"/>
  <c r="E55" i="1" s="1"/>
  <c r="B56" i="1"/>
  <c r="E56" i="1"/>
  <c r="B57" i="1"/>
  <c r="B58" i="1"/>
  <c r="B59" i="1"/>
  <c r="E59" i="1" s="1"/>
  <c r="B60" i="1"/>
  <c r="C40" i="1"/>
  <c r="C41" i="1"/>
  <c r="C42" i="1"/>
  <c r="C43" i="1"/>
  <c r="E43" i="1" s="1"/>
  <c r="C44" i="1"/>
  <c r="C45" i="1"/>
  <c r="B40" i="1"/>
  <c r="B41" i="1"/>
  <c r="E41" i="1" s="1"/>
  <c r="B42" i="1"/>
  <c r="B43" i="1"/>
  <c r="B44" i="1"/>
  <c r="B45" i="1"/>
  <c r="E45" i="1" s="1"/>
  <c r="R4" i="1"/>
  <c r="R5" i="1"/>
  <c r="R6" i="1"/>
  <c r="R7" i="1"/>
  <c r="R8" i="1"/>
  <c r="R18" i="1"/>
  <c r="R19" i="1"/>
  <c r="R20" i="1"/>
  <c r="T43" i="2"/>
  <c r="N43" i="2"/>
  <c r="M43" i="2"/>
  <c r="T42" i="2"/>
  <c r="N42" i="2"/>
  <c r="M42" i="2"/>
  <c r="T41" i="2"/>
  <c r="N41" i="2"/>
  <c r="M41" i="2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S19" i="1"/>
  <c r="S20" i="1"/>
  <c r="B61" i="1"/>
  <c r="E61" i="1"/>
  <c r="A61" i="1"/>
  <c r="A60" i="1"/>
  <c r="A59" i="1"/>
  <c r="A58" i="1"/>
  <c r="A57" i="1"/>
  <c r="A56" i="1"/>
  <c r="A55" i="1"/>
  <c r="A45" i="1"/>
  <c r="A44" i="1"/>
  <c r="A43" i="1"/>
  <c r="A42" i="1"/>
  <c r="A41" i="1"/>
  <c r="A40" i="1"/>
  <c r="G33" i="1"/>
  <c r="F33" i="1"/>
  <c r="G32" i="1"/>
  <c r="F32" i="1"/>
  <c r="G31" i="1"/>
  <c r="F31" i="1"/>
  <c r="G27" i="1"/>
  <c r="F27" i="1"/>
  <c r="G26" i="1"/>
  <c r="F26" i="1"/>
  <c r="G25" i="1"/>
  <c r="F25" i="1"/>
  <c r="E44" i="1" l="1"/>
  <c r="E40" i="1"/>
  <c r="E57" i="1"/>
  <c r="E60" i="1"/>
  <c r="I26" i="1"/>
  <c r="H27" i="1"/>
  <c r="H25" i="1"/>
  <c r="I27" i="1"/>
  <c r="H26" i="1"/>
  <c r="H33" i="1"/>
  <c r="S26" i="1"/>
  <c r="H32" i="1"/>
  <c r="C67" i="1"/>
  <c r="I31" i="1"/>
  <c r="R30" i="1"/>
  <c r="E67" i="1"/>
  <c r="F59" i="1" s="1"/>
  <c r="R31" i="1"/>
  <c r="S31" i="1"/>
  <c r="S30" i="1"/>
  <c r="C51" i="1"/>
  <c r="E42" i="1"/>
  <c r="R27" i="1"/>
  <c r="I25" i="1"/>
  <c r="R26" i="1"/>
  <c r="S27" i="1"/>
  <c r="Q45" i="2" l="1"/>
  <c r="Q46" i="2"/>
  <c r="Q47" i="2"/>
  <c r="Q48" i="2"/>
  <c r="Q44" i="2"/>
  <c r="P46" i="2"/>
  <c r="P47" i="2"/>
  <c r="P48" i="2"/>
  <c r="P44" i="2"/>
  <c r="P45" i="2"/>
  <c r="O48" i="2"/>
  <c r="O44" i="2"/>
  <c r="O45" i="2"/>
  <c r="O46" i="2"/>
  <c r="O47" i="2"/>
  <c r="R44" i="2"/>
  <c r="R45" i="2"/>
  <c r="R46" i="2"/>
  <c r="S46" i="2" s="1"/>
  <c r="R47" i="2"/>
  <c r="R48" i="2"/>
  <c r="W18" i="1"/>
  <c r="W12" i="1"/>
  <c r="W7" i="1"/>
  <c r="W13" i="1"/>
  <c r="P2" i="2"/>
  <c r="W4" i="1"/>
  <c r="W8" i="1"/>
  <c r="W14" i="1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P15" i="2"/>
  <c r="P13" i="2"/>
  <c r="P11" i="2"/>
  <c r="P9" i="2"/>
  <c r="P7" i="2"/>
  <c r="P5" i="2"/>
  <c r="W3" i="1"/>
  <c r="W5" i="1"/>
  <c r="W19" i="1"/>
  <c r="W20" i="1"/>
  <c r="P38" i="2"/>
  <c r="P30" i="2"/>
  <c r="P22" i="2"/>
  <c r="P14" i="2"/>
  <c r="P3" i="2"/>
  <c r="P40" i="2"/>
  <c r="P32" i="2"/>
  <c r="P24" i="2"/>
  <c r="P16" i="2"/>
  <c r="P8" i="2"/>
  <c r="W6" i="1"/>
  <c r="P42" i="2"/>
  <c r="P34" i="2"/>
  <c r="P26" i="2"/>
  <c r="P18" i="2"/>
  <c r="P10" i="2"/>
  <c r="P6" i="2"/>
  <c r="P36" i="2"/>
  <c r="P28" i="2"/>
  <c r="P20" i="2"/>
  <c r="P12" i="2"/>
  <c r="P4" i="2"/>
  <c r="T20" i="1"/>
  <c r="T5" i="1"/>
  <c r="Q2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T12" i="1"/>
  <c r="T6" i="1"/>
  <c r="T13" i="1"/>
  <c r="T18" i="1"/>
  <c r="T3" i="1"/>
  <c r="T7" i="1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T19" i="1"/>
  <c r="T8" i="1"/>
  <c r="Q3" i="2"/>
  <c r="Q7" i="2"/>
  <c r="T14" i="1"/>
  <c r="T4" i="1"/>
  <c r="Q5" i="2"/>
  <c r="D40" i="1"/>
  <c r="D41" i="1"/>
  <c r="D45" i="1"/>
  <c r="D43" i="1"/>
  <c r="D44" i="1"/>
  <c r="F62" i="1"/>
  <c r="F61" i="1"/>
  <c r="F57" i="1"/>
  <c r="F58" i="1"/>
  <c r="F55" i="1"/>
  <c r="F56" i="1"/>
  <c r="D62" i="1"/>
  <c r="D61" i="1"/>
  <c r="D57" i="1"/>
  <c r="D58" i="1"/>
  <c r="D59" i="1"/>
  <c r="D55" i="1"/>
  <c r="D60" i="1"/>
  <c r="D56" i="1"/>
  <c r="E51" i="1"/>
  <c r="F42" i="1" s="1"/>
  <c r="F60" i="1"/>
  <c r="V12" i="1"/>
  <c r="V7" i="1"/>
  <c r="V14" i="1"/>
  <c r="O2" i="2"/>
  <c r="O42" i="2"/>
  <c r="O40" i="2"/>
  <c r="O38" i="2"/>
  <c r="O36" i="2"/>
  <c r="O34" i="2"/>
  <c r="O32" i="2"/>
  <c r="O30" i="2"/>
  <c r="O28" i="2"/>
  <c r="O26" i="2"/>
  <c r="O24" i="2"/>
  <c r="O22" i="2"/>
  <c r="O20" i="2"/>
  <c r="O18" i="2"/>
  <c r="O16" i="2"/>
  <c r="O14" i="2"/>
  <c r="O12" i="2"/>
  <c r="O10" i="2"/>
  <c r="V4" i="1"/>
  <c r="V8" i="1"/>
  <c r="V19" i="1"/>
  <c r="V3" i="1"/>
  <c r="V5" i="1"/>
  <c r="V20" i="1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V18" i="1"/>
  <c r="V6" i="1"/>
  <c r="V13" i="1"/>
  <c r="O8" i="2"/>
  <c r="O3" i="2"/>
  <c r="O6" i="2"/>
  <c r="O4" i="2"/>
  <c r="U5" i="1"/>
  <c r="U12" i="1"/>
  <c r="U6" i="1"/>
  <c r="U13" i="1"/>
  <c r="U18" i="1"/>
  <c r="R2" i="2"/>
  <c r="U3" i="1"/>
  <c r="U7" i="1"/>
  <c r="U14" i="1"/>
  <c r="U19" i="1"/>
  <c r="R4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10" i="2"/>
  <c r="R18" i="2"/>
  <c r="R26" i="2"/>
  <c r="R33" i="2"/>
  <c r="R37" i="2"/>
  <c r="R41" i="2"/>
  <c r="R3" i="2"/>
  <c r="U4" i="1"/>
  <c r="U20" i="1"/>
  <c r="R8" i="2"/>
  <c r="R12" i="2"/>
  <c r="R16" i="2"/>
  <c r="R20" i="2"/>
  <c r="R24" i="2"/>
  <c r="R28" i="2"/>
  <c r="R32" i="2"/>
  <c r="R34" i="2"/>
  <c r="R36" i="2"/>
  <c r="R38" i="2"/>
  <c r="R40" i="2"/>
  <c r="R42" i="2"/>
  <c r="U8" i="1"/>
  <c r="R6" i="2"/>
  <c r="R14" i="2"/>
  <c r="R22" i="2"/>
  <c r="R30" i="2"/>
  <c r="R35" i="2"/>
  <c r="R39" i="2"/>
  <c r="R43" i="2"/>
  <c r="D42" i="1"/>
  <c r="S48" i="2" l="1"/>
  <c r="S47" i="2"/>
  <c r="S44" i="2"/>
  <c r="S45" i="2"/>
  <c r="S16" i="2"/>
  <c r="S32" i="2"/>
  <c r="S40" i="2"/>
  <c r="S8" i="2"/>
  <c r="S24" i="2"/>
  <c r="S15" i="2"/>
  <c r="S23" i="2"/>
  <c r="S31" i="2"/>
  <c r="S39" i="2"/>
  <c r="L27" i="1"/>
  <c r="O27" i="1" s="1"/>
  <c r="M27" i="1"/>
  <c r="L33" i="1"/>
  <c r="O33" i="1" s="1"/>
  <c r="M33" i="1"/>
  <c r="M32" i="1"/>
  <c r="L32" i="1"/>
  <c r="O32" i="1" s="1"/>
  <c r="F45" i="1"/>
  <c r="F44" i="1"/>
  <c r="F40" i="1"/>
  <c r="F41" i="1"/>
  <c r="F43" i="1"/>
  <c r="S10" i="2"/>
  <c r="S18" i="2"/>
  <c r="S26" i="2"/>
  <c r="S34" i="2"/>
  <c r="S42" i="2"/>
  <c r="S9" i="2"/>
  <c r="S17" i="2"/>
  <c r="S25" i="2"/>
  <c r="S33" i="2"/>
  <c r="S41" i="2"/>
  <c r="K32" i="1"/>
  <c r="J27" i="1"/>
  <c r="K27" i="1"/>
  <c r="J25" i="1"/>
  <c r="K25" i="1"/>
  <c r="K31" i="1"/>
  <c r="S7" i="2"/>
  <c r="S4" i="2"/>
  <c r="S12" i="2"/>
  <c r="S20" i="2"/>
  <c r="S28" i="2"/>
  <c r="S36" i="2"/>
  <c r="S11" i="2"/>
  <c r="S19" i="2"/>
  <c r="S27" i="2"/>
  <c r="S35" i="2"/>
  <c r="S43" i="2"/>
  <c r="J32" i="1"/>
  <c r="L26" i="1"/>
  <c r="O26" i="1" s="1"/>
  <c r="M26" i="1"/>
  <c r="M31" i="1"/>
  <c r="L31" i="1"/>
  <c r="O31" i="1" s="1"/>
  <c r="K26" i="1"/>
  <c r="J26" i="1"/>
  <c r="S5" i="2"/>
  <c r="S3" i="2"/>
  <c r="S6" i="2"/>
  <c r="S14" i="2"/>
  <c r="S22" i="2"/>
  <c r="S30" i="2"/>
  <c r="S38" i="2"/>
  <c r="L25" i="1"/>
  <c r="O25" i="1" s="1"/>
  <c r="M25" i="1"/>
  <c r="S13" i="2"/>
  <c r="S21" i="2"/>
  <c r="S29" i="2"/>
  <c r="S37" i="2"/>
  <c r="S2" i="2"/>
  <c r="J31" i="1"/>
  <c r="J33" i="1"/>
  <c r="K33" i="1"/>
</calcChain>
</file>

<file path=xl/sharedStrings.xml><?xml version="1.0" encoding="utf-8"?>
<sst xmlns="http://schemas.openxmlformats.org/spreadsheetml/2006/main" count="291" uniqueCount="101">
  <si>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</si>
  <si>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</si>
  <si>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</si>
  <si>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</si>
  <si>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</si>
  <si>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</si>
  <si>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</si>
  <si>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</si>
  <si>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</si>
  <si>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</si>
  <si>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</si>
  <si>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</si>
  <si>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</si>
  <si>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</si>
  <si>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</si>
  <si>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</si>
  <si>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</si>
  <si>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</si>
  <si>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</si>
  <si>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</si>
  <si>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</si>
  <si>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</si>
  <si>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</si>
  <si>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</si>
  <si>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</si>
  <si>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</si>
  <si>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</si>
  <si>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</si>
  <si>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</si>
  <si>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</si>
  <si>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</si>
  <si>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</si>
  <si>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</si>
  <si>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</si>
  <si>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</si>
  <si>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</si>
  <si>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</si>
  <si>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</si>
  <si>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</si>
  <si>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</si>
  <si>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</si>
  <si>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</si>
  <si>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</si>
  <si>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</si>
  <si>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</si>
  <si>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</si>
  <si>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</si>
  <si>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</si>
  <si>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</si>
  <si>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</si>
  <si>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</si>
  <si>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</si>
  <si>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r>
      <t>δ</t>
    </r>
    <r>
      <rPr>
        <vertAlign val="superscript"/>
        <sz val="10"/>
        <rFont val="Verdana"/>
      </rPr>
      <t>15</t>
    </r>
    <r>
      <rPr>
        <sz val="10"/>
        <rFont val="Verdana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</si>
  <si>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</si>
  <si>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</si>
  <si>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</si>
  <si>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</si>
  <si>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</si>
  <si>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</si>
  <si>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t>Accepted</t>
  </si>
  <si>
    <t xml:space="preserve"> %C</t>
  </si>
  <si>
    <t xml:space="preserve"> %N</t>
  </si>
  <si>
    <t>Measured</t>
  </si>
  <si>
    <t>Row</t>
  </si>
  <si>
    <t>Flush</t>
  </si>
  <si>
    <t>Taipan</t>
  </si>
  <si>
    <t>LOC</t>
  </si>
  <si>
    <t>HOC</t>
  </si>
  <si>
    <t>30.5</t>
  </si>
  <si>
    <t>TOC</t>
  </si>
  <si>
    <t>31</t>
  </si>
  <si>
    <t>31.5</t>
  </si>
  <si>
    <t>38</t>
  </si>
  <si>
    <t>52</t>
  </si>
  <si>
    <t>51</t>
  </si>
  <si>
    <t>58</t>
  </si>
  <si>
    <t>56</t>
  </si>
  <si>
    <t>57</t>
  </si>
  <si>
    <t>61</t>
  </si>
  <si>
    <t>60</t>
  </si>
  <si>
    <t>63</t>
  </si>
  <si>
    <t>65</t>
  </si>
  <si>
    <t>67</t>
  </si>
  <si>
    <t>69</t>
  </si>
  <si>
    <t>66</t>
  </si>
  <si>
    <t>59</t>
  </si>
  <si>
    <t>100</t>
  </si>
  <si>
    <t>75</t>
  </si>
  <si>
    <t>102</t>
  </si>
  <si>
    <t>77</t>
  </si>
  <si>
    <t>109</t>
  </si>
  <si>
    <t>119</t>
  </si>
  <si>
    <t>84</t>
  </si>
  <si>
    <t>115</t>
  </si>
  <si>
    <t>88</t>
  </si>
  <si>
    <t>90</t>
  </si>
  <si>
    <t>92</t>
  </si>
  <si>
    <t>93</t>
  </si>
  <si>
    <t>96</t>
  </si>
  <si>
    <t>97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</si>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</sst>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0"/>
      <name val="Verdana"/>
    </font>
    <font>
      <b/>
      <sz val="10"/>
      <color indexed="61"/>
      <name val="Verdana"/>
    </font>
    <font>
      <sz val="10"/>
      <color indexed="6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vertAlign val="superscript"/>
      <sz val="10"/>
      <name val="Verdana"/>
    </font>
    <font>
      <sz val="10"/>
      <color theme="3" tint="-0.249977111117893"/>
      <name val="Verdana"/>
    </font>
    <font>
      <b/>
      <sz val="10"/>
      <color theme="3" tint="-0.249977111117893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quotePrefix="1" applyNumberFormat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NumberFormat="1" applyFon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NumberFormat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center"/>
    </xf>
    <xf numFmtId="165" fontId="12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9580519516911"/>
                  <c:y val="-0.6063032871214513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3042</c:v>
                </c:pt>
                <c:pt idx="1">
                  <c:v>6271</c:v>
                </c:pt>
                <c:pt idx="2">
                  <c:v>14693</c:v>
                </c:pt>
                <c:pt idx="3">
                  <c:v>23699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0.21033333333333104</c:v>
                </c:pt>
                <c:pt idx="1">
                  <c:v>-2.4666666666668391E-2</c:v>
                </c:pt>
                <c:pt idx="2">
                  <c:v>-0.10166666666666657</c:v>
                </c:pt>
                <c:pt idx="3">
                  <c:v>-0.27566666666666961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8-4CCF-9963-4587CFD5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2832"/>
        <c:axId val="424277536"/>
      </c:scatterChart>
      <c:valAx>
        <c:axId val="4242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4277536"/>
        <c:crossesAt val="-50000"/>
        <c:crossBetween val="midCat"/>
      </c:valAx>
      <c:valAx>
        <c:axId val="4242775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4272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3804427058899945E-2"/>
                  <c:y val="-0.5732559525676820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49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0.39028554694906603</c:v>
                </c:pt>
                <c:pt idx="1">
                  <c:v>1.6127641537064363E-2</c:v>
                </c:pt>
                <c:pt idx="2">
                  <c:v>-0.11673031139513412</c:v>
                </c:pt>
                <c:pt idx="3">
                  <c:v>1.0017993816067161E-2</c:v>
                </c:pt>
                <c:pt idx="4">
                  <c:v>-4.6337809771134886E-2</c:v>
                </c:pt>
                <c:pt idx="5">
                  <c:v>-0.25336306113593565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D-45DC-A388-4A08A863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9104"/>
        <c:axId val="424274400"/>
      </c:scatterChart>
      <c:valAx>
        <c:axId val="424279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4274400"/>
        <c:crossesAt val="-50000"/>
        <c:crossBetween val="midCat"/>
      </c:valAx>
      <c:valAx>
        <c:axId val="4242744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4279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305</c:v>
                </c:pt>
                <c:pt idx="1">
                  <c:v>734</c:v>
                </c:pt>
                <c:pt idx="2">
                  <c:v>1196</c:v>
                </c:pt>
                <c:pt idx="3">
                  <c:v>407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1.0068749999999995</c:v>
                </c:pt>
                <c:pt idx="1">
                  <c:v>1.2728749999999995</c:v>
                </c:pt>
                <c:pt idx="2">
                  <c:v>0.17687499999999989</c:v>
                </c:pt>
                <c:pt idx="3">
                  <c:v>1.9488749999999997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7-4289-9B9E-ADAD9C0B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5184"/>
        <c:axId val="424275968"/>
      </c:scatterChart>
      <c:valAx>
        <c:axId val="424275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4275968"/>
        <c:crossesAt val="-50000"/>
        <c:crossBetween val="midCat"/>
      </c:valAx>
      <c:valAx>
        <c:axId val="4242759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4275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0.10083333333333311</c:v>
                </c:pt>
                <c:pt idx="1">
                  <c:v>-0.19416666666666682</c:v>
                </c:pt>
                <c:pt idx="2">
                  <c:v>-7.1166666666667489E-2</c:v>
                </c:pt>
                <c:pt idx="3">
                  <c:v>0.19483333333333253</c:v>
                </c:pt>
                <c:pt idx="4">
                  <c:v>-0.90116666666666712</c:v>
                </c:pt>
                <c:pt idx="5">
                  <c:v>0.87083333333333268</c:v>
                </c:pt>
                <c:pt idx="6">
                  <c:v>-4.3121666666666671</c:v>
                </c:pt>
                <c:pt idx="7">
                  <c:v>-4.3121666666666671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1-4F94-A60A-211D5263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66344"/>
        <c:axId val="331766736"/>
      </c:scatterChart>
      <c:valAx>
        <c:axId val="331766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766736"/>
        <c:crossesAt val="-50000"/>
        <c:crossBetween val="midCat"/>
      </c:valAx>
      <c:valAx>
        <c:axId val="3317667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1766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-27.8784331882784</c:v>
                </c:pt>
                <c:pt idx="1">
                  <c:v>-27.982591093690402</c:v>
                </c:pt>
                <c:pt idx="2">
                  <c:v>-28.1004490466226</c:v>
                </c:pt>
                <c:pt idx="3">
                  <c:v>-27.958700741411398</c:v>
                </c:pt>
                <c:pt idx="4">
                  <c:v>-28.0000565449986</c:v>
                </c:pt>
                <c:pt idx="5">
                  <c:v>-27.892081796363399</c:v>
                </c:pt>
                <c:pt idx="9">
                  <c:v>-12.337978907564999</c:v>
                </c:pt>
                <c:pt idx="10">
                  <c:v>-11.5554090871314</c:v>
                </c:pt>
                <c:pt idx="11">
                  <c:v>-11.9740053353154</c:v>
                </c:pt>
                <c:pt idx="15">
                  <c:v>-26.332024446662601</c:v>
                </c:pt>
                <c:pt idx="16">
                  <c:v>-26.666446079194401</c:v>
                </c:pt>
                <c:pt idx="17">
                  <c:v>-26.453991034683401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-27.87</c:v>
                </c:pt>
                <c:pt idx="1">
                  <c:v>-27.87</c:v>
                </c:pt>
                <c:pt idx="2">
                  <c:v>-27.87</c:v>
                </c:pt>
                <c:pt idx="3">
                  <c:v>-27.87</c:v>
                </c:pt>
                <c:pt idx="4">
                  <c:v>-27.87</c:v>
                </c:pt>
                <c:pt idx="5">
                  <c:v>-27.87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-26.54</c:v>
                </c:pt>
                <c:pt idx="16">
                  <c:v>-26.54</c:v>
                </c:pt>
                <c:pt idx="17">
                  <c:v>-26.54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1-4013-8022-1EC650E7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9944"/>
        <c:axId val="427111560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4.4130000000000003</c:v>
                </c:pt>
                <c:pt idx="1">
                  <c:v>4.1180000000000003</c:v>
                </c:pt>
                <c:pt idx="2">
                  <c:v>4.2409999999999997</c:v>
                </c:pt>
                <c:pt idx="3">
                  <c:v>4.5069999999999997</c:v>
                </c:pt>
                <c:pt idx="4">
                  <c:v>3.411</c:v>
                </c:pt>
                <c:pt idx="5">
                  <c:v>5.1829999999999998</c:v>
                </c:pt>
                <c:pt idx="9">
                  <c:v>11.590999999999999</c:v>
                </c:pt>
                <c:pt idx="10">
                  <c:v>12.086</c:v>
                </c:pt>
                <c:pt idx="11">
                  <c:v>10.669</c:v>
                </c:pt>
                <c:pt idx="15">
                  <c:v>7.0149999999999997</c:v>
                </c:pt>
                <c:pt idx="16">
                  <c:v>7.1180000000000003</c:v>
                </c:pt>
                <c:pt idx="17">
                  <c:v>6.7240000000000002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5.15</c:v>
                </c:pt>
                <c:pt idx="5">
                  <c:v>5.15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7.46</c:v>
                </c:pt>
                <c:pt idx="16">
                  <c:v>7.46</c:v>
                </c:pt>
                <c:pt idx="17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31-4013-8022-1EC650E7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10384"/>
        <c:axId val="427109208"/>
      </c:scatterChart>
      <c:valAx>
        <c:axId val="141979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1560"/>
        <c:crosses val="autoZero"/>
        <c:crossBetween val="midCat"/>
      </c:valAx>
      <c:valAx>
        <c:axId val="427111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9944"/>
        <c:crosses val="max"/>
        <c:crossBetween val="midCat"/>
      </c:valAx>
      <c:valAx>
        <c:axId val="427109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0384"/>
        <c:crosses val="max"/>
        <c:crossBetween val="midCat"/>
      </c:valAx>
      <c:valAx>
        <c:axId val="4271103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271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L83"/>
  <sheetViews>
    <sheetView workbookViewId="0">
      <selection activeCell="A2" sqref="A2:J48"/>
    </sheetView>
  </sheetViews>
  <sheetFormatPr defaultColWidth="11" defaultRowHeight="12.75" x14ac:dyDescent="0.2"/>
  <sheetData>
    <row r="1" spans="1:12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x14ac:dyDescent="0.2">
      <c r="A2" s="1">
        <v>1</v>
      </c>
      <c r="B2" s="1" t="s">
        <v>64</v>
      </c>
      <c r="D2" s="1"/>
      <c r="E2" s="1">
        <v>-11.64</v>
      </c>
      <c r="F2" s="1">
        <v>415.85</v>
      </c>
      <c r="G2" s="1">
        <v>11047</v>
      </c>
      <c r="H2" s="1">
        <v>11.997999999999999</v>
      </c>
      <c r="I2" s="1">
        <v>64.488</v>
      </c>
      <c r="J2" s="1">
        <v>2340</v>
      </c>
      <c r="L2" s="1"/>
    </row>
    <row r="3" spans="1:12" x14ac:dyDescent="0.2">
      <c r="A3" s="1">
        <v>3</v>
      </c>
      <c r="B3" s="1" t="s">
        <v>64</v>
      </c>
      <c r="D3" s="1"/>
      <c r="E3" s="1">
        <v>-11.653</v>
      </c>
      <c r="F3" s="1">
        <v>414.08499999999998</v>
      </c>
      <c r="G3" s="1">
        <v>10990</v>
      </c>
      <c r="H3" s="1">
        <v>11.81</v>
      </c>
      <c r="I3" s="1">
        <v>63.826000000000001</v>
      </c>
      <c r="J3" s="1">
        <v>2328</v>
      </c>
      <c r="L3" s="1"/>
    </row>
    <row r="4" spans="1:12" x14ac:dyDescent="0.2">
      <c r="A4" s="1">
        <v>4</v>
      </c>
      <c r="B4" s="1" t="s">
        <v>64</v>
      </c>
      <c r="D4" s="1"/>
      <c r="E4" s="1">
        <v>-11.986000000000001</v>
      </c>
      <c r="F4" s="1">
        <v>390.18299999999999</v>
      </c>
      <c r="G4" s="1">
        <v>10343</v>
      </c>
      <c r="H4" s="1">
        <v>11.629</v>
      </c>
      <c r="I4" s="1">
        <v>60.045999999999999</v>
      </c>
      <c r="J4" s="1">
        <v>2183</v>
      </c>
      <c r="L4" s="1"/>
    </row>
    <row r="5" spans="1:12" x14ac:dyDescent="0.2">
      <c r="A5" s="1">
        <v>5</v>
      </c>
      <c r="B5" s="1" t="s">
        <v>65</v>
      </c>
      <c r="D5" s="1">
        <v>0.23799999999999999</v>
      </c>
      <c r="E5" s="1">
        <v>-12.763999999999999</v>
      </c>
      <c r="F5" s="1">
        <v>436.33100000000002</v>
      </c>
      <c r="G5" s="1">
        <v>11645</v>
      </c>
      <c r="H5" s="1">
        <v>11.590999999999999</v>
      </c>
      <c r="I5" s="1">
        <v>64.786000000000001</v>
      </c>
      <c r="J5" s="1">
        <v>2369</v>
      </c>
      <c r="K5" s="1"/>
      <c r="L5" s="1"/>
    </row>
    <row r="6" spans="1:12" x14ac:dyDescent="0.2">
      <c r="A6" s="1">
        <v>6</v>
      </c>
      <c r="B6" s="1" t="s">
        <v>66</v>
      </c>
      <c r="D6" s="1">
        <v>7.1779999999999999</v>
      </c>
      <c r="E6" s="1">
        <v>-26.681000000000001</v>
      </c>
      <c r="F6" s="1">
        <v>297.822</v>
      </c>
      <c r="G6" s="1">
        <v>7971</v>
      </c>
      <c r="H6" s="1">
        <v>7.0149999999999997</v>
      </c>
      <c r="I6" s="1">
        <v>13.458</v>
      </c>
      <c r="J6" s="1">
        <v>490</v>
      </c>
      <c r="L6" s="1"/>
    </row>
    <row r="7" spans="1:12" x14ac:dyDescent="0.2">
      <c r="A7" s="1">
        <v>7</v>
      </c>
      <c r="B7" s="1" t="s">
        <v>67</v>
      </c>
      <c r="D7" s="1">
        <v>1.417</v>
      </c>
      <c r="E7" s="1">
        <v>-28.265000000000001</v>
      </c>
      <c r="F7" s="1">
        <v>335.55500000000001</v>
      </c>
      <c r="G7" s="1">
        <v>8812</v>
      </c>
      <c r="H7" s="1">
        <v>4.4130000000000003</v>
      </c>
      <c r="I7" s="1">
        <v>12.271000000000001</v>
      </c>
      <c r="J7" s="1">
        <v>441</v>
      </c>
      <c r="L7" s="1"/>
    </row>
    <row r="8" spans="1:12" x14ac:dyDescent="0.2">
      <c r="A8" s="1">
        <v>8</v>
      </c>
      <c r="B8" s="1" t="s">
        <v>68</v>
      </c>
      <c r="C8" t="s">
        <v>69</v>
      </c>
      <c r="D8" s="1">
        <v>1.3720000000000001</v>
      </c>
      <c r="E8" s="1">
        <v>-23.773</v>
      </c>
      <c r="F8" s="1">
        <v>908.3</v>
      </c>
      <c r="G8" s="1">
        <v>24074</v>
      </c>
      <c r="H8">
        <v>1.2430000000000001</v>
      </c>
      <c r="I8">
        <v>31.713999999999999</v>
      </c>
      <c r="J8">
        <v>1165</v>
      </c>
      <c r="K8" s="1"/>
      <c r="L8" s="1"/>
    </row>
    <row r="9" spans="1:12" x14ac:dyDescent="0.2">
      <c r="A9" s="1">
        <v>9</v>
      </c>
      <c r="B9" s="1" t="s">
        <v>70</v>
      </c>
      <c r="C9" t="s">
        <v>69</v>
      </c>
      <c r="D9" s="1">
        <v>0.98299999999999998</v>
      </c>
      <c r="E9" s="1">
        <v>-25.92</v>
      </c>
      <c r="F9" s="1">
        <v>350.89699999999999</v>
      </c>
      <c r="G9" s="1">
        <v>9328</v>
      </c>
      <c r="H9" s="1">
        <v>0.39900000000000002</v>
      </c>
      <c r="I9" s="1">
        <v>8.3469999999999995</v>
      </c>
      <c r="J9" s="1">
        <v>301</v>
      </c>
      <c r="K9" s="1"/>
      <c r="L9" s="1"/>
    </row>
    <row r="10" spans="1:12" x14ac:dyDescent="0.2">
      <c r="A10" s="1">
        <v>10</v>
      </c>
      <c r="B10" s="1" t="s">
        <v>71</v>
      </c>
      <c r="C10" t="s">
        <v>69</v>
      </c>
      <c r="D10" s="1">
        <v>0.92200000000000004</v>
      </c>
      <c r="E10" s="1">
        <v>-25.702999999999999</v>
      </c>
      <c r="F10" s="1">
        <v>352.858</v>
      </c>
      <c r="G10" s="1">
        <v>9376</v>
      </c>
      <c r="H10" s="1">
        <v>0.72699999999999998</v>
      </c>
      <c r="I10" s="1">
        <v>8.8949999999999996</v>
      </c>
      <c r="J10" s="1">
        <v>321</v>
      </c>
      <c r="K10" s="1"/>
      <c r="L10" s="1"/>
    </row>
    <row r="11" spans="1:12" x14ac:dyDescent="0.2">
      <c r="A11" s="1">
        <v>11</v>
      </c>
      <c r="B11" s="1" t="s">
        <v>72</v>
      </c>
      <c r="C11" t="s">
        <v>69</v>
      </c>
      <c r="D11" s="1">
        <v>1.0009999999999999</v>
      </c>
      <c r="E11" s="1">
        <v>-26.036999999999999</v>
      </c>
      <c r="F11" s="1">
        <v>411.38200000000001</v>
      </c>
      <c r="G11" s="1">
        <v>10884</v>
      </c>
      <c r="H11" s="1">
        <v>0.67</v>
      </c>
      <c r="I11" s="1">
        <v>9.26</v>
      </c>
      <c r="J11" s="1">
        <v>333</v>
      </c>
      <c r="K11" s="1"/>
      <c r="L11" s="1"/>
    </row>
    <row r="12" spans="1:12" x14ac:dyDescent="0.2">
      <c r="A12" s="1">
        <v>12</v>
      </c>
      <c r="B12" s="1" t="s">
        <v>73</v>
      </c>
      <c r="C12" t="s">
        <v>69</v>
      </c>
      <c r="D12" s="1">
        <v>0.438</v>
      </c>
      <c r="E12" s="1">
        <v>-27.881</v>
      </c>
      <c r="F12" s="1">
        <v>338.68099999999998</v>
      </c>
      <c r="G12" s="1">
        <v>8962</v>
      </c>
      <c r="H12">
        <v>0.05</v>
      </c>
      <c r="I12">
        <v>3.3239999999999998</v>
      </c>
      <c r="J12">
        <v>119</v>
      </c>
      <c r="K12" s="1"/>
      <c r="L12" s="1"/>
    </row>
    <row r="13" spans="1:12" x14ac:dyDescent="0.2">
      <c r="A13" s="1">
        <v>13</v>
      </c>
      <c r="B13" s="1" t="s">
        <v>74</v>
      </c>
      <c r="C13" t="s">
        <v>69</v>
      </c>
      <c r="D13" s="1">
        <v>0.52</v>
      </c>
      <c r="E13" s="1">
        <v>-27.404</v>
      </c>
      <c r="F13" s="1">
        <v>351.529</v>
      </c>
      <c r="G13" s="1">
        <v>9256</v>
      </c>
      <c r="H13" s="1">
        <v>0.89900000000000002</v>
      </c>
      <c r="I13" s="1">
        <v>6.2510000000000003</v>
      </c>
      <c r="J13" s="1">
        <v>224</v>
      </c>
      <c r="K13" s="1"/>
      <c r="L13" s="1"/>
    </row>
    <row r="14" spans="1:12" x14ac:dyDescent="0.2">
      <c r="A14" s="1">
        <v>14</v>
      </c>
      <c r="B14" s="1" t="s">
        <v>75</v>
      </c>
      <c r="C14" t="s">
        <v>69</v>
      </c>
      <c r="D14" s="1">
        <v>0.35699999999999998</v>
      </c>
      <c r="E14" s="1">
        <v>-27.558</v>
      </c>
      <c r="F14" s="1">
        <v>526.65700000000004</v>
      </c>
      <c r="G14" s="1">
        <v>13945</v>
      </c>
      <c r="H14">
        <v>0.36099999999999999</v>
      </c>
      <c r="I14">
        <v>5.9340000000000002</v>
      </c>
      <c r="J14">
        <v>215</v>
      </c>
      <c r="K14" s="1"/>
      <c r="L14" s="1"/>
    </row>
    <row r="15" spans="1:12" x14ac:dyDescent="0.2">
      <c r="A15" s="1">
        <v>15</v>
      </c>
      <c r="B15" s="1" t="s">
        <v>76</v>
      </c>
      <c r="C15" t="s">
        <v>69</v>
      </c>
      <c r="D15" s="1">
        <v>0.44700000000000001</v>
      </c>
      <c r="E15" s="1">
        <v>-27.146000000000001</v>
      </c>
      <c r="F15" s="1">
        <v>761.36800000000005</v>
      </c>
      <c r="G15" s="1">
        <v>20074</v>
      </c>
      <c r="H15">
        <v>0.26800000000000002</v>
      </c>
      <c r="I15">
        <v>8.9469999999999992</v>
      </c>
      <c r="J15">
        <v>322</v>
      </c>
      <c r="K15" s="1"/>
      <c r="L15" s="1"/>
    </row>
    <row r="16" spans="1:12" x14ac:dyDescent="0.2">
      <c r="A16" s="1">
        <v>16</v>
      </c>
      <c r="B16" s="1" t="s">
        <v>77</v>
      </c>
      <c r="C16" t="s">
        <v>69</v>
      </c>
      <c r="D16" s="1">
        <v>0.83799999999999997</v>
      </c>
      <c r="E16" s="1">
        <v>-27.434000000000001</v>
      </c>
      <c r="F16" s="1">
        <v>599.35</v>
      </c>
      <c r="G16" s="1">
        <v>15823</v>
      </c>
      <c r="H16" s="1">
        <v>1.012</v>
      </c>
      <c r="I16" s="1">
        <v>8.5990000000000002</v>
      </c>
      <c r="J16" s="1">
        <v>308</v>
      </c>
      <c r="K16" s="1"/>
      <c r="L16" s="1"/>
    </row>
    <row r="17" spans="1:12" x14ac:dyDescent="0.2">
      <c r="A17" s="1">
        <v>17</v>
      </c>
      <c r="B17" s="1" t="s">
        <v>78</v>
      </c>
      <c r="C17" t="s">
        <v>69</v>
      </c>
      <c r="D17" s="1">
        <v>0.34699999999999998</v>
      </c>
      <c r="E17" s="1">
        <v>-26.963999999999999</v>
      </c>
      <c r="F17" s="1">
        <v>303.928</v>
      </c>
      <c r="G17" s="1">
        <v>8052</v>
      </c>
      <c r="H17">
        <v>0.16400000000000001</v>
      </c>
      <c r="I17">
        <v>4.1950000000000003</v>
      </c>
      <c r="J17">
        <v>149</v>
      </c>
      <c r="K17" s="1"/>
      <c r="L17" s="1"/>
    </row>
    <row r="18" spans="1:12" x14ac:dyDescent="0.2">
      <c r="A18" s="1">
        <v>18</v>
      </c>
      <c r="B18" s="1" t="s">
        <v>79</v>
      </c>
      <c r="C18" t="s">
        <v>69</v>
      </c>
      <c r="D18" s="1">
        <v>0.55500000000000005</v>
      </c>
      <c r="E18" s="1">
        <v>-27.323</v>
      </c>
      <c r="F18" s="1">
        <v>617.41099999999994</v>
      </c>
      <c r="G18" s="1">
        <v>16266</v>
      </c>
      <c r="H18">
        <v>0.79800000000000004</v>
      </c>
      <c r="I18">
        <v>8.1050000000000004</v>
      </c>
      <c r="J18">
        <v>290</v>
      </c>
      <c r="K18" s="1"/>
      <c r="L18" s="1"/>
    </row>
    <row r="19" spans="1:12" x14ac:dyDescent="0.2">
      <c r="A19" s="1">
        <v>19</v>
      </c>
      <c r="B19" s="1" t="s">
        <v>80</v>
      </c>
      <c r="C19" t="s">
        <v>69</v>
      </c>
      <c r="D19" s="1">
        <v>0.45500000000000002</v>
      </c>
      <c r="E19" s="1">
        <v>-27.108000000000001</v>
      </c>
      <c r="F19" s="1">
        <v>414.84500000000003</v>
      </c>
      <c r="G19" s="1">
        <v>10973</v>
      </c>
      <c r="H19">
        <v>-0.24</v>
      </c>
      <c r="I19">
        <v>5.6829999999999998</v>
      </c>
      <c r="J19">
        <v>203</v>
      </c>
      <c r="K19" s="1"/>
      <c r="L19" s="1"/>
    </row>
    <row r="20" spans="1:12" x14ac:dyDescent="0.2">
      <c r="A20" s="1">
        <v>20</v>
      </c>
      <c r="B20" s="1" t="s">
        <v>81</v>
      </c>
      <c r="C20" t="s">
        <v>69</v>
      </c>
      <c r="D20" s="1">
        <v>0.41499999999999998</v>
      </c>
      <c r="E20" s="1">
        <v>-27.004999999999999</v>
      </c>
      <c r="F20" s="1">
        <v>613.09400000000005</v>
      </c>
      <c r="G20" s="1">
        <v>16123</v>
      </c>
      <c r="H20" s="1">
        <v>-1.8979999999999999</v>
      </c>
      <c r="I20" s="1">
        <v>7.76</v>
      </c>
      <c r="J20" s="1">
        <v>278</v>
      </c>
      <c r="K20" s="1"/>
      <c r="L20" s="1"/>
    </row>
    <row r="21" spans="1:12" x14ac:dyDescent="0.2">
      <c r="A21" s="1">
        <v>21</v>
      </c>
      <c r="B21" s="1" t="s">
        <v>82</v>
      </c>
      <c r="C21" t="s">
        <v>69</v>
      </c>
      <c r="D21" s="1">
        <v>0.442</v>
      </c>
      <c r="E21" s="1">
        <v>-26.036999999999999</v>
      </c>
      <c r="F21" s="1">
        <v>803.2</v>
      </c>
      <c r="G21" s="1">
        <v>21321</v>
      </c>
      <c r="H21" s="1">
        <v>0.311</v>
      </c>
      <c r="I21" s="1">
        <v>11.693</v>
      </c>
      <c r="J21" s="1">
        <v>424</v>
      </c>
      <c r="K21" s="1"/>
      <c r="L21" s="1"/>
    </row>
    <row r="22" spans="1:12" x14ac:dyDescent="0.2">
      <c r="A22" s="1">
        <v>22</v>
      </c>
      <c r="B22" s="1" t="s">
        <v>83</v>
      </c>
      <c r="C22" t="s">
        <v>69</v>
      </c>
      <c r="D22" s="1">
        <v>0.60499999999999998</v>
      </c>
      <c r="E22" s="1">
        <v>-27.561</v>
      </c>
      <c r="F22" s="1">
        <v>764.28399999999999</v>
      </c>
      <c r="G22" s="1">
        <v>20215</v>
      </c>
      <c r="H22" s="1">
        <v>3.9329999999999998</v>
      </c>
      <c r="I22" s="1">
        <v>10.763999999999999</v>
      </c>
      <c r="J22" s="1">
        <v>387</v>
      </c>
      <c r="K22" s="1"/>
      <c r="L22" s="1"/>
    </row>
    <row r="23" spans="1:12" x14ac:dyDescent="0.2">
      <c r="A23" s="1">
        <v>23</v>
      </c>
      <c r="B23" s="1" t="s">
        <v>65</v>
      </c>
      <c r="D23" s="1">
        <v>0.22</v>
      </c>
      <c r="E23" s="1">
        <v>-12.222</v>
      </c>
      <c r="F23" s="1">
        <v>389.428</v>
      </c>
      <c r="G23" s="1">
        <v>10393</v>
      </c>
      <c r="H23" s="1">
        <v>12.086</v>
      </c>
      <c r="I23" s="1">
        <v>59.808</v>
      </c>
      <c r="J23" s="1">
        <v>2166</v>
      </c>
      <c r="K23" s="1"/>
      <c r="L23" s="1"/>
    </row>
    <row r="24" spans="1:12" x14ac:dyDescent="0.2">
      <c r="A24" s="1">
        <v>24</v>
      </c>
      <c r="B24" s="1" t="s">
        <v>66</v>
      </c>
      <c r="D24" s="1">
        <v>7.0910000000000002</v>
      </c>
      <c r="E24" s="1">
        <v>-27.289000000000001</v>
      </c>
      <c r="F24" s="1">
        <v>302.346</v>
      </c>
      <c r="G24" s="1">
        <v>8102</v>
      </c>
      <c r="H24">
        <v>7.1180000000000003</v>
      </c>
      <c r="I24">
        <v>12.957000000000001</v>
      </c>
      <c r="J24">
        <v>471</v>
      </c>
      <c r="K24" s="1"/>
      <c r="L24" s="1"/>
    </row>
    <row r="25" spans="1:12" x14ac:dyDescent="0.2">
      <c r="A25" s="1">
        <v>25</v>
      </c>
      <c r="B25" s="1" t="s">
        <v>67</v>
      </c>
      <c r="D25" s="1">
        <v>0.46500000000000002</v>
      </c>
      <c r="E25" s="1">
        <v>-28.466000000000001</v>
      </c>
      <c r="F25" s="1">
        <v>113.655</v>
      </c>
      <c r="G25" s="1">
        <v>3042</v>
      </c>
      <c r="H25">
        <v>4.1180000000000003</v>
      </c>
      <c r="I25">
        <v>4.1120000000000001</v>
      </c>
      <c r="J25">
        <v>146</v>
      </c>
      <c r="L25" s="1"/>
    </row>
    <row r="26" spans="1:12" x14ac:dyDescent="0.2">
      <c r="A26" s="1">
        <v>26</v>
      </c>
      <c r="B26" s="1" t="s">
        <v>67</v>
      </c>
      <c r="D26" s="1">
        <v>0.99299999999999999</v>
      </c>
      <c r="E26" s="1">
        <v>-28.701000000000001</v>
      </c>
      <c r="F26" s="1">
        <v>235.881</v>
      </c>
      <c r="G26" s="1">
        <v>6271</v>
      </c>
      <c r="H26">
        <v>4.2409999999999997</v>
      </c>
      <c r="I26">
        <v>8.5389999999999997</v>
      </c>
      <c r="J26">
        <v>305</v>
      </c>
      <c r="K26" s="1"/>
      <c r="L26" s="1"/>
    </row>
    <row r="27" spans="1:12" x14ac:dyDescent="0.2">
      <c r="A27" s="1">
        <v>27</v>
      </c>
      <c r="B27" s="1" t="s">
        <v>67</v>
      </c>
      <c r="D27" s="1">
        <v>2.4020000000000001</v>
      </c>
      <c r="E27" s="1">
        <v>-28.777999999999999</v>
      </c>
      <c r="F27" s="1">
        <v>556.05700000000002</v>
      </c>
      <c r="G27" s="1">
        <v>14693</v>
      </c>
      <c r="H27" s="1">
        <v>4.5069999999999997</v>
      </c>
      <c r="I27" s="1">
        <v>20.315999999999999</v>
      </c>
      <c r="J27" s="1">
        <v>734</v>
      </c>
      <c r="L27" s="1"/>
    </row>
    <row r="28" spans="1:12" x14ac:dyDescent="0.2">
      <c r="A28" s="1">
        <v>28</v>
      </c>
      <c r="B28" s="1" t="s">
        <v>67</v>
      </c>
      <c r="D28" s="1">
        <v>4.0529999999999999</v>
      </c>
      <c r="E28" s="1">
        <v>-28.952000000000002</v>
      </c>
      <c r="F28" s="1">
        <v>901.79899999999998</v>
      </c>
      <c r="G28" s="1">
        <v>23699</v>
      </c>
      <c r="H28" s="1">
        <v>3.411</v>
      </c>
      <c r="I28" s="1">
        <v>32.811999999999998</v>
      </c>
      <c r="J28" s="1">
        <v>1196</v>
      </c>
      <c r="K28" s="1"/>
      <c r="L28" s="1"/>
    </row>
    <row r="29" spans="1:12" x14ac:dyDescent="0.2">
      <c r="A29" s="1">
        <v>29</v>
      </c>
      <c r="B29" s="1" t="s">
        <v>84</v>
      </c>
      <c r="C29" t="s">
        <v>69</v>
      </c>
      <c r="D29" s="1">
        <v>0.61599999999999999</v>
      </c>
      <c r="E29" s="1">
        <v>-27.303999999999998</v>
      </c>
      <c r="F29" s="1">
        <v>1116.4179999999999</v>
      </c>
      <c r="G29" s="1">
        <v>29424</v>
      </c>
      <c r="H29" s="1">
        <v>-0.42599999999999999</v>
      </c>
      <c r="I29" s="1">
        <v>13.101000000000001</v>
      </c>
      <c r="J29" s="1">
        <v>474</v>
      </c>
      <c r="L29" s="1"/>
    </row>
    <row r="30" spans="1:12" x14ac:dyDescent="0.2">
      <c r="A30" s="1">
        <v>30</v>
      </c>
      <c r="B30" s="1" t="s">
        <v>85</v>
      </c>
      <c r="C30" t="s">
        <v>69</v>
      </c>
      <c r="D30" s="1">
        <v>0.47899999999999998</v>
      </c>
      <c r="E30" s="1">
        <v>-26.841999999999999</v>
      </c>
      <c r="F30" s="1">
        <v>552.17999999999995</v>
      </c>
      <c r="G30" s="1">
        <v>14724</v>
      </c>
      <c r="H30" s="1">
        <v>0.92200000000000004</v>
      </c>
      <c r="I30" s="1">
        <v>7.601</v>
      </c>
      <c r="J30" s="1">
        <v>272</v>
      </c>
      <c r="K30" s="1"/>
      <c r="L30" s="1"/>
    </row>
    <row r="31" spans="1:12" x14ac:dyDescent="0.2">
      <c r="A31" s="1">
        <v>31</v>
      </c>
      <c r="B31" s="1" t="s">
        <v>86</v>
      </c>
      <c r="C31" t="s">
        <v>69</v>
      </c>
      <c r="D31" s="1">
        <v>8.8089999999999993</v>
      </c>
      <c r="E31" s="1">
        <v>-27.79</v>
      </c>
      <c r="F31" s="1">
        <v>344.69400000000002</v>
      </c>
      <c r="G31" s="1">
        <v>9116</v>
      </c>
      <c r="H31" s="1">
        <v>1.9179999999999999</v>
      </c>
      <c r="I31" s="1">
        <v>18.274999999999999</v>
      </c>
      <c r="J31" s="1">
        <v>650</v>
      </c>
      <c r="L31" s="1"/>
    </row>
    <row r="32" spans="1:12" x14ac:dyDescent="0.2">
      <c r="A32" s="1">
        <v>32</v>
      </c>
      <c r="B32" s="1" t="s">
        <v>87</v>
      </c>
      <c r="C32" t="s">
        <v>69</v>
      </c>
      <c r="D32" s="1">
        <v>1.0049999999999999</v>
      </c>
      <c r="E32" s="1">
        <v>-28.542000000000002</v>
      </c>
      <c r="F32" s="1">
        <v>112.54</v>
      </c>
      <c r="G32" s="1">
        <v>3015</v>
      </c>
      <c r="H32" s="1">
        <v>-4.7039999999999997</v>
      </c>
      <c r="I32" s="1">
        <v>3.7810000000000001</v>
      </c>
      <c r="J32" s="1">
        <v>134</v>
      </c>
      <c r="K32" s="1"/>
      <c r="L32" s="1"/>
    </row>
    <row r="33" spans="1:12" x14ac:dyDescent="0.2">
      <c r="A33" s="1">
        <v>33</v>
      </c>
      <c r="B33" s="1" t="s">
        <v>88</v>
      </c>
      <c r="C33" t="s">
        <v>69</v>
      </c>
      <c r="D33" s="1">
        <v>8.1720000000000006</v>
      </c>
      <c r="E33" s="1">
        <v>-27.8</v>
      </c>
      <c r="F33" s="1">
        <v>297.42399999999998</v>
      </c>
      <c r="G33" s="1">
        <v>7924</v>
      </c>
      <c r="H33" s="1">
        <v>0.58699999999999997</v>
      </c>
      <c r="I33" s="1">
        <v>16.36</v>
      </c>
      <c r="J33" s="1">
        <v>587</v>
      </c>
      <c r="K33" s="1"/>
      <c r="L33" s="1"/>
    </row>
    <row r="34" spans="1:12" x14ac:dyDescent="0.2">
      <c r="A34" s="1">
        <v>34</v>
      </c>
      <c r="B34" s="1" t="s">
        <v>89</v>
      </c>
      <c r="C34" t="s">
        <v>69</v>
      </c>
      <c r="D34" s="1">
        <v>1.032</v>
      </c>
      <c r="E34" s="1">
        <v>-27.986000000000001</v>
      </c>
      <c r="F34" s="1">
        <v>98.567999999999998</v>
      </c>
      <c r="G34" s="1">
        <v>2658</v>
      </c>
      <c r="H34" s="1">
        <v>-0.92300000000000004</v>
      </c>
      <c r="I34" s="1">
        <v>3.5739999999999998</v>
      </c>
      <c r="J34" s="1">
        <v>126</v>
      </c>
      <c r="K34" s="1"/>
      <c r="L34" s="1"/>
    </row>
    <row r="35" spans="1:12" x14ac:dyDescent="0.2">
      <c r="A35" s="1">
        <v>36</v>
      </c>
      <c r="B35" s="1" t="s">
        <v>90</v>
      </c>
      <c r="C35" t="s">
        <v>69</v>
      </c>
      <c r="D35" s="1">
        <v>7.5030000000000001</v>
      </c>
      <c r="E35" s="1">
        <v>-27.849</v>
      </c>
      <c r="F35" s="1">
        <v>363.149</v>
      </c>
      <c r="G35" s="1">
        <v>9679</v>
      </c>
      <c r="H35" s="1">
        <v>2.6869999999999998</v>
      </c>
      <c r="I35" s="1">
        <v>16.21</v>
      </c>
      <c r="J35" s="1">
        <v>575</v>
      </c>
      <c r="K35" s="1"/>
      <c r="L35" s="1"/>
    </row>
    <row r="36" spans="1:12" x14ac:dyDescent="0.2">
      <c r="A36" s="1">
        <v>37</v>
      </c>
      <c r="B36" s="1" t="s">
        <v>91</v>
      </c>
      <c r="C36" t="s">
        <v>69</v>
      </c>
      <c r="D36" s="1">
        <v>9.3940000000000001</v>
      </c>
      <c r="E36" s="1">
        <v>-25.588000000000001</v>
      </c>
      <c r="F36" s="1">
        <v>305.65499999999997</v>
      </c>
      <c r="G36" s="1">
        <v>8173</v>
      </c>
      <c r="H36" s="1">
        <v>1.6240000000000001</v>
      </c>
      <c r="I36" s="1">
        <v>19.141999999999999</v>
      </c>
      <c r="J36" s="1">
        <v>690</v>
      </c>
      <c r="K36" s="1"/>
      <c r="L36" s="1"/>
    </row>
    <row r="37" spans="1:12" x14ac:dyDescent="0.2">
      <c r="A37" s="1">
        <v>38</v>
      </c>
      <c r="B37" s="1" t="s">
        <v>92</v>
      </c>
      <c r="C37" t="s">
        <v>69</v>
      </c>
      <c r="D37" s="1">
        <v>4.1369999999999996</v>
      </c>
      <c r="E37" s="1">
        <v>-28.001000000000001</v>
      </c>
      <c r="F37" s="1">
        <v>187.904</v>
      </c>
      <c r="G37" s="1">
        <v>4970</v>
      </c>
      <c r="H37" s="1">
        <v>-0.65400000000000003</v>
      </c>
      <c r="I37" s="1">
        <v>8.2690000000000001</v>
      </c>
      <c r="J37" s="1">
        <v>291</v>
      </c>
      <c r="L37" s="1"/>
    </row>
    <row r="38" spans="1:12" x14ac:dyDescent="0.2">
      <c r="A38" s="1">
        <v>39</v>
      </c>
      <c r="B38" s="1" t="s">
        <v>93</v>
      </c>
      <c r="C38" t="s">
        <v>69</v>
      </c>
      <c r="D38" s="1">
        <v>9.2690000000000001</v>
      </c>
      <c r="E38" s="1">
        <v>-27.119</v>
      </c>
      <c r="F38" s="1">
        <v>262.07600000000002</v>
      </c>
      <c r="G38" s="1">
        <v>6974</v>
      </c>
      <c r="H38" s="1">
        <v>0.73399999999999999</v>
      </c>
      <c r="I38" s="1">
        <v>17.745000000000001</v>
      </c>
      <c r="J38" s="1">
        <v>634</v>
      </c>
      <c r="K38" s="1"/>
      <c r="L38" s="1"/>
    </row>
    <row r="39" spans="1:12" x14ac:dyDescent="0.2">
      <c r="A39" s="1">
        <v>40</v>
      </c>
      <c r="B39" s="1" t="s">
        <v>94</v>
      </c>
      <c r="C39" t="s">
        <v>69</v>
      </c>
      <c r="D39" s="1">
        <v>4.0620000000000003</v>
      </c>
      <c r="E39" s="1">
        <v>-28.120999999999999</v>
      </c>
      <c r="F39" s="1">
        <v>212.92500000000001</v>
      </c>
      <c r="G39" s="1">
        <v>5616</v>
      </c>
      <c r="H39" s="1">
        <v>0.23300000000000001</v>
      </c>
      <c r="I39" s="1">
        <v>10.050000000000001</v>
      </c>
      <c r="J39" s="1">
        <v>353</v>
      </c>
      <c r="L39" s="1"/>
    </row>
    <row r="40" spans="1:12" x14ac:dyDescent="0.2">
      <c r="A40" s="1">
        <v>41</v>
      </c>
      <c r="B40" s="1" t="s">
        <v>95</v>
      </c>
      <c r="C40" t="s">
        <v>69</v>
      </c>
      <c r="D40" s="1">
        <v>8.1219999999999999</v>
      </c>
      <c r="E40" s="1">
        <v>-26.594000000000001</v>
      </c>
      <c r="F40" s="1">
        <v>385.029</v>
      </c>
      <c r="G40" s="1">
        <v>10103</v>
      </c>
      <c r="H40" s="1">
        <v>0.71299999999999997</v>
      </c>
      <c r="I40" s="1">
        <v>17.675999999999998</v>
      </c>
      <c r="J40" s="1">
        <v>629</v>
      </c>
      <c r="K40" s="1"/>
      <c r="L40" s="1"/>
    </row>
    <row r="41" spans="1:12" x14ac:dyDescent="0.2">
      <c r="A41" s="1">
        <v>42</v>
      </c>
      <c r="B41" s="1" t="s">
        <v>96</v>
      </c>
      <c r="C41" t="s">
        <v>69</v>
      </c>
      <c r="D41" s="1">
        <v>10.462</v>
      </c>
      <c r="E41" s="1">
        <v>-28.047000000000001</v>
      </c>
      <c r="F41" s="1">
        <v>457.55900000000003</v>
      </c>
      <c r="G41" s="1">
        <v>12182</v>
      </c>
      <c r="H41" s="1">
        <v>-0.30599999999999999</v>
      </c>
      <c r="I41" s="1">
        <v>21.94</v>
      </c>
      <c r="J41" s="1">
        <v>788</v>
      </c>
      <c r="L41" s="1"/>
    </row>
    <row r="42" spans="1:12" x14ac:dyDescent="0.2">
      <c r="A42" s="1">
        <v>43</v>
      </c>
      <c r="B42" s="1" t="s">
        <v>97</v>
      </c>
      <c r="C42" t="s">
        <v>69</v>
      </c>
      <c r="D42" s="1">
        <v>9.9629999999999992</v>
      </c>
      <c r="E42" s="1">
        <v>-27.826000000000001</v>
      </c>
      <c r="F42" s="1">
        <v>400.166</v>
      </c>
      <c r="G42" s="1">
        <v>10665</v>
      </c>
      <c r="H42" s="1">
        <v>0.16600000000000001</v>
      </c>
      <c r="I42" s="1">
        <v>20.972000000000001</v>
      </c>
      <c r="J42" s="1">
        <v>753</v>
      </c>
      <c r="K42" s="1"/>
      <c r="L42" s="1"/>
    </row>
    <row r="43" spans="1:12" x14ac:dyDescent="0.2">
      <c r="A43" s="1">
        <v>44</v>
      </c>
      <c r="B43" s="1" t="s">
        <v>98</v>
      </c>
      <c r="C43" t="s">
        <v>69</v>
      </c>
      <c r="D43" s="1">
        <v>8.9459999999999997</v>
      </c>
      <c r="E43" s="1">
        <v>-27.876999999999999</v>
      </c>
      <c r="F43" s="1">
        <v>354.42399999999998</v>
      </c>
      <c r="G43" s="1">
        <v>9294</v>
      </c>
      <c r="H43" s="1">
        <v>0.17499999999999999</v>
      </c>
      <c r="I43" s="1">
        <v>17.396999999999998</v>
      </c>
      <c r="J43" s="1">
        <v>620</v>
      </c>
      <c r="L43" s="1"/>
    </row>
    <row r="44" spans="1:12" x14ac:dyDescent="0.2">
      <c r="A44" s="1">
        <v>45</v>
      </c>
      <c r="B44" s="1" t="s">
        <v>99</v>
      </c>
      <c r="C44" s="1" t="s">
        <v>69</v>
      </c>
      <c r="D44" s="1">
        <v>8.923</v>
      </c>
      <c r="E44" s="1">
        <v>-28.135000000000002</v>
      </c>
      <c r="F44" s="1">
        <v>328.46699999999998</v>
      </c>
      <c r="G44" s="1">
        <v>8793</v>
      </c>
      <c r="H44" s="1">
        <v>-2.5999999999999999E-2</v>
      </c>
      <c r="I44" s="1">
        <v>16.434000000000001</v>
      </c>
      <c r="J44" s="1">
        <v>589</v>
      </c>
      <c r="K44" s="1"/>
      <c r="L44" s="1"/>
    </row>
    <row r="45" spans="1:12" x14ac:dyDescent="0.2">
      <c r="A45" s="1">
        <v>46</v>
      </c>
      <c r="B45" s="1" t="s">
        <v>100</v>
      </c>
      <c r="C45" s="1" t="s">
        <v>69</v>
      </c>
      <c r="D45" s="1">
        <v>10.148</v>
      </c>
      <c r="E45" s="1">
        <v>-28.417999999999999</v>
      </c>
      <c r="F45" s="1">
        <v>497.69499999999999</v>
      </c>
      <c r="G45" s="1">
        <v>13193</v>
      </c>
      <c r="H45">
        <v>0.499</v>
      </c>
      <c r="I45">
        <v>21.082999999999998</v>
      </c>
      <c r="J45">
        <v>758</v>
      </c>
      <c r="L45" s="1"/>
    </row>
    <row r="46" spans="1:12" x14ac:dyDescent="0.2">
      <c r="A46" s="1">
        <v>47</v>
      </c>
      <c r="B46" s="1" t="s">
        <v>65</v>
      </c>
      <c r="C46" s="1"/>
      <c r="D46" s="1">
        <v>0.20499999999999999</v>
      </c>
      <c r="E46" s="1">
        <v>-12.993</v>
      </c>
      <c r="F46" s="1">
        <v>373.92200000000003</v>
      </c>
      <c r="G46" s="1">
        <v>10083</v>
      </c>
      <c r="H46" s="1">
        <v>10.669</v>
      </c>
      <c r="I46" s="1">
        <v>56.249000000000002</v>
      </c>
      <c r="J46" s="1">
        <v>2053</v>
      </c>
      <c r="K46" s="1"/>
      <c r="L46" s="1"/>
    </row>
    <row r="47" spans="1:12" x14ac:dyDescent="0.2">
      <c r="A47" s="1">
        <v>48</v>
      </c>
      <c r="B47" s="1" t="s">
        <v>66</v>
      </c>
      <c r="C47" s="1"/>
      <c r="D47" s="1">
        <v>7.04</v>
      </c>
      <c r="E47" s="1">
        <v>-27.43</v>
      </c>
      <c r="F47" s="1">
        <v>291.923</v>
      </c>
      <c r="G47" s="1">
        <v>7863</v>
      </c>
      <c r="H47">
        <v>6.7240000000000002</v>
      </c>
      <c r="I47">
        <v>12.739000000000001</v>
      </c>
      <c r="J47">
        <v>459</v>
      </c>
      <c r="L47" s="1"/>
    </row>
    <row r="48" spans="1:12" x14ac:dyDescent="0.2">
      <c r="A48" s="1">
        <v>49</v>
      </c>
      <c r="B48" s="1" t="s">
        <v>67</v>
      </c>
      <c r="C48" s="1"/>
      <c r="D48" s="1">
        <v>1.387</v>
      </c>
      <c r="E48" s="1">
        <v>-28.896000000000001</v>
      </c>
      <c r="F48" s="1">
        <v>314.60000000000002</v>
      </c>
      <c r="G48" s="1">
        <v>8337</v>
      </c>
      <c r="H48" s="1">
        <v>5.1829999999999998</v>
      </c>
      <c r="I48" s="1">
        <v>11.436</v>
      </c>
      <c r="J48" s="1">
        <v>407</v>
      </c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L51" s="1"/>
    </row>
    <row r="52" spans="1:12" x14ac:dyDescent="0.2">
      <c r="A52" s="1"/>
      <c r="B52" s="1"/>
      <c r="D52" s="1"/>
      <c r="E52" s="1"/>
      <c r="F52" s="1"/>
      <c r="G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topLeftCell="A22" workbookViewId="0">
      <selection activeCell="V28" sqref="V28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7.875" customWidth="1"/>
    <col min="11" max="11" width="9.625" customWidth="1"/>
    <col min="14" max="14" width="12.125" customWidth="1"/>
    <col min="16" max="16" width="9" style="21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3" t="s">
        <v>59</v>
      </c>
      <c r="O1" s="33"/>
      <c r="P1" s="33"/>
      <c r="Q1" s="33"/>
      <c r="R1" s="33" t="s">
        <v>62</v>
      </c>
      <c r="S1" s="33"/>
      <c r="T1" s="33"/>
      <c r="U1" s="33"/>
      <c r="V1" s="33"/>
      <c r="W1" s="33"/>
    </row>
    <row r="2" spans="1:23" ht="27.75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L2" s="23" t="s">
        <v>53</v>
      </c>
      <c r="M2" s="23" t="s">
        <v>10</v>
      </c>
      <c r="N2" s="25" t="s">
        <v>58</v>
      </c>
      <c r="O2" s="25" t="s">
        <v>52</v>
      </c>
      <c r="P2" s="25" t="s">
        <v>60</v>
      </c>
      <c r="Q2" s="25" t="s">
        <v>61</v>
      </c>
      <c r="R2" s="23" t="s">
        <v>11</v>
      </c>
      <c r="S2" s="23" t="s">
        <v>12</v>
      </c>
      <c r="T2" s="23" t="s">
        <v>26</v>
      </c>
      <c r="U2" s="23" t="s">
        <v>27</v>
      </c>
      <c r="V2" s="25" t="s">
        <v>51</v>
      </c>
      <c r="W2" s="25" t="s">
        <v>52</v>
      </c>
    </row>
    <row r="3" spans="1:23" x14ac:dyDescent="0.2">
      <c r="A3" s="1">
        <v>7</v>
      </c>
      <c r="B3" s="1" t="s">
        <v>67</v>
      </c>
      <c r="D3" s="1">
        <v>1.417</v>
      </c>
      <c r="E3" s="1">
        <v>-28.265000000000001</v>
      </c>
      <c r="F3" s="1">
        <v>335.55500000000001</v>
      </c>
      <c r="G3" s="1">
        <v>8812</v>
      </c>
      <c r="H3" s="1">
        <v>4.4130000000000003</v>
      </c>
      <c r="I3" s="1">
        <v>12.271000000000001</v>
      </c>
      <c r="J3" s="1">
        <v>441</v>
      </c>
      <c r="K3" s="2"/>
      <c r="L3" s="28">
        <f>E3-((G3^3*$B$25+G3^2*$B$26+G3*$B$27+$B$28)+(A3^3*$C$25+$C$26*A3^2+$C$27*A3+$C$28))</f>
        <v>-27.8784331882784</v>
      </c>
      <c r="M3" s="28">
        <f>H3-((J3^3*$B$31+J3^2*$B$32+J3*$B$33+$B$34)+(A3^3*$C$31+$C$32*A3^2+$C$33*A3+$C$34))</f>
        <v>4.4130000000000003</v>
      </c>
      <c r="N3" s="3">
        <v>-27.87</v>
      </c>
      <c r="O3" s="3">
        <v>5.15</v>
      </c>
      <c r="P3" s="22">
        <v>5.9</v>
      </c>
      <c r="Q3" s="3">
        <v>0.48</v>
      </c>
      <c r="R3" s="20">
        <f>(P3*D3)/F3</f>
        <v>2.4914842574242674E-2</v>
      </c>
      <c r="S3" s="20">
        <f>(Q3*D3)/I3</f>
        <v>5.5428245456767986E-2</v>
      </c>
      <c r="T3" s="12">
        <f>((F3*standards!$R$31+standards!$R$30)*F3)/D3</f>
        <v>5.935221300896945</v>
      </c>
      <c r="U3" s="12">
        <f>((I3*standards!$S$31+standards!$S$30)*I3)/D3</f>
        <v>0.51410932092426942</v>
      </c>
      <c r="V3" s="9">
        <f>(E3-((G3^3*standards!$B$25+G3^2*standards!$B$26+G3*standards!$B$27+standards!$B$28)+(A3^3*standards!$C$25+standards!$C$26*A3^2+standards!$C$27*A3+standards!$C$28)))*standards!$R$27+standards!$R$26</f>
        <v>-27.830645219810172</v>
      </c>
      <c r="W3" s="9">
        <f>(H3-((J3^3*standards!$B$31+J3^2*standards!$B$32+J3*standards!$B$33+standards!$B$34)+(A3^3*standards!$C$31+standards!$C$32*A3^2+standards!$C$33*A3+standards!$C$34)))*standards!$S$27+standards!$S$26</f>
        <v>5.266946658365617</v>
      </c>
    </row>
    <row r="4" spans="1:23" x14ac:dyDescent="0.2">
      <c r="A4" s="1">
        <v>25</v>
      </c>
      <c r="B4" s="1" t="s">
        <v>67</v>
      </c>
      <c r="D4" s="1">
        <v>0.46500000000000002</v>
      </c>
      <c r="E4" s="1">
        <v>-28.466000000000001</v>
      </c>
      <c r="F4" s="1">
        <v>113.655</v>
      </c>
      <c r="G4" s="1">
        <v>3042</v>
      </c>
      <c r="H4" s="1">
        <v>4.1180000000000003</v>
      </c>
      <c r="I4" s="1">
        <v>4.1120000000000001</v>
      </c>
      <c r="J4" s="1">
        <v>146</v>
      </c>
      <c r="K4" s="2"/>
      <c r="L4" s="28">
        <f t="shared" ref="L4:L13" si="0">E4-((G4^3*$B$25+G4^2*$B$26+G4*$B$27+$B$28)+(A4^3*$C$25+$C$26*A4^2+$C$27*A4+$C$28))</f>
        <v>-27.982591093690402</v>
      </c>
      <c r="M4" s="28">
        <f t="shared" ref="M4:M13" si="1">H4-((J4^3*$B$31+J4^2*$B$32+J4*$B$33+$B$34)+(A4^3*$C$31+$C$32*A4^2+$C$33*A4+$C$34))</f>
        <v>4.1180000000000003</v>
      </c>
      <c r="N4" s="3">
        <v>-27.87</v>
      </c>
      <c r="O4" s="3">
        <v>5.15</v>
      </c>
      <c r="P4" s="22">
        <v>5.9</v>
      </c>
      <c r="Q4" s="3">
        <v>0.48</v>
      </c>
      <c r="R4" s="20">
        <f t="shared" ref="R4:R8" si="2">(P4*D4)/F4</f>
        <v>2.4138841230038278E-2</v>
      </c>
      <c r="S4" s="20">
        <f t="shared" ref="S4:S8" si="3">(Q4*D4)/I4</f>
        <v>5.4280155642023348E-2</v>
      </c>
      <c r="T4" s="12">
        <f>((F4*standards!$R$31+standards!$R$30)*F4)/D4</f>
        <v>5.982656507576678</v>
      </c>
      <c r="U4" s="12">
        <f>((I4*standards!$S$31+standards!$S$30)*I4)/D4</f>
        <v>0.51913848058997158</v>
      </c>
      <c r="V4" s="9">
        <f>(E4-((G4^3*standards!$B$25+G4^2*standards!$B$26+G4*standards!$B$27+standards!$B$28)+(A4^3*standards!$C$25+standards!$C$26*A4^2+standards!$C$27*A4+standards!$C$28)))*standards!$R$27+standards!$R$26</f>
        <v>-27.936360583065564</v>
      </c>
      <c r="W4" s="9">
        <f>(H4-((J4^3*standards!$B$31+J4^2*standards!$B$32+J4*standards!$B$33+standards!$B$34)+(A4^3*standards!$C$31+standards!$C$32*A4^2+standards!$C$33*A4+standards!$C$34)))*standards!$S$27+standards!$S$26</f>
        <v>4.9999922191982735</v>
      </c>
    </row>
    <row r="5" spans="1:23" x14ac:dyDescent="0.2">
      <c r="A5" s="1">
        <v>26</v>
      </c>
      <c r="B5" s="1" t="s">
        <v>67</v>
      </c>
      <c r="D5" s="1">
        <v>0.99299999999999999</v>
      </c>
      <c r="E5" s="1">
        <v>-28.701000000000001</v>
      </c>
      <c r="F5" s="1">
        <v>235.881</v>
      </c>
      <c r="G5" s="1">
        <v>6271</v>
      </c>
      <c r="H5" s="1">
        <v>4.2409999999999997</v>
      </c>
      <c r="I5" s="1">
        <v>8.5389999999999997</v>
      </c>
      <c r="J5" s="1">
        <v>305</v>
      </c>
      <c r="K5" s="2"/>
      <c r="L5" s="28">
        <f t="shared" si="0"/>
        <v>-28.1004490466226</v>
      </c>
      <c r="M5" s="28">
        <f t="shared" si="1"/>
        <v>4.2409999999999997</v>
      </c>
      <c r="N5" s="3">
        <v>-27.87</v>
      </c>
      <c r="O5" s="3">
        <v>5.15</v>
      </c>
      <c r="P5" s="22">
        <v>5.9</v>
      </c>
      <c r="Q5" s="3">
        <v>0.48</v>
      </c>
      <c r="R5" s="20">
        <f t="shared" si="2"/>
        <v>2.4837524005748665E-2</v>
      </c>
      <c r="S5" s="20">
        <f t="shared" si="3"/>
        <v>5.5819182574071903E-2</v>
      </c>
      <c r="T5" s="12">
        <f>((F5*standards!$R$31+standards!$R$30)*F5)/D5</f>
        <v>5.891110893682332</v>
      </c>
      <c r="U5" s="12">
        <f>((I5*standards!$S$31+standards!$S$30)*I5)/D5</f>
        <v>0.50790890690197521</v>
      </c>
      <c r="V5" s="9">
        <f>(E5-((G5^3*standards!$B$25+G5^2*standards!$B$26+G5*standards!$B$27+standards!$B$28)+(A5^3*standards!$C$25+standards!$C$26*A5^2+standards!$C$27*A5+standards!$C$28)))*standards!$R$27+standards!$R$26</f>
        <v>-28.055980848637152</v>
      </c>
      <c r="W5" s="9">
        <f>(H5-((J5^3*standards!$B$31+J5^2*standards!$B$32+J5*standards!$B$33+standards!$B$34)+(A5^3*standards!$C$31+standards!$C$32*A5^2+standards!$C$33*A5+standards!$C$34)))*standards!$S$27+standards!$S$26</f>
        <v>5.1112986463765218</v>
      </c>
    </row>
    <row r="6" spans="1:23" x14ac:dyDescent="0.2">
      <c r="A6" s="1">
        <v>27</v>
      </c>
      <c r="B6" s="1" t="s">
        <v>67</v>
      </c>
      <c r="D6" s="1">
        <v>2.4020000000000001</v>
      </c>
      <c r="E6" s="1">
        <v>-28.777999999999999</v>
      </c>
      <c r="F6" s="1">
        <v>556.05700000000002</v>
      </c>
      <c r="G6" s="1">
        <v>14693</v>
      </c>
      <c r="H6" s="1">
        <v>4.5069999999999997</v>
      </c>
      <c r="I6" s="1">
        <v>20.315999999999999</v>
      </c>
      <c r="J6" s="1">
        <v>734</v>
      </c>
      <c r="K6" s="2"/>
      <c r="L6" s="28">
        <f t="shared" si="0"/>
        <v>-27.958700741411398</v>
      </c>
      <c r="M6" s="28">
        <f t="shared" si="1"/>
        <v>4.5069999999999997</v>
      </c>
      <c r="N6" s="3">
        <v>-27.87</v>
      </c>
      <c r="O6" s="3">
        <v>5.15</v>
      </c>
      <c r="P6" s="22">
        <v>5.9</v>
      </c>
      <c r="Q6" s="3">
        <v>0.48</v>
      </c>
      <c r="R6" s="20">
        <f t="shared" si="2"/>
        <v>2.5486236123275132E-2</v>
      </c>
      <c r="S6" s="20">
        <f t="shared" si="3"/>
        <v>5.6751329001772002E-2</v>
      </c>
      <c r="T6" s="12">
        <f>((F6*standards!$R$31+standards!$R$30)*F6)/D6</f>
        <v>5.9370873547163079</v>
      </c>
      <c r="U6" s="12">
        <f>((I6*standards!$S$31+standards!$S$30)*I6)/D6</f>
        <v>0.50763577506665647</v>
      </c>
      <c r="V6" s="9">
        <f>(E6-((G6^3*standards!$B$25+G6^2*standards!$B$26+G6*standards!$B$27+standards!$B$28)+(A6^3*standards!$C$25+standards!$C$26*A6^2+standards!$C$27*A6+standards!$C$28)))*standards!$R$27+standards!$R$26</f>
        <v>-27.912113001861965</v>
      </c>
      <c r="W6" s="9">
        <f>(H6-((J6^3*standards!$B$31+J6^2*standards!$B$32+J6*standards!$B$33+standards!$B$34)+(A6^3*standards!$C$31+standards!$C$32*A6^2+standards!$C$33*A6+standards!$C$34)))*standards!$S$27+standards!$S$26</f>
        <v>5.3520101067782617</v>
      </c>
    </row>
    <row r="7" spans="1:23" x14ac:dyDescent="0.2">
      <c r="A7" s="1">
        <v>28</v>
      </c>
      <c r="B7" s="1" t="s">
        <v>67</v>
      </c>
      <c r="D7" s="1">
        <v>4.0529999999999999</v>
      </c>
      <c r="E7" s="1">
        <v>-28.952000000000002</v>
      </c>
      <c r="F7" s="1">
        <v>901.79899999999998</v>
      </c>
      <c r="G7" s="1">
        <v>23699</v>
      </c>
      <c r="H7" s="1">
        <v>3.411</v>
      </c>
      <c r="I7" s="1">
        <v>32.811999999999998</v>
      </c>
      <c r="J7" s="1">
        <v>1196</v>
      </c>
      <c r="K7" s="2"/>
      <c r="L7" s="28">
        <f t="shared" si="0"/>
        <v>-28.0000565449986</v>
      </c>
      <c r="M7" s="28">
        <f t="shared" si="1"/>
        <v>3.411</v>
      </c>
      <c r="N7" s="3">
        <v>-27.87</v>
      </c>
      <c r="O7" s="3">
        <v>5.15</v>
      </c>
      <c r="P7" s="22">
        <v>5.9</v>
      </c>
      <c r="Q7" s="3">
        <v>0.48</v>
      </c>
      <c r="R7" s="20">
        <f t="shared" si="2"/>
        <v>2.6516662804017304E-2</v>
      </c>
      <c r="S7" s="20">
        <f t="shared" si="3"/>
        <v>5.9290503474338653E-2</v>
      </c>
      <c r="T7" s="12">
        <f>((F7*standards!$R$31+standards!$R$30)*F7)/D7</f>
        <v>5.9097230914911405</v>
      </c>
      <c r="U7" s="12">
        <f>((I7*standards!$S$31+standards!$S$30)*I7)/D7</f>
        <v>0.49409106232546829</v>
      </c>
      <c r="V7" s="9">
        <f>(E7-((G7^3*standards!$B$25+G7^2*standards!$B$26+G7*standards!$B$27+standards!$B$28)+(A7^3*standards!$C$25+standards!$C$26*A7^2+standards!$C$27*A7+standards!$C$28)))*standards!$R$27+standards!$R$26</f>
        <v>-27.954087192698907</v>
      </c>
      <c r="W7" s="9">
        <f>(H7-((J7^3*standards!$B$31+J7^2*standards!$B$32+J7*standards!$B$33+standards!$B$34)+(A7^3*standards!$C$31+standards!$C$32*A7^2+standards!$C$33*A7+standards!$C$34)))*standards!$S$27+standards!$S$26</f>
        <v>4.3602064954989093</v>
      </c>
    </row>
    <row r="8" spans="1:23" x14ac:dyDescent="0.2">
      <c r="A8" s="1">
        <v>49</v>
      </c>
      <c r="B8" s="1" t="s">
        <v>67</v>
      </c>
      <c r="D8" s="1">
        <v>1.387</v>
      </c>
      <c r="E8" s="1">
        <v>-28.896000000000001</v>
      </c>
      <c r="F8" s="1">
        <v>314.60000000000002</v>
      </c>
      <c r="G8" s="1">
        <v>8337</v>
      </c>
      <c r="H8" s="1">
        <v>5.1829999999999998</v>
      </c>
      <c r="I8" s="1">
        <v>11.436</v>
      </c>
      <c r="J8" s="1">
        <v>407</v>
      </c>
      <c r="K8" s="2"/>
      <c r="L8" s="28">
        <f t="shared" si="0"/>
        <v>-27.892081796363399</v>
      </c>
      <c r="M8" s="28">
        <f t="shared" si="1"/>
        <v>5.1829999999999998</v>
      </c>
      <c r="N8" s="3">
        <v>-27.87</v>
      </c>
      <c r="O8" s="3">
        <v>5.15</v>
      </c>
      <c r="P8" s="22">
        <v>5.9</v>
      </c>
      <c r="Q8" s="3">
        <v>0.48</v>
      </c>
      <c r="R8" s="20">
        <f t="shared" si="2"/>
        <v>2.6011760966306422E-2</v>
      </c>
      <c r="S8" s="20">
        <f t="shared" si="3"/>
        <v>5.8216159496327392E-2</v>
      </c>
      <c r="T8" s="12">
        <f>((F8*standards!$R$31+standards!$R$30)*F8)/D8</f>
        <v>5.6723685291829948</v>
      </c>
      <c r="U8" s="12">
        <f>((I8*standards!$S$31+standards!$S$30)*I8)/D8</f>
        <v>0.48893140959676867</v>
      </c>
      <c r="V8" s="9">
        <f>(E8-((G8^3*standards!$B$25+G8^2*standards!$B$26+G8*standards!$B$27+standards!$B$28)+(A8^3*standards!$C$25+standards!$C$26*A8^2+standards!$C$27*A8+standards!$C$28)))*standards!$R$27+standards!$R$26</f>
        <v>-27.844497913524865</v>
      </c>
      <c r="W8" s="9">
        <f>(H8-((J8^3*standards!$B$31+J8^2*standards!$B$32+J8*standards!$B$33+standards!$B$34)+(A8^3*standards!$C$31+standards!$C$32*A8^2+standards!$C$33*A8+standards!$C$34)))*standards!$S$27+standards!$S$26</f>
        <v>5.9637429911074973</v>
      </c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8"/>
      <c r="M9" s="28"/>
      <c r="N9" s="3"/>
      <c r="O9" s="3"/>
      <c r="P9" s="22"/>
      <c r="Q9" s="3"/>
      <c r="R9" s="20"/>
      <c r="S9" s="20"/>
      <c r="T9" s="12"/>
      <c r="U9" s="12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8"/>
      <c r="M10" s="28"/>
      <c r="N10" s="3"/>
      <c r="O10" s="3"/>
      <c r="P10" s="22"/>
      <c r="Q10" s="3"/>
      <c r="R10" s="20"/>
      <c r="S10" s="20"/>
      <c r="T10" s="12"/>
      <c r="U10" s="12"/>
      <c r="V10" s="9"/>
      <c r="W10" s="9"/>
    </row>
    <row r="11" spans="1:23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2"/>
      <c r="L11" s="28"/>
      <c r="M11" s="28"/>
      <c r="N11" s="3"/>
      <c r="O11" s="3"/>
      <c r="P11" s="22"/>
      <c r="Q11" s="3"/>
      <c r="R11" s="20"/>
      <c r="S11" s="20"/>
      <c r="T11" s="12"/>
      <c r="U11" s="12"/>
      <c r="V11" s="9"/>
      <c r="W11" s="9"/>
    </row>
    <row r="12" spans="1:23" x14ac:dyDescent="0.2">
      <c r="A12" s="1">
        <v>5</v>
      </c>
      <c r="B12" s="1" t="s">
        <v>65</v>
      </c>
      <c r="D12" s="1">
        <v>0.23799999999999999</v>
      </c>
      <c r="E12" s="1">
        <v>-12.763999999999999</v>
      </c>
      <c r="F12" s="1">
        <v>436.33100000000002</v>
      </c>
      <c r="G12" s="1">
        <v>11645</v>
      </c>
      <c r="H12" s="1">
        <v>11.590999999999999</v>
      </c>
      <c r="I12" s="1">
        <v>64.786000000000001</v>
      </c>
      <c r="J12" s="1">
        <v>2369</v>
      </c>
      <c r="K12" s="2"/>
      <c r="L12" s="28">
        <f t="shared" si="0"/>
        <v>-12.337978907564999</v>
      </c>
      <c r="M12" s="28">
        <f t="shared" si="1"/>
        <v>11.590999999999999</v>
      </c>
      <c r="N12" s="3">
        <v>-11.65</v>
      </c>
      <c r="O12" s="3">
        <v>11.79</v>
      </c>
      <c r="P12" s="22"/>
      <c r="Q12" s="3"/>
      <c r="R12" s="20"/>
      <c r="S12" s="20"/>
      <c r="T12" s="12">
        <f>((F12*standards!$R$31+standards!$R$30)*F12)/D12</f>
        <v>46.438018827372531</v>
      </c>
      <c r="U12" s="12">
        <f>((I12*standards!$S$31+standards!$S$30)*I12)/D12</f>
        <v>17.318349558306846</v>
      </c>
      <c r="V12" s="9">
        <f>(E12-((G12^3*standards!$B$25+G12^2*standards!$B$26+G12*standards!$B$27+standards!$B$28)+(A12^3*standards!$C$25+standards!$C$26*A12^2+standards!$C$27*A12+standards!$C$28)))*standards!$R$27+standards!$R$26</f>
        <v>-12.057816811433888</v>
      </c>
      <c r="W12" s="9">
        <f>(H12-((J12^3*standards!$B$31+J12^2*standards!$B$32+J12*standards!$B$33+standards!$B$34)+(A12^3*standards!$C$31+standards!$C$32*A12^2+standards!$C$33*A12+standards!$C$34)))*standards!$S$27+standards!$S$26</f>
        <v>11.762536368003563</v>
      </c>
    </row>
    <row r="13" spans="1:23" x14ac:dyDescent="0.2">
      <c r="A13" s="1">
        <v>23</v>
      </c>
      <c r="B13" s="1" t="s">
        <v>65</v>
      </c>
      <c r="D13" s="1">
        <v>0.22</v>
      </c>
      <c r="E13" s="1">
        <v>-12.222</v>
      </c>
      <c r="F13" s="1">
        <v>389.428</v>
      </c>
      <c r="G13" s="1">
        <v>10393</v>
      </c>
      <c r="H13" s="1">
        <v>12.086</v>
      </c>
      <c r="I13" s="1">
        <v>59.808</v>
      </c>
      <c r="J13" s="1">
        <v>2166</v>
      </c>
      <c r="K13" s="2"/>
      <c r="L13" s="28">
        <f t="shared" si="0"/>
        <v>-11.5554090871314</v>
      </c>
      <c r="M13" s="28">
        <f t="shared" si="1"/>
        <v>12.086</v>
      </c>
      <c r="N13" s="3">
        <v>-11.65</v>
      </c>
      <c r="O13" s="3">
        <v>11.79</v>
      </c>
      <c r="P13" s="22"/>
      <c r="Q13" s="3"/>
      <c r="R13" s="20"/>
      <c r="S13" s="20"/>
      <c r="T13" s="12">
        <f>((F13*standards!$R$31+standards!$R$30)*F13)/D13</f>
        <v>44.617797156415271</v>
      </c>
      <c r="U13" s="12">
        <f>((I13*standards!$S$31+standards!$S$30)*I13)/D13</f>
        <v>17.186099903363882</v>
      </c>
      <c r="V13" s="9">
        <f>(E13-((G13^3*standards!$B$25+G13^2*standards!$B$26+G13*standards!$B$27+standards!$B$28)+(A13^3*standards!$C$25+standards!$C$26*A13^2+standards!$C$27*A13+standards!$C$28)))*standards!$R$27+standards!$R$26</f>
        <v>-11.26354533955087</v>
      </c>
      <c r="W13" s="9">
        <f>(H13-((J13^3*standards!$B$31+J13^2*standards!$B$32+J13*standards!$B$33+standards!$B$34)+(A13^3*standards!$C$31+standards!$C$32*A13^2+standards!$C$33*A13+standards!$C$34)))*standards!$S$27+standards!$S$26</f>
        <v>12.210476867623345</v>
      </c>
    </row>
    <row r="14" spans="1:23" x14ac:dyDescent="0.2">
      <c r="A14" s="1">
        <v>47</v>
      </c>
      <c r="B14" s="1" t="s">
        <v>65</v>
      </c>
      <c r="D14" s="1">
        <v>0.20499999999999999</v>
      </c>
      <c r="E14" s="1">
        <v>-12.993</v>
      </c>
      <c r="F14" s="1">
        <v>373.92200000000003</v>
      </c>
      <c r="G14" s="1">
        <v>10083</v>
      </c>
      <c r="H14" s="1">
        <v>10.669</v>
      </c>
      <c r="I14" s="1">
        <v>56.249000000000002</v>
      </c>
      <c r="J14" s="1">
        <v>2053</v>
      </c>
      <c r="K14" s="15"/>
      <c r="L14" s="28">
        <f t="shared" ref="L14:L20" si="4">E14-((G14^3*$B$25+G14^2*$B$26+G14*$B$27+$B$28)+(A14^3*$C$25+$C$26*A14^2+$C$27*A14+$C$28))</f>
        <v>-11.9740053353154</v>
      </c>
      <c r="M14" s="28">
        <f t="shared" ref="M14:M20" si="5">H14-((J14^3*$B$31+J14^2*$B$32+J14*$B$33+$B$34)+(A14^3*$C$31+$C$32*A14^2+$C$33*A14+$C$34))</f>
        <v>10.669</v>
      </c>
      <c r="N14" s="3">
        <v>-11.65</v>
      </c>
      <c r="O14" s="3">
        <v>11.79</v>
      </c>
      <c r="P14" s="22"/>
      <c r="Q14" s="3"/>
      <c r="R14" s="20"/>
      <c r="S14" s="20"/>
      <c r="T14" s="12">
        <f>((F14*standards!$R$31+standards!$R$30)*F14)/D14</f>
        <v>45.901195788056093</v>
      </c>
      <c r="U14" s="12">
        <f>((I14*standards!$S$31+standards!$S$30)*I14)/D14</f>
        <v>17.266984239865284</v>
      </c>
      <c r="V14" s="9">
        <f>(E14-((G14^3*standards!$B$25+G14^2*standards!$B$26+G14*standards!$B$27+standards!$B$28)+(A14^3*standards!$C$25+standards!$C$26*A14^2+standards!$C$27*A14+standards!$C$28)))*standards!$R$27+standards!$R$26</f>
        <v>-11.688400795880119</v>
      </c>
      <c r="W14" s="9">
        <f>(H14-((J14^3*standards!$B$31+J14^2*standards!$B$32+J14*standards!$B$33+standards!$B$34)+(A14^3*standards!$C$31+standards!$C$32*A14^2+standards!$C$33*A14+standards!$C$34)))*standards!$S$27+standards!$S$26</f>
        <v>10.928190629317832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28"/>
      <c r="M15" s="28"/>
      <c r="N15" s="3"/>
      <c r="O15" s="3"/>
      <c r="P15" s="22"/>
      <c r="Q15" s="3"/>
      <c r="R15" s="20"/>
      <c r="S15" s="20"/>
      <c r="T15" s="12"/>
      <c r="U15" s="12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8"/>
      <c r="M16" s="28"/>
      <c r="N16" s="3"/>
      <c r="O16" s="3"/>
      <c r="P16" s="22"/>
      <c r="Q16" s="3"/>
      <c r="R16" s="20"/>
      <c r="S16" s="20"/>
      <c r="T16" s="12"/>
      <c r="U16" s="12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8"/>
      <c r="M17" s="28"/>
      <c r="N17" s="3"/>
      <c r="O17" s="3"/>
      <c r="P17" s="22"/>
      <c r="Q17" s="3"/>
      <c r="R17" s="20"/>
      <c r="S17" s="20"/>
      <c r="T17" s="12"/>
      <c r="U17" s="12"/>
      <c r="V17" s="9"/>
      <c r="W17" s="9"/>
    </row>
    <row r="18" spans="1:23" x14ac:dyDescent="0.2">
      <c r="A18" s="1">
        <v>6</v>
      </c>
      <c r="B18" s="1" t="s">
        <v>66</v>
      </c>
      <c r="D18" s="1">
        <v>7.1779999999999999</v>
      </c>
      <c r="E18" s="1">
        <v>-26.681000000000001</v>
      </c>
      <c r="F18" s="1">
        <v>297.822</v>
      </c>
      <c r="G18" s="1">
        <v>7971</v>
      </c>
      <c r="H18" s="1">
        <v>7.0149999999999997</v>
      </c>
      <c r="I18" s="1">
        <v>13.458</v>
      </c>
      <c r="J18" s="1">
        <v>490</v>
      </c>
      <c r="K18" s="2"/>
      <c r="L18" s="28">
        <f t="shared" si="4"/>
        <v>-26.332024446662601</v>
      </c>
      <c r="M18" s="28">
        <f t="shared" si="5"/>
        <v>7.0149999999999997</v>
      </c>
      <c r="N18" s="3">
        <v>-26.54</v>
      </c>
      <c r="O18" s="3">
        <v>7.46</v>
      </c>
      <c r="P18" s="22">
        <v>1.04</v>
      </c>
      <c r="Q18" s="3">
        <v>0.12</v>
      </c>
      <c r="R18" s="20">
        <f>(P18*D18)/F18</f>
        <v>2.5065710390770324E-2</v>
      </c>
      <c r="S18" s="20">
        <f>(Q18*D18)/I18</f>
        <v>6.4003566651805621E-2</v>
      </c>
      <c r="T18" s="12">
        <f>((F18*standards!$R$31+standards!$R$30)*F18)/D18</f>
        <v>1.0357731036813946</v>
      </c>
      <c r="U18" s="12">
        <f>((I18*standards!$S$31+standards!$S$30)*I18)/D18</f>
        <v>0.11148727813270651</v>
      </c>
      <c r="V18" s="9">
        <f>(E18-((G18^3*standards!$B$25+G18^2*standards!$B$26+G18*standards!$B$27+standards!$B$28)+(A18^3*standards!$C$25+standards!$C$26*A18^2+standards!$C$27*A18+standards!$C$28)))*standards!$R$27+standards!$R$26</f>
        <v>-26.261113255677696</v>
      </c>
      <c r="W18" s="9">
        <f>(H18-((J18^3*standards!$B$31+J18^2*standards!$B$32+J18*standards!$B$33+standards!$B$34)+(A18^3*standards!$C$31+standards!$C$32*A18^2+standards!$C$33*A18+standards!$C$34)))*standards!$S$27+standards!$S$26</f>
        <v>7.6215753048518158</v>
      </c>
    </row>
    <row r="19" spans="1:23" x14ac:dyDescent="0.2">
      <c r="A19" s="1">
        <v>24</v>
      </c>
      <c r="B19" s="1" t="s">
        <v>66</v>
      </c>
      <c r="D19" s="1">
        <v>7.0910000000000002</v>
      </c>
      <c r="E19" s="1">
        <v>-27.289000000000001</v>
      </c>
      <c r="F19" s="1">
        <v>302.346</v>
      </c>
      <c r="G19" s="1">
        <v>8102</v>
      </c>
      <c r="H19" s="1">
        <v>7.1180000000000003</v>
      </c>
      <c r="I19" s="1">
        <v>12.957000000000001</v>
      </c>
      <c r="J19" s="1">
        <v>471</v>
      </c>
      <c r="K19" s="15"/>
      <c r="L19" s="28">
        <f t="shared" si="4"/>
        <v>-26.666446079194401</v>
      </c>
      <c r="M19" s="28">
        <f t="shared" si="5"/>
        <v>7.1180000000000003</v>
      </c>
      <c r="N19" s="3">
        <v>-26.54</v>
      </c>
      <c r="O19" s="3">
        <v>7.46</v>
      </c>
      <c r="P19" s="22">
        <v>1.04</v>
      </c>
      <c r="Q19" s="3">
        <v>0.12</v>
      </c>
      <c r="R19" s="20">
        <f t="shared" ref="R19:R20" si="6">(P19*D19)/F19</f>
        <v>2.4391392642866119E-2</v>
      </c>
      <c r="S19" s="20">
        <f t="shared" ref="S19:S20" si="7">(Q19*D19)/I19</f>
        <v>6.5672609400324142E-2</v>
      </c>
      <c r="T19" s="12">
        <f>((F19*standards!$R$31+standards!$R$30)*F19)/D19</f>
        <v>1.0649176910240816</v>
      </c>
      <c r="U19" s="12">
        <f>((I19*standards!$S$31+standards!$S$30)*I19)/D19</f>
        <v>0.10857971376064916</v>
      </c>
      <c r="V19" s="9">
        <f>(E19-((G19^3*standards!$B$25+G19^2*standards!$B$26+G19*standards!$B$27+standards!$B$28)+(A19^3*standards!$C$25+standards!$C$26*A19^2+standards!$C$27*A19+standards!$C$28)))*standards!$R$27+standards!$R$26</f>
        <v>-26.600535445704626</v>
      </c>
      <c r="W19" s="9">
        <f>(H19-((J19^3*standards!$B$31+J19^2*standards!$B$32+J19*standards!$B$33+standards!$B$34)+(A19^3*standards!$C$31+standards!$C$32*A19^2+standards!$C$33*A19+standards!$C$34)))*standards!$S$27+standards!$S$26</f>
        <v>7.7147831259848214</v>
      </c>
    </row>
    <row r="20" spans="1:23" x14ac:dyDescent="0.2">
      <c r="A20" s="1">
        <v>48</v>
      </c>
      <c r="B20" s="1" t="s">
        <v>66</v>
      </c>
      <c r="D20" s="1">
        <v>7.04</v>
      </c>
      <c r="E20" s="1">
        <v>-27.43</v>
      </c>
      <c r="F20" s="1">
        <v>291.923</v>
      </c>
      <c r="G20" s="1">
        <v>7863</v>
      </c>
      <c r="H20" s="1">
        <v>6.7240000000000002</v>
      </c>
      <c r="I20" s="1">
        <v>12.739000000000001</v>
      </c>
      <c r="J20" s="1">
        <v>459</v>
      </c>
      <c r="K20" s="15"/>
      <c r="L20" s="28">
        <f t="shared" si="4"/>
        <v>-26.453991034683401</v>
      </c>
      <c r="M20" s="28">
        <f t="shared" si="5"/>
        <v>6.7240000000000002</v>
      </c>
      <c r="N20" s="3">
        <v>-26.54</v>
      </c>
      <c r="O20" s="3">
        <v>7.46</v>
      </c>
      <c r="P20" s="22">
        <v>1.04</v>
      </c>
      <c r="Q20" s="3">
        <v>0.12</v>
      </c>
      <c r="R20" s="20">
        <f t="shared" si="6"/>
        <v>2.5080586318995079E-2</v>
      </c>
      <c r="S20" s="20">
        <f t="shared" si="7"/>
        <v>6.6316037365570291E-2</v>
      </c>
      <c r="T20" s="12">
        <f>((F20*standards!$R$31+standards!$R$30)*F20)/D20</f>
        <v>1.0345121693300454</v>
      </c>
      <c r="U20" s="12">
        <f>((I20*standards!$S$31+standards!$S$30)*I20)/D20</f>
        <v>0.10749426833565782</v>
      </c>
      <c r="V20" s="9">
        <f>(E20-((G20^3*standards!$B$25+G20^2*standards!$B$26+G20*standards!$B$27+standards!$B$28)+(A20^3*standards!$C$25+standards!$C$26*A20^2+standards!$C$27*A20+standards!$C$28)))*standards!$R$27+standards!$R$26</f>
        <v>-26.384903592154195</v>
      </c>
      <c r="W20" s="9">
        <f>(H20-((J20^3*standards!$B$31+J20^2*standards!$B$32+J20*standards!$B$33+standards!$B$34)+(A20^3*standards!$C$31+standards!$C$32*A20^2+standards!$C$33*A20+standards!$C$34)))*standards!$S$27+standards!$S$26</f>
        <v>7.3582405868935217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5"/>
      <c r="M21" s="15"/>
      <c r="N21" s="3"/>
      <c r="O21" s="3"/>
      <c r="P21" s="22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5"/>
      <c r="M22" s="15"/>
      <c r="N22" s="3"/>
      <c r="O22" s="3"/>
      <c r="P22" s="22"/>
      <c r="Q22" s="3"/>
      <c r="R22" s="4"/>
      <c r="S22" s="4"/>
    </row>
    <row r="23" spans="1:23" ht="27.75" x14ac:dyDescent="0.2">
      <c r="B23" s="10" t="s">
        <v>34</v>
      </c>
      <c r="C23" s="10" t="s">
        <v>35</v>
      </c>
      <c r="F23" t="s">
        <v>14</v>
      </c>
      <c r="H23" t="s">
        <v>15</v>
      </c>
      <c r="J23" s="25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7" t="s">
        <v>48</v>
      </c>
      <c r="B25" s="18"/>
      <c r="C25" s="19"/>
      <c r="E25" t="str">
        <f>B3</f>
        <v>HOC</v>
      </c>
      <c r="F25" s="31">
        <f>AVERAGE(E3:E11)</f>
        <v>-28.676333333333332</v>
      </c>
      <c r="G25" s="31">
        <f>STDEV(E3:E11)</f>
        <v>0.26405504476655373</v>
      </c>
      <c r="H25" s="31">
        <f>AVERAGE(L3:L11)</f>
        <v>-27.968718735227469</v>
      </c>
      <c r="I25" s="31">
        <f>STDEV(L3:L11)</f>
        <v>8.0811430104014884E-2</v>
      </c>
      <c r="J25" s="31">
        <f>AVERAGE(V3:V11)</f>
        <v>-27.922280793266438</v>
      </c>
      <c r="K25" s="31">
        <f>STDEV(V3:V11)</f>
        <v>8.2019791535181005E-2</v>
      </c>
      <c r="L25" s="31">
        <f>AVERAGE(T3:T10)</f>
        <v>5.8880279462577327</v>
      </c>
      <c r="M25" s="31">
        <f>STDEV(T3:T10)</f>
        <v>0.1100706781683827</v>
      </c>
      <c r="N25" s="6">
        <f>P3</f>
        <v>5.9</v>
      </c>
      <c r="O25" s="32">
        <f>L25*0.05</f>
        <v>0.29440139731288667</v>
      </c>
      <c r="R25" t="s">
        <v>55</v>
      </c>
      <c r="S25" t="s">
        <v>20</v>
      </c>
    </row>
    <row r="26" spans="1:23" x14ac:dyDescent="0.2">
      <c r="A26" s="17" t="s">
        <v>45</v>
      </c>
      <c r="B26" s="18">
        <v>6.3860000000000005E-10</v>
      </c>
      <c r="C26" s="19"/>
      <c r="E26" t="str">
        <f>B12</f>
        <v>Taipan</v>
      </c>
      <c r="F26" s="31">
        <f>AVERAGE(E12:E17)</f>
        <v>-12.659666666666666</v>
      </c>
      <c r="G26" s="31">
        <f>STDEV(E12:E17)</f>
        <v>0.39594738707729032</v>
      </c>
      <c r="H26" s="31">
        <f>AVERAGE(L12:L17)</f>
        <v>-11.955797776670599</v>
      </c>
      <c r="I26" s="31">
        <f>STDEV(L12:L17)</f>
        <v>0.39160249917131745</v>
      </c>
      <c r="J26" s="31">
        <f>AVERAGE(V12:V17)</f>
        <v>-11.669920982288291</v>
      </c>
      <c r="K26" s="31">
        <f>STDEV(V12:V17)</f>
        <v>0.39745807375696307</v>
      </c>
      <c r="L26" s="31">
        <f>AVERAGE(T12:T17)</f>
        <v>45.652337257281296</v>
      </c>
      <c r="M26" s="31">
        <f>STDEV(T12:T17)</f>
        <v>0.93528052428677866</v>
      </c>
      <c r="N26" s="6">
        <f>P12</f>
        <v>0</v>
      </c>
      <c r="O26" s="32">
        <f t="shared" ref="O26:O33" si="8">L26*0.05</f>
        <v>2.2826168628640651</v>
      </c>
      <c r="Q26" t="s">
        <v>21</v>
      </c>
      <c r="R26" s="5">
        <f>INTERCEPT(N3:N22,L3:L22)</f>
        <v>0.46465008045770873</v>
      </c>
      <c r="S26" s="5">
        <f>INTERCEPT(O3:O22,M3:M22)</f>
        <v>1.2734892344826045</v>
      </c>
    </row>
    <row r="27" spans="1:23" x14ac:dyDescent="0.2">
      <c r="A27" s="17" t="s">
        <v>46</v>
      </c>
      <c r="B27" s="18">
        <v>-3.7580000000000003E-5</v>
      </c>
      <c r="C27" s="19">
        <v>-1.4999999999999999E-2</v>
      </c>
      <c r="E27" t="str">
        <f>B18</f>
        <v>LOC</v>
      </c>
      <c r="F27" s="31">
        <f>AVERAGE(E18:E22)</f>
        <v>-27.133333333333336</v>
      </c>
      <c r="G27" s="31">
        <f>STDEV(E18:E22)</f>
        <v>0.39802554356891851</v>
      </c>
      <c r="H27" s="31">
        <f>AVERAGE(L18:L22)</f>
        <v>-26.484153853513465</v>
      </c>
      <c r="I27" s="31">
        <f>STDEV(L18:L22)</f>
        <v>0.16923889566568362</v>
      </c>
      <c r="J27" s="31">
        <f>AVERAGE(V18:V22)</f>
        <v>-26.415517431178841</v>
      </c>
      <c r="K27" s="31">
        <f>STDEV(V18:V22)</f>
        <v>0.17176949998628818</v>
      </c>
      <c r="L27" s="31">
        <f>AVERAGE(T18:T22)</f>
        <v>1.0450676546785072</v>
      </c>
      <c r="M27" s="31">
        <f>STDEV(T18:T22)</f>
        <v>1.7202193059318676E-2</v>
      </c>
      <c r="N27" s="6">
        <f>P18</f>
        <v>1.04</v>
      </c>
      <c r="O27" s="32">
        <f t="shared" si="8"/>
        <v>5.2253382733925359E-2</v>
      </c>
      <c r="Q27" t="s">
        <v>22</v>
      </c>
      <c r="R27" s="5">
        <f>SLOPE(N3:N22,L3:L22)</f>
        <v>1.0149528529517489</v>
      </c>
      <c r="S27" s="5">
        <f>SLOPE(O3:O22,M3:M22)</f>
        <v>0.90493030226218274</v>
      </c>
    </row>
    <row r="28" spans="1:23" x14ac:dyDescent="0.2">
      <c r="A28" s="17" t="s">
        <v>47</v>
      </c>
      <c r="B28" s="18"/>
      <c r="C28" s="19"/>
      <c r="M28" s="12"/>
      <c r="N28" s="6"/>
      <c r="O28" s="32"/>
      <c r="R28" t="s">
        <v>57</v>
      </c>
    </row>
    <row r="29" spans="1:23" ht="27.75" x14ac:dyDescent="0.2">
      <c r="B29" s="19"/>
      <c r="C29" s="19"/>
      <c r="F29" t="s">
        <v>14</v>
      </c>
      <c r="H29" t="s">
        <v>15</v>
      </c>
      <c r="J29" s="25" t="s">
        <v>52</v>
      </c>
      <c r="L29" t="s">
        <v>27</v>
      </c>
      <c r="M29" s="12"/>
      <c r="N29" s="6"/>
      <c r="O29" s="32"/>
      <c r="R29" t="s">
        <v>55</v>
      </c>
      <c r="S29" t="s">
        <v>20</v>
      </c>
    </row>
    <row r="30" spans="1:23" x14ac:dyDescent="0.2">
      <c r="A30" s="6" t="s">
        <v>36</v>
      </c>
      <c r="B30" s="19"/>
      <c r="C30" s="19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32"/>
      <c r="Q30" t="s">
        <v>21</v>
      </c>
      <c r="R30" s="5">
        <f>INTERCEPT(R3:R22,F3:F22)</f>
        <v>2.4176585513471068E-2</v>
      </c>
      <c r="S30" s="5">
        <f>INTERCEPT(S3:S22,I3:I22)</f>
        <v>5.8372966085986355E-2</v>
      </c>
    </row>
    <row r="31" spans="1:23" x14ac:dyDescent="0.2">
      <c r="A31" s="17" t="s">
        <v>44</v>
      </c>
      <c r="B31" s="18"/>
      <c r="C31" s="19"/>
      <c r="E31" t="str">
        <f>B3</f>
        <v>HOC</v>
      </c>
      <c r="F31" s="31">
        <f>AVERAGE(H3:H11)</f>
        <v>4.3121666666666671</v>
      </c>
      <c r="G31" s="31">
        <f>STDEV(H3:H11)</f>
        <v>0.5764277636154127</v>
      </c>
      <c r="H31" s="31">
        <f>AVERAGE(M3:M11)</f>
        <v>4.3121666666666671</v>
      </c>
      <c r="I31" s="31">
        <f>STDEV(M3:M11)</f>
        <v>0.5764277636154127</v>
      </c>
      <c r="J31" s="31">
        <f>AVERAGE(W3:W11)</f>
        <v>5.1756995195541808</v>
      </c>
      <c r="K31" s="31">
        <f>STDEV(V9:V17)</f>
        <v>0.39745807375696307</v>
      </c>
      <c r="L31" s="31">
        <f>AVERAGE(U3:U11)</f>
        <v>0.50530249256751836</v>
      </c>
      <c r="M31" s="31">
        <f>STDEV(U3:U11)</f>
        <v>1.1618441538123048E-2</v>
      </c>
      <c r="N31" s="6">
        <f>Q3</f>
        <v>0.48</v>
      </c>
      <c r="O31" s="32">
        <f t="shared" si="8"/>
        <v>2.5265124628375921E-2</v>
      </c>
      <c r="Q31" t="s">
        <v>22</v>
      </c>
      <c r="R31" s="5">
        <f>SLOPE(R3:R22,F3:F22)</f>
        <v>2.6433565164415847E-6</v>
      </c>
      <c r="S31" s="5">
        <f>SLOPE(S3:S22,I3:I22)</f>
        <v>8.1009750381872818E-5</v>
      </c>
    </row>
    <row r="32" spans="1:23" x14ac:dyDescent="0.2">
      <c r="A32" s="17" t="s">
        <v>45</v>
      </c>
      <c r="B32" s="18"/>
      <c r="C32" s="19"/>
      <c r="E32" t="str">
        <f>B12</f>
        <v>Taipan</v>
      </c>
      <c r="F32" s="31">
        <f>AVERAGE(H12:H17)</f>
        <v>11.448666666666668</v>
      </c>
      <c r="G32" s="31">
        <f>STDEV(H12:H17)</f>
        <v>0.71914277673722971</v>
      </c>
      <c r="H32" s="31">
        <f>AVERAGE(M12:M17)</f>
        <v>11.448666666666668</v>
      </c>
      <c r="I32" s="31">
        <f>STDEV(M12:M17)</f>
        <v>0.71914277673722971</v>
      </c>
      <c r="J32" s="31">
        <f>AVERAGE(W12:W17)</f>
        <v>11.633734621648246</v>
      </c>
      <c r="K32" s="31">
        <f>STDEV(V18:V23)</f>
        <v>0.17176949998628818</v>
      </c>
      <c r="L32" s="31">
        <f>AVERAGE(U12:U16)</f>
        <v>17.257144567178671</v>
      </c>
      <c r="M32" s="31">
        <f>STDEV(U12:U17)</f>
        <v>6.667163697606357E-2</v>
      </c>
      <c r="N32" s="6">
        <f>Q12</f>
        <v>0</v>
      </c>
      <c r="O32" s="32">
        <f t="shared" si="8"/>
        <v>0.86285722835893353</v>
      </c>
    </row>
    <row r="33" spans="1:15" x14ac:dyDescent="0.2">
      <c r="A33" s="17" t="s">
        <v>46</v>
      </c>
      <c r="B33" s="18"/>
      <c r="C33" s="19"/>
      <c r="E33" t="str">
        <f>B18</f>
        <v>LOC</v>
      </c>
      <c r="F33" s="31">
        <f>AVERAGE(H18:H22)</f>
        <v>6.9523333333333328</v>
      </c>
      <c r="G33" s="31">
        <f>STDEV(H18:H22)</f>
        <v>0.20433877099888148</v>
      </c>
      <c r="H33" s="31">
        <f>AVERAGE(M18:M22)</f>
        <v>6.9523333333333328</v>
      </c>
      <c r="I33" s="31">
        <f>STDEV(M18:M22)</f>
        <v>0.20433877099888148</v>
      </c>
      <c r="J33" s="31">
        <f>AVERAGE(W18:W22)</f>
        <v>7.5648663392433866</v>
      </c>
      <c r="K33" s="31">
        <f>STDEV(W18:W22)</f>
        <v>0.18491234580390051</v>
      </c>
      <c r="L33" s="31">
        <f>AVERAGE(U18:U22)</f>
        <v>0.10918708674300449</v>
      </c>
      <c r="M33" s="31">
        <f>STDEV(U18:U22)</f>
        <v>2.0646327190575815E-3</v>
      </c>
      <c r="N33" s="6">
        <f>Q18</f>
        <v>0.12</v>
      </c>
      <c r="O33" s="32">
        <f t="shared" si="8"/>
        <v>5.4593543371502249E-3</v>
      </c>
    </row>
    <row r="34" spans="1:15" x14ac:dyDescent="0.2">
      <c r="A34" s="17" t="s">
        <v>47</v>
      </c>
      <c r="B34" s="19"/>
      <c r="C34" s="19"/>
    </row>
    <row r="38" spans="1:15" x14ac:dyDescent="0.2">
      <c r="A38" s="16" t="s">
        <v>13</v>
      </c>
      <c r="B38" s="16"/>
      <c r="C38" s="16"/>
      <c r="D38" s="16"/>
      <c r="E38" s="14"/>
      <c r="F38" s="16"/>
    </row>
    <row r="39" spans="1:15" x14ac:dyDescent="0.2">
      <c r="A39" s="16" t="s">
        <v>0</v>
      </c>
      <c r="B39" s="16" t="s">
        <v>42</v>
      </c>
      <c r="C39" s="16" t="s">
        <v>16</v>
      </c>
      <c r="D39" s="16" t="s">
        <v>17</v>
      </c>
      <c r="E39" s="14" t="s">
        <v>43</v>
      </c>
      <c r="F39" s="16"/>
    </row>
    <row r="40" spans="1:15" x14ac:dyDescent="0.2">
      <c r="A40" s="2">
        <f t="shared" ref="A40:A45" si="9">A3</f>
        <v>7</v>
      </c>
      <c r="B40" s="8">
        <f t="shared" ref="B40:B45" si="10">G3</f>
        <v>8812</v>
      </c>
      <c r="C40" s="2">
        <f t="shared" ref="C40:C45" si="11">E3</f>
        <v>-28.265000000000001</v>
      </c>
      <c r="D40" s="2">
        <f t="shared" ref="D40:D45" si="12">C40-$C$51</f>
        <v>0.41133333333333155</v>
      </c>
      <c r="E40" s="15">
        <f t="shared" ref="E40:E45" si="13">C40-(B40^3*$B$25+B40^2*$B$26+B40*$B$27+$B$28)</f>
        <v>-27.983433188278401</v>
      </c>
      <c r="F40" s="2">
        <f t="shared" ref="F40:F45" si="14">E40-$E$51</f>
        <v>0.39028554694906603</v>
      </c>
    </row>
    <row r="41" spans="1:15" x14ac:dyDescent="0.2">
      <c r="A41" s="2">
        <f t="shared" si="9"/>
        <v>25</v>
      </c>
      <c r="B41" s="8">
        <f t="shared" si="10"/>
        <v>3042</v>
      </c>
      <c r="C41" s="2">
        <f t="shared" si="11"/>
        <v>-28.466000000000001</v>
      </c>
      <c r="D41" s="2">
        <f t="shared" si="12"/>
        <v>0.21033333333333104</v>
      </c>
      <c r="E41" s="15">
        <f t="shared" si="13"/>
        <v>-28.357591093690402</v>
      </c>
      <c r="F41" s="2">
        <f t="shared" si="14"/>
        <v>1.6127641537064363E-2</v>
      </c>
    </row>
    <row r="42" spans="1:15" x14ac:dyDescent="0.2">
      <c r="A42" s="2">
        <f t="shared" si="9"/>
        <v>26</v>
      </c>
      <c r="B42" s="8">
        <f t="shared" si="10"/>
        <v>6271</v>
      </c>
      <c r="C42" s="2">
        <f t="shared" si="11"/>
        <v>-28.701000000000001</v>
      </c>
      <c r="D42" s="2">
        <f t="shared" si="12"/>
        <v>-2.4666666666668391E-2</v>
      </c>
      <c r="E42" s="15">
        <f t="shared" si="13"/>
        <v>-28.490449046622601</v>
      </c>
      <c r="F42" s="2">
        <f t="shared" si="14"/>
        <v>-0.11673031139513412</v>
      </c>
    </row>
    <row r="43" spans="1:15" x14ac:dyDescent="0.2">
      <c r="A43" s="2">
        <f t="shared" si="9"/>
        <v>27</v>
      </c>
      <c r="B43" s="8">
        <f t="shared" si="10"/>
        <v>14693</v>
      </c>
      <c r="C43" s="2">
        <f t="shared" si="11"/>
        <v>-28.777999999999999</v>
      </c>
      <c r="D43" s="2">
        <f t="shared" si="12"/>
        <v>-0.10166666666666657</v>
      </c>
      <c r="E43" s="15">
        <f t="shared" si="13"/>
        <v>-28.3637007414114</v>
      </c>
      <c r="F43" s="2">
        <f t="shared" si="14"/>
        <v>1.0017993816067161E-2</v>
      </c>
    </row>
    <row r="44" spans="1:15" x14ac:dyDescent="0.2">
      <c r="A44" s="2">
        <f t="shared" si="9"/>
        <v>28</v>
      </c>
      <c r="B44" s="8">
        <f t="shared" si="10"/>
        <v>23699</v>
      </c>
      <c r="C44" s="2">
        <f t="shared" si="11"/>
        <v>-28.952000000000002</v>
      </c>
      <c r="D44" s="2">
        <f t="shared" si="12"/>
        <v>-0.27566666666666961</v>
      </c>
      <c r="E44" s="15">
        <f t="shared" si="13"/>
        <v>-28.420056544998602</v>
      </c>
      <c r="F44" s="2">
        <f t="shared" si="14"/>
        <v>-4.6337809771134886E-2</v>
      </c>
    </row>
    <row r="45" spans="1:15" x14ac:dyDescent="0.2">
      <c r="A45" s="2">
        <f t="shared" si="9"/>
        <v>49</v>
      </c>
      <c r="B45" s="8">
        <f t="shared" si="10"/>
        <v>8337</v>
      </c>
      <c r="C45" s="2">
        <f t="shared" si="11"/>
        <v>-28.896000000000001</v>
      </c>
      <c r="D45" s="2">
        <f t="shared" si="12"/>
        <v>-0.21966666666666868</v>
      </c>
      <c r="E45" s="15">
        <f t="shared" si="13"/>
        <v>-28.627081796363402</v>
      </c>
      <c r="F45" s="2">
        <f t="shared" si="14"/>
        <v>-0.25336306113593565</v>
      </c>
    </row>
    <row r="46" spans="1:15" x14ac:dyDescent="0.2">
      <c r="A46" s="15"/>
      <c r="B46" s="8"/>
      <c r="C46" s="15"/>
      <c r="D46" s="15"/>
      <c r="E46" s="15"/>
      <c r="F46" s="15"/>
    </row>
    <row r="47" spans="1:15" x14ac:dyDescent="0.2">
      <c r="A47" s="15"/>
      <c r="B47" s="8"/>
      <c r="C47" s="15"/>
      <c r="D47" s="15"/>
      <c r="E47" s="15"/>
      <c r="F47" s="15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-28.676333333333332</v>
      </c>
      <c r="D51" s="5"/>
      <c r="E51" s="14">
        <f>AVERAGE(E40:E50)</f>
        <v>-28.373718735227467</v>
      </c>
    </row>
    <row r="52" spans="1:6" x14ac:dyDescent="0.2">
      <c r="A52" s="2"/>
      <c r="B52" s="2"/>
      <c r="C52" s="5"/>
      <c r="D52" s="2"/>
    </row>
    <row r="53" spans="1:6" x14ac:dyDescent="0.2">
      <c r="A53" s="16" t="s">
        <v>24</v>
      </c>
      <c r="B53" s="16"/>
      <c r="C53" s="16" t="s">
        <v>40</v>
      </c>
      <c r="D53" s="16"/>
      <c r="E53" s="14" t="s">
        <v>41</v>
      </c>
    </row>
    <row r="54" spans="1:6" x14ac:dyDescent="0.2">
      <c r="A54" s="16" t="s">
        <v>0</v>
      </c>
      <c r="B54" s="16" t="s">
        <v>42</v>
      </c>
      <c r="C54" s="16" t="s">
        <v>25</v>
      </c>
      <c r="D54" s="16" t="s">
        <v>17</v>
      </c>
      <c r="E54" s="14"/>
    </row>
    <row r="55" spans="1:6" x14ac:dyDescent="0.2">
      <c r="A55" s="2">
        <f t="shared" ref="A55:A62" si="15">A3</f>
        <v>7</v>
      </c>
      <c r="B55" s="2">
        <f t="shared" ref="B55:B60" si="16">J3</f>
        <v>441</v>
      </c>
      <c r="C55" s="2">
        <f t="shared" ref="C55:C60" si="17">H3</f>
        <v>4.4130000000000003</v>
      </c>
      <c r="D55" s="2">
        <f t="shared" ref="D55:D60" si="18">C55-$C$67</f>
        <v>1.1788750000000001</v>
      </c>
      <c r="E55" s="12">
        <f t="shared" ref="E55:E60" si="19">C55-(B55^3*$B$31+B55^2*$B$32+B55*$B$33+$B$34)</f>
        <v>4.4130000000000003</v>
      </c>
      <c r="F55" s="11">
        <f t="shared" ref="F55:F60" si="20">E55-$E$67</f>
        <v>0.10083333333333311</v>
      </c>
    </row>
    <row r="56" spans="1:6" x14ac:dyDescent="0.2">
      <c r="A56" s="2">
        <f t="shared" si="15"/>
        <v>25</v>
      </c>
      <c r="B56" s="2">
        <f t="shared" si="16"/>
        <v>146</v>
      </c>
      <c r="C56" s="2">
        <f t="shared" si="17"/>
        <v>4.1180000000000003</v>
      </c>
      <c r="D56" s="2">
        <f t="shared" si="18"/>
        <v>0.88387500000000019</v>
      </c>
      <c r="E56" s="12">
        <f t="shared" si="19"/>
        <v>4.1180000000000003</v>
      </c>
      <c r="F56" s="11">
        <f t="shared" si="20"/>
        <v>-0.19416666666666682</v>
      </c>
    </row>
    <row r="57" spans="1:6" x14ac:dyDescent="0.2">
      <c r="A57" s="2">
        <f t="shared" si="15"/>
        <v>26</v>
      </c>
      <c r="B57" s="2">
        <f t="shared" si="16"/>
        <v>305</v>
      </c>
      <c r="C57" s="2">
        <f t="shared" si="17"/>
        <v>4.2409999999999997</v>
      </c>
      <c r="D57" s="2">
        <f t="shared" si="18"/>
        <v>1.0068749999999995</v>
      </c>
      <c r="E57" s="12">
        <f t="shared" si="19"/>
        <v>4.2409999999999997</v>
      </c>
      <c r="F57" s="11">
        <f t="shared" si="20"/>
        <v>-7.1166666666667489E-2</v>
      </c>
    </row>
    <row r="58" spans="1:6" x14ac:dyDescent="0.2">
      <c r="A58" s="2">
        <f t="shared" si="15"/>
        <v>27</v>
      </c>
      <c r="B58" s="2">
        <f t="shared" si="16"/>
        <v>734</v>
      </c>
      <c r="C58" s="2">
        <f t="shared" si="17"/>
        <v>4.5069999999999997</v>
      </c>
      <c r="D58" s="2">
        <f t="shared" si="18"/>
        <v>1.2728749999999995</v>
      </c>
      <c r="E58" s="12">
        <f t="shared" si="19"/>
        <v>4.5069999999999997</v>
      </c>
      <c r="F58" s="11">
        <f t="shared" si="20"/>
        <v>0.19483333333333253</v>
      </c>
    </row>
    <row r="59" spans="1:6" x14ac:dyDescent="0.2">
      <c r="A59" s="2">
        <f t="shared" si="15"/>
        <v>28</v>
      </c>
      <c r="B59" s="2">
        <f t="shared" si="16"/>
        <v>1196</v>
      </c>
      <c r="C59" s="2">
        <f t="shared" si="17"/>
        <v>3.411</v>
      </c>
      <c r="D59" s="2">
        <f t="shared" si="18"/>
        <v>0.17687499999999989</v>
      </c>
      <c r="E59" s="12">
        <f t="shared" si="19"/>
        <v>3.411</v>
      </c>
      <c r="F59" s="11">
        <f t="shared" si="20"/>
        <v>-0.90116666666666712</v>
      </c>
    </row>
    <row r="60" spans="1:6" x14ac:dyDescent="0.2">
      <c r="A60" s="2">
        <f t="shared" si="15"/>
        <v>49</v>
      </c>
      <c r="B60" s="2">
        <f t="shared" si="16"/>
        <v>407</v>
      </c>
      <c r="C60" s="2">
        <f t="shared" si="17"/>
        <v>5.1829999999999998</v>
      </c>
      <c r="D60" s="2">
        <f t="shared" si="18"/>
        <v>1.9488749999999997</v>
      </c>
      <c r="E60" s="12">
        <f t="shared" si="19"/>
        <v>5.1829999999999998</v>
      </c>
      <c r="F60" s="11">
        <f t="shared" si="20"/>
        <v>0.87083333333333268</v>
      </c>
    </row>
    <row r="61" spans="1:6" x14ac:dyDescent="0.2">
      <c r="A61" s="15">
        <f t="shared" si="15"/>
        <v>0</v>
      </c>
      <c r="B61" s="15">
        <f t="shared" ref="B61" si="21">J9</f>
        <v>0</v>
      </c>
      <c r="C61" s="15">
        <f t="shared" ref="C61" si="22">H9</f>
        <v>0</v>
      </c>
      <c r="D61" s="15">
        <f t="shared" ref="D61" si="23">C61-$C$67</f>
        <v>-3.2341250000000001</v>
      </c>
      <c r="E61" s="12">
        <f t="shared" ref="E61" si="24">C61-(B61^3*$B$31+B61^2*$B$32+B61*$B$33+$B$34)</f>
        <v>0</v>
      </c>
      <c r="F61" s="12">
        <f t="shared" ref="F61" si="25">E61-$E$67</f>
        <v>-4.3121666666666671</v>
      </c>
    </row>
    <row r="62" spans="1:6" x14ac:dyDescent="0.2">
      <c r="A62" s="15">
        <f t="shared" si="15"/>
        <v>0</v>
      </c>
      <c r="B62" s="15">
        <f t="shared" ref="B62" si="26">J10</f>
        <v>0</v>
      </c>
      <c r="C62" s="15">
        <f t="shared" ref="C62" si="27">H10</f>
        <v>0</v>
      </c>
      <c r="D62" s="15">
        <f t="shared" ref="D62" si="28">C62-$C$67</f>
        <v>-3.2341250000000001</v>
      </c>
      <c r="E62" s="12">
        <f t="shared" ref="E62" si="29">C62-(B62^3*$B$31+B62^2*$B$32+B62*$B$33+$B$34)</f>
        <v>0</v>
      </c>
      <c r="F62" s="12">
        <f t="shared" ref="F62" si="30">E62-$E$67</f>
        <v>-4.3121666666666671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3.2341250000000001</v>
      </c>
      <c r="D67" s="2"/>
      <c r="E67" s="12">
        <f>AVERAGE(E55:E60)</f>
        <v>4.3121666666666671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48"/>
  <sheetViews>
    <sheetView tabSelected="1" topLeftCell="C1" zoomScale="70" zoomScaleNormal="70" workbookViewId="0">
      <selection activeCell="R5" sqref="R5:R48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6" t="s">
        <v>1</v>
      </c>
      <c r="N1" s="26" t="s">
        <v>2</v>
      </c>
      <c r="O1" s="25" t="s">
        <v>51</v>
      </c>
      <c r="P1" s="25" t="s">
        <v>52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6" t="s">
        <v>31</v>
      </c>
    </row>
    <row r="2" spans="1:23" x14ac:dyDescent="0.2">
      <c r="A2" s="1">
        <v>1</v>
      </c>
      <c r="B2" s="1" t="s">
        <v>64</v>
      </c>
      <c r="D2" s="1"/>
      <c r="E2" s="1">
        <v>-11.64</v>
      </c>
      <c r="F2" s="1">
        <v>415.85</v>
      </c>
      <c r="G2" s="1">
        <v>11047</v>
      </c>
      <c r="H2" s="1">
        <v>11.997999999999999</v>
      </c>
      <c r="I2" s="1">
        <v>64.488</v>
      </c>
      <c r="J2" s="1">
        <v>2340</v>
      </c>
      <c r="M2" s="27" t="str">
        <f t="shared" ref="M2:M43" si="0">B2</f>
        <v>Flush</v>
      </c>
      <c r="N2" s="27">
        <f t="shared" ref="N2:N43" si="1">C2</f>
        <v>0</v>
      </c>
      <c r="O2" s="28">
        <f>(E2-((G2^3*standards!$B$25+G2^2*standards!$B$26+G2*standards!$B$27+standards!$B$28)+(A2^3*standards!$C$25+standards!$C$26*A2^2+standards!$C$27*A2+standards!$C$28)))*standards!$R$27+standards!$R$26</f>
        <v>-10.991920587761539</v>
      </c>
      <c r="P2" s="28">
        <f>(H2-((J2^3*standards!$B$31+J2^2*standards!$B$32+J2*standards!$B$33+standards!$B$34)+(A2^3*standards!$C$31+standards!$C$32*A2^2+standards!$C$33*A2+standards!$C$34)))*standards!$S$27+standards!$S$26</f>
        <v>12.130843001024271</v>
      </c>
      <c r="Q2" s="29" t="e">
        <f>((F2*standards!$R$31+standards!$R$30)*F2)/D2</f>
        <v>#DIV/0!</v>
      </c>
      <c r="R2" s="29" t="e">
        <f>((I2*standards!$S$31+standards!$S$30)*I2)/D2</f>
        <v>#DIV/0!</v>
      </c>
      <c r="S2" s="29" t="e">
        <f t="shared" ref="S2:S43" si="2">Q2/R2</f>
        <v>#DIV/0!</v>
      </c>
      <c r="T2" s="30">
        <f>($V$2*D2)/G2</f>
        <v>0</v>
      </c>
      <c r="U2" s="30">
        <f>($V$3*D2)/J2</f>
        <v>0</v>
      </c>
      <c r="V2" s="7">
        <v>5500</v>
      </c>
      <c r="W2" s="30" t="s">
        <v>32</v>
      </c>
    </row>
    <row r="3" spans="1:23" x14ac:dyDescent="0.2">
      <c r="A3" s="1">
        <v>3</v>
      </c>
      <c r="B3" s="1" t="s">
        <v>64</v>
      </c>
      <c r="D3" s="1"/>
      <c r="E3" s="1">
        <v>-11.653</v>
      </c>
      <c r="F3" s="1">
        <v>414.08499999999998</v>
      </c>
      <c r="G3" s="1">
        <v>10990</v>
      </c>
      <c r="H3" s="1">
        <v>11.81</v>
      </c>
      <c r="I3" s="1">
        <v>63.826000000000001</v>
      </c>
      <c r="J3" s="1">
        <v>2328</v>
      </c>
      <c r="M3" s="27" t="str">
        <f t="shared" si="0"/>
        <v>Flush</v>
      </c>
      <c r="N3" s="27">
        <f t="shared" si="1"/>
        <v>0</v>
      </c>
      <c r="O3" s="28">
        <f>(E3-((G3^3*standards!$B$25+G3^2*standards!$B$26+G3*standards!$B$27+standards!$B$28)+(A3^3*standards!$C$25+standards!$C$26*A3^2+standards!$C$27*A3+standards!$C$28)))*standards!$R$27+standards!$R$26</f>
        <v>-10.976026333513103</v>
      </c>
      <c r="P3" s="28">
        <f>(H3-((J3^3*standards!$B$31+J3^2*standards!$B$32+J3*standards!$B$33+standards!$B$34)+(A3^3*standards!$C$31+standards!$C$32*A3^2+standards!$C$33*A3+standards!$C$34)))*standards!$S$27+standards!$S$26</f>
        <v>11.960716104198983</v>
      </c>
      <c r="Q3" s="29" t="e">
        <f>((F3*standards!$R$31+standards!$R$30)*F3)/D3</f>
        <v>#DIV/0!</v>
      </c>
      <c r="R3" s="29" t="e">
        <f>((I3*standards!$S$31+standards!$S$30)*I3)/D3</f>
        <v>#DIV/0!</v>
      </c>
      <c r="S3" s="29" t="e">
        <f t="shared" si="2"/>
        <v>#DIV/0!</v>
      </c>
      <c r="T3" s="30">
        <f t="shared" ref="T3:T43" si="3">($V$2*D3)/G3</f>
        <v>0</v>
      </c>
      <c r="U3" s="30">
        <f t="shared" ref="U3:U43" si="4">($V$3*D3)/J3</f>
        <v>0</v>
      </c>
      <c r="V3" s="7">
        <v>2000</v>
      </c>
      <c r="W3" s="30" t="s">
        <v>33</v>
      </c>
    </row>
    <row r="4" spans="1:23" x14ac:dyDescent="0.2">
      <c r="A4" s="1">
        <v>4</v>
      </c>
      <c r="B4" s="1" t="s">
        <v>64</v>
      </c>
      <c r="D4" s="1"/>
      <c r="E4" s="1">
        <v>-11.986000000000001</v>
      </c>
      <c r="F4" s="1">
        <v>390.18299999999999</v>
      </c>
      <c r="G4" s="1">
        <v>10343</v>
      </c>
      <c r="H4" s="1">
        <v>11.629</v>
      </c>
      <c r="I4" s="1">
        <v>60.045999999999999</v>
      </c>
      <c r="J4" s="1">
        <v>2183</v>
      </c>
      <c r="M4" s="27" t="str">
        <f t="shared" si="0"/>
        <v>Flush</v>
      </c>
      <c r="N4" s="27">
        <f t="shared" si="1"/>
        <v>0</v>
      </c>
      <c r="O4" s="28">
        <f>(E4-((G4^3*standards!$B$25+G4^2*standards!$B$26+G4*standards!$B$27+standards!$B$28)+(A4^3*standards!$C$25+standards!$C$26*A4^2+standards!$C$27*A4+standards!$C$28)))*standards!$R$27+standards!$R$26</f>
        <v>-11.314513124985085</v>
      </c>
      <c r="P4" s="28">
        <f>(H4-((J4^3*standards!$B$31+J4^2*standards!$B$32+J4*standards!$B$33+standards!$B$34)+(A4^3*standards!$C$31+standards!$C$32*A4^2+standards!$C$33*A4+standards!$C$34)))*standards!$S$27+standards!$S$26</f>
        <v>11.796923719489527</v>
      </c>
      <c r="Q4" s="29" t="e">
        <f>((F4*standards!$R$31+standards!$R$30)*F4)/D4</f>
        <v>#DIV/0!</v>
      </c>
      <c r="R4" s="29" t="e">
        <f>((I4*standards!$S$31+standards!$S$30)*I4)/D4</f>
        <v>#DIV/0!</v>
      </c>
      <c r="S4" s="29" t="e">
        <f t="shared" si="2"/>
        <v>#DIV/0!</v>
      </c>
      <c r="T4" s="30">
        <f t="shared" si="3"/>
        <v>0</v>
      </c>
      <c r="U4" s="30">
        <f t="shared" si="4"/>
        <v>0</v>
      </c>
    </row>
    <row r="5" spans="1:23" x14ac:dyDescent="0.2">
      <c r="A5" s="1">
        <v>5</v>
      </c>
      <c r="B5" s="1" t="s">
        <v>65</v>
      </c>
      <c r="D5" s="1">
        <v>0.23799999999999999</v>
      </c>
      <c r="E5" s="1">
        <v>-12.763999999999999</v>
      </c>
      <c r="F5" s="1">
        <v>436.33100000000002</v>
      </c>
      <c r="G5" s="1">
        <v>11645</v>
      </c>
      <c r="H5" s="1">
        <v>11.590999999999999</v>
      </c>
      <c r="I5" s="1">
        <v>64.786000000000001</v>
      </c>
      <c r="J5" s="1">
        <v>2369</v>
      </c>
      <c r="M5" s="27" t="str">
        <f t="shared" si="0"/>
        <v>Taipan</v>
      </c>
      <c r="N5" s="27">
        <f t="shared" si="1"/>
        <v>0</v>
      </c>
      <c r="O5" s="28">
        <f>(E5-((G5^3*standards!$B$25+G5^2*standards!$B$26+G5*standards!$B$27+standards!$B$28)+(A5^3*standards!$C$25+standards!$C$26*A5^2+standards!$C$27*A5+standards!$C$28)))*standards!$R$27+standards!$R$26</f>
        <v>-12.057816811433888</v>
      </c>
      <c r="P5" s="28">
        <f>(H5-((J5^3*standards!$B$31+J5^2*standards!$B$32+J5*standards!$B$33+standards!$B$34)+(A5^3*standards!$C$31+standards!$C$32*A5^2+standards!$C$33*A5+standards!$C$34)))*standards!$S$27+standards!$S$26</f>
        <v>11.762536368003563</v>
      </c>
      <c r="Q5" s="29">
        <f>((F5*standards!$R$31+standards!$R$30)*F5)/D5</f>
        <v>46.438018827372531</v>
      </c>
      <c r="R5" s="34">
        <f>((I5*standards!$S$31+standards!$S$30)*I5)/D5</f>
        <v>17.318349558306846</v>
      </c>
      <c r="S5" s="29">
        <f t="shared" si="2"/>
        <v>2.6814344329421544</v>
      </c>
      <c r="T5" s="30">
        <f t="shared" si="3"/>
        <v>0.11240875912408758</v>
      </c>
      <c r="U5" s="30">
        <f t="shared" si="4"/>
        <v>0.20092866188265091</v>
      </c>
    </row>
    <row r="6" spans="1:23" x14ac:dyDescent="0.2">
      <c r="A6" s="1">
        <v>6</v>
      </c>
      <c r="B6" s="1" t="s">
        <v>66</v>
      </c>
      <c r="D6" s="1">
        <v>7.1779999999999999</v>
      </c>
      <c r="E6" s="1">
        <v>-26.681000000000001</v>
      </c>
      <c r="F6" s="1">
        <v>297.822</v>
      </c>
      <c r="G6" s="1">
        <v>7971</v>
      </c>
      <c r="H6" s="1">
        <v>7.0149999999999997</v>
      </c>
      <c r="I6" s="1">
        <v>13.458</v>
      </c>
      <c r="J6" s="1">
        <v>490</v>
      </c>
      <c r="M6" s="27" t="str">
        <f t="shared" si="0"/>
        <v>LOC</v>
      </c>
      <c r="N6" s="27">
        <f t="shared" si="1"/>
        <v>0</v>
      </c>
      <c r="O6" s="28">
        <f>(E6-((G6^3*standards!$B$25+G6^2*standards!$B$26+G6*standards!$B$27+standards!$B$28)+(A6^3*standards!$C$25+standards!$C$26*A6^2+standards!$C$27*A6+standards!$C$28)))*standards!$R$27+standards!$R$26</f>
        <v>-26.261113255677696</v>
      </c>
      <c r="P6" s="28">
        <f>(H6-((J6^3*standards!$B$31+J6^2*standards!$B$32+J6*standards!$B$33+standards!$B$34)+(A6^3*standards!$C$31+standards!$C$32*A6^2+standards!$C$33*A6+standards!$C$34)))*standards!$S$27+standards!$S$26</f>
        <v>7.6215753048518158</v>
      </c>
      <c r="Q6" s="29">
        <f>((F6*standards!$R$31+standards!$R$30)*F6)/D6</f>
        <v>1.0357731036813946</v>
      </c>
      <c r="R6" s="34">
        <f>((I6*standards!$S$31+standards!$S$30)*I6)/D6</f>
        <v>0.11148727813270651</v>
      </c>
      <c r="S6" s="29">
        <f t="shared" si="2"/>
        <v>9.2905048991193784</v>
      </c>
      <c r="T6" s="30">
        <f t="shared" si="3"/>
        <v>4.9528290051436459</v>
      </c>
      <c r="U6" s="30">
        <f t="shared" si="4"/>
        <v>29.29795918367347</v>
      </c>
    </row>
    <row r="7" spans="1:23" x14ac:dyDescent="0.2">
      <c r="A7" s="1">
        <v>7</v>
      </c>
      <c r="B7" s="1" t="s">
        <v>67</v>
      </c>
      <c r="D7" s="1">
        <v>1.417</v>
      </c>
      <c r="E7" s="1">
        <v>-28.265000000000001</v>
      </c>
      <c r="F7" s="1">
        <v>335.55500000000001</v>
      </c>
      <c r="G7" s="1">
        <v>8812</v>
      </c>
      <c r="H7" s="1">
        <v>4.4130000000000003</v>
      </c>
      <c r="I7" s="1">
        <v>12.271000000000001</v>
      </c>
      <c r="J7" s="1">
        <v>441</v>
      </c>
      <c r="M7" s="27" t="str">
        <f t="shared" si="0"/>
        <v>HOC</v>
      </c>
      <c r="N7" s="27">
        <f t="shared" si="1"/>
        <v>0</v>
      </c>
      <c r="O7" s="28">
        <f>(E7-((G7^3*standards!$B$25+G7^2*standards!$B$26+G7*standards!$B$27+standards!$B$28)+(A7^3*standards!$C$25+standards!$C$26*A7^2+standards!$C$27*A7+standards!$C$28)))*standards!$R$27+standards!$R$26</f>
        <v>-27.830645219810172</v>
      </c>
      <c r="P7" s="28">
        <f>(H7-((J7^3*standards!$B$31+J7^2*standards!$B$32+J7*standards!$B$33+standards!$B$34)+(A7^3*standards!$C$31+standards!$C$32*A7^2+standards!$C$33*A7+standards!$C$34)))*standards!$S$27+standards!$S$26</f>
        <v>5.266946658365617</v>
      </c>
      <c r="Q7" s="29">
        <f>((F7*standards!$R$31+standards!$R$30)*F7)/D7</f>
        <v>5.935221300896945</v>
      </c>
      <c r="R7" s="34">
        <f>((I7*standards!$S$31+standards!$S$30)*I7)/D7</f>
        <v>0.51410932092426942</v>
      </c>
      <c r="S7" s="29">
        <f t="shared" si="2"/>
        <v>11.544667757096024</v>
      </c>
      <c r="T7" s="30">
        <f t="shared" si="3"/>
        <v>0.88441897412619153</v>
      </c>
      <c r="U7" s="30">
        <f t="shared" si="4"/>
        <v>6.4263038548752833</v>
      </c>
    </row>
    <row r="8" spans="1:23" x14ac:dyDescent="0.2">
      <c r="A8" s="1">
        <v>8</v>
      </c>
      <c r="B8" s="1" t="s">
        <v>68</v>
      </c>
      <c r="C8" t="s">
        <v>69</v>
      </c>
      <c r="D8" s="1">
        <v>1.3720000000000001</v>
      </c>
      <c r="E8" s="1">
        <v>-23.773</v>
      </c>
      <c r="F8" s="1">
        <v>908.3</v>
      </c>
      <c r="G8" s="1">
        <v>24074</v>
      </c>
      <c r="H8">
        <v>1.2430000000000001</v>
      </c>
      <c r="I8">
        <v>31.713999999999999</v>
      </c>
      <c r="J8">
        <v>1165</v>
      </c>
      <c r="M8" s="27" t="str">
        <f t="shared" si="0"/>
        <v>30.5</v>
      </c>
      <c r="N8" s="27" t="str">
        <f t="shared" si="1"/>
        <v>TOC</v>
      </c>
      <c r="O8" s="28">
        <f>(E8-((G8^3*standards!$B$25+G8^2*standards!$B$26+G8*standards!$B$27+standards!$B$28)+(A8^3*standards!$C$25+standards!$C$26*A8^2+standards!$C$27*A8+standards!$C$28)))*standards!$R$27+standards!$R$26</f>
        <v>-22.999440506446788</v>
      </c>
      <c r="P8" s="28">
        <f>(H8-((J8^3*standards!$B$31+J8^2*standards!$B$32+J8*standards!$B$33+standards!$B$34)+(A8^3*standards!$C$31+standards!$C$32*A8^2+standards!$C$33*A8+standards!$C$34)))*standards!$S$27+standards!$S$26</f>
        <v>2.3983176001944977</v>
      </c>
      <c r="Q8" s="29">
        <f>((F8*standards!$R$31+standards!$R$30)*F8)/D8</f>
        <v>17.595032979146868</v>
      </c>
      <c r="R8" s="34">
        <f>((I8*standards!$S$31+standards!$S$30)*I8)/D8</f>
        <v>1.4086866287496802</v>
      </c>
      <c r="S8" s="29">
        <f t="shared" si="2"/>
        <v>12.490381196252171</v>
      </c>
      <c r="T8" s="30">
        <f t="shared" si="3"/>
        <v>0.31345019523136997</v>
      </c>
      <c r="U8" s="30">
        <f t="shared" si="4"/>
        <v>2.3553648068669526</v>
      </c>
    </row>
    <row r="9" spans="1:23" x14ac:dyDescent="0.2">
      <c r="A9" s="1">
        <v>9</v>
      </c>
      <c r="B9" s="1" t="s">
        <v>70</v>
      </c>
      <c r="C9" t="s">
        <v>69</v>
      </c>
      <c r="D9" s="1">
        <v>0.98299999999999998</v>
      </c>
      <c r="E9" s="1">
        <v>-25.92</v>
      </c>
      <c r="F9" s="1">
        <v>350.89699999999999</v>
      </c>
      <c r="G9" s="1">
        <v>9328</v>
      </c>
      <c r="H9" s="1">
        <v>0.39900000000000002</v>
      </c>
      <c r="I9" s="1">
        <v>8.3469999999999995</v>
      </c>
      <c r="J9" s="1">
        <v>301</v>
      </c>
      <c r="M9" s="27" t="str">
        <f t="shared" si="0"/>
        <v>31</v>
      </c>
      <c r="N9" s="27" t="str">
        <f t="shared" si="1"/>
        <v>TOC</v>
      </c>
      <c r="O9" s="28">
        <f>(E9-((G9^3*standards!$B$25+G9^2*standards!$B$26+G9*standards!$B$27+standards!$B$28)+(A9^3*standards!$C$25+standards!$C$26*A9^2+standards!$C$27*A9+standards!$C$28)))*standards!$R$27+standards!$R$26</f>
        <v>-25.406517788275256</v>
      </c>
      <c r="P9" s="28">
        <f>(H9-((J9^3*standards!$B$31+J9^2*standards!$B$32+J9*standards!$B$33+standards!$B$34)+(A9^3*standards!$C$31+standards!$C$32*A9^2+standards!$C$33*A9+standards!$C$34)))*standards!$S$27+standards!$S$26</f>
        <v>1.6345564250852154</v>
      </c>
      <c r="Q9" s="29">
        <f>((F9*standards!$R$31+standards!$R$30)*F9)/D9</f>
        <v>8.9613066028582598</v>
      </c>
      <c r="R9" s="34">
        <f>((I9*standards!$S$31+standards!$S$30)*I9)/D9</f>
        <v>0.50140721503694996</v>
      </c>
      <c r="S9" s="29">
        <f t="shared" si="2"/>
        <v>17.872312830994819</v>
      </c>
      <c r="T9" s="30">
        <f t="shared" si="3"/>
        <v>0.57959905660377353</v>
      </c>
      <c r="U9" s="30">
        <f t="shared" si="4"/>
        <v>6.5315614617940199</v>
      </c>
    </row>
    <row r="10" spans="1:23" x14ac:dyDescent="0.2">
      <c r="A10" s="1">
        <v>10</v>
      </c>
      <c r="B10" s="1" t="s">
        <v>71</v>
      </c>
      <c r="C10" t="s">
        <v>69</v>
      </c>
      <c r="D10" s="1">
        <v>0.92200000000000004</v>
      </c>
      <c r="E10" s="1">
        <v>-25.702999999999999</v>
      </c>
      <c r="F10" s="1">
        <v>352.858</v>
      </c>
      <c r="G10" s="1">
        <v>9376</v>
      </c>
      <c r="H10" s="1">
        <v>0.72699999999999998</v>
      </c>
      <c r="I10" s="1">
        <v>8.8949999999999996</v>
      </c>
      <c r="J10" s="1">
        <v>321</v>
      </c>
      <c r="M10" s="27" t="str">
        <f t="shared" si="0"/>
        <v>31.5</v>
      </c>
      <c r="N10" s="27" t="str">
        <f t="shared" si="1"/>
        <v>TOC</v>
      </c>
      <c r="O10" s="28">
        <f>(E10-((G10^3*standards!$B$25+G10^2*standards!$B$26+G10*standards!$B$27+standards!$B$28)+(A10^3*standards!$C$25+standards!$C$26*A10^2+standards!$C$27*A10+standards!$C$28)))*standards!$R$27+standards!$R$26</f>
        <v>-25.169799816726133</v>
      </c>
      <c r="P10" s="28">
        <f>(H10-((J10^3*standards!$B$31+J10^2*standards!$B$32+J10*standards!$B$33+standards!$B$34)+(A10^3*standards!$C$31+standards!$C$32*A10^2+standards!$C$33*A10+standards!$C$34)))*standards!$S$27+standards!$S$26</f>
        <v>1.9313735642272114</v>
      </c>
      <c r="Q10" s="29">
        <f>((F10*standards!$R$31+standards!$R$30)*F10)/D10</f>
        <v>9.6095690615973943</v>
      </c>
      <c r="R10" s="34">
        <f>((I10*standards!$S$31+standards!$S$30)*I10)/D10</f>
        <v>0.57010532301524564</v>
      </c>
      <c r="S10" s="29">
        <f t="shared" si="2"/>
        <v>16.855778526629223</v>
      </c>
      <c r="T10" s="30">
        <f t="shared" si="3"/>
        <v>0.54084897610921501</v>
      </c>
      <c r="U10" s="30">
        <f t="shared" si="4"/>
        <v>5.7445482866043616</v>
      </c>
    </row>
    <row r="11" spans="1:23" x14ac:dyDescent="0.2">
      <c r="A11" s="1">
        <v>11</v>
      </c>
      <c r="B11" s="1" t="s">
        <v>72</v>
      </c>
      <c r="C11" t="s">
        <v>69</v>
      </c>
      <c r="D11" s="1">
        <v>1.0009999999999999</v>
      </c>
      <c r="E11" s="1">
        <v>-26.036999999999999</v>
      </c>
      <c r="F11" s="1">
        <v>411.38200000000001</v>
      </c>
      <c r="G11" s="1">
        <v>10884</v>
      </c>
      <c r="H11" s="1">
        <v>0.67</v>
      </c>
      <c r="I11" s="1">
        <v>9.26</v>
      </c>
      <c r="J11" s="1">
        <v>333</v>
      </c>
      <c r="M11" s="27" t="str">
        <f t="shared" si="0"/>
        <v>38</v>
      </c>
      <c r="N11" s="27" t="str">
        <f t="shared" si="1"/>
        <v>TOC</v>
      </c>
      <c r="O11" s="28">
        <f>(E11-((G11^3*standards!$B$25+G11^2*standards!$B$26+G11*standards!$B$27+standards!$B$28)+(A11^3*standards!$C$25+standards!$C$26*A11^2+standards!$C$27*A11+standards!$C$28)))*standards!$R$27+standards!$R$26</f>
        <v>-25.455854045868225</v>
      </c>
      <c r="P11" s="28">
        <f>(H11-((J11^3*standards!$B$31+J11^2*standards!$B$32+J11*standards!$B$33+standards!$B$34)+(A11^3*standards!$C$31+standards!$C$32*A11^2+standards!$C$33*A11+standards!$C$34)))*standards!$S$27+standards!$S$26</f>
        <v>1.8797925369982669</v>
      </c>
      <c r="Q11" s="29">
        <f>((F11*standards!$R$31+standards!$R$30)*F11)/D11</f>
        <v>10.382778159905424</v>
      </c>
      <c r="R11" s="34">
        <f>((I11*standards!$S$31+standards!$S$30)*I11)/D11</f>
        <v>0.5469331245035749</v>
      </c>
      <c r="S11" s="29">
        <f t="shared" si="2"/>
        <v>18.983633820550505</v>
      </c>
      <c r="T11" s="30">
        <f t="shared" si="3"/>
        <v>0.50583425211319355</v>
      </c>
      <c r="U11" s="30">
        <f t="shared" si="4"/>
        <v>6.0120120120120113</v>
      </c>
    </row>
    <row r="12" spans="1:23" x14ac:dyDescent="0.2">
      <c r="A12" s="1">
        <v>12</v>
      </c>
      <c r="B12" s="1" t="s">
        <v>73</v>
      </c>
      <c r="C12" t="s">
        <v>69</v>
      </c>
      <c r="D12" s="1">
        <v>0.438</v>
      </c>
      <c r="E12" s="1">
        <v>-27.881</v>
      </c>
      <c r="F12" s="1">
        <v>338.68099999999998</v>
      </c>
      <c r="G12" s="1">
        <v>8962</v>
      </c>
      <c r="H12">
        <v>0.05</v>
      </c>
      <c r="I12">
        <v>3.3239999999999998</v>
      </c>
      <c r="J12">
        <v>119</v>
      </c>
      <c r="M12" s="27" t="str">
        <f t="shared" si="0"/>
        <v>52</v>
      </c>
      <c r="N12" s="27" t="str">
        <f t="shared" si="1"/>
        <v>TOC</v>
      </c>
      <c r="O12" s="28">
        <f>(E12-((G12^3*standards!$B$25+G12^2*standards!$B$26+G12*standards!$B$27+standards!$B$28)+(A12^3*standards!$C$25+standards!$C$26*A12^2+standards!$C$27*A12+standards!$C$28)))*standards!$R$27+standards!$R$26</f>
        <v>-27.360788600833914</v>
      </c>
      <c r="P12" s="28">
        <f>(H12-((J12^3*standards!$B$31+J12^2*standards!$B$32+J12*standards!$B$33+standards!$B$34)+(A12^3*standards!$C$31+standards!$C$32*A12^2+standards!$C$33*A12+standards!$C$34)))*standards!$S$27+standards!$S$26</f>
        <v>1.3187357495957137</v>
      </c>
      <c r="Q12" s="29">
        <f>((F12*standards!$R$31+standards!$R$30)*F12)/D12</f>
        <v>19.386657285548839</v>
      </c>
      <c r="R12" s="34">
        <f>((I12*standards!$S$31+standards!$S$30)*I12)/D12</f>
        <v>0.44503838825925557</v>
      </c>
      <c r="S12" s="29">
        <f t="shared" si="2"/>
        <v>43.561764101696347</v>
      </c>
      <c r="T12" s="30">
        <f t="shared" si="3"/>
        <v>0.26880160678419995</v>
      </c>
      <c r="U12" s="30">
        <f t="shared" si="4"/>
        <v>7.3613445378151257</v>
      </c>
    </row>
    <row r="13" spans="1:23" x14ac:dyDescent="0.2">
      <c r="A13" s="1">
        <v>13</v>
      </c>
      <c r="B13" s="1" t="s">
        <v>74</v>
      </c>
      <c r="C13" t="s">
        <v>69</v>
      </c>
      <c r="D13" s="1">
        <v>0.52</v>
      </c>
      <c r="E13" s="1">
        <v>-27.404</v>
      </c>
      <c r="F13" s="1">
        <v>351.529</v>
      </c>
      <c r="G13" s="1">
        <v>9256</v>
      </c>
      <c r="H13" s="1">
        <v>0.89900000000000002</v>
      </c>
      <c r="I13" s="1">
        <v>6.2510000000000003</v>
      </c>
      <c r="J13" s="1">
        <v>224</v>
      </c>
      <c r="M13" s="27" t="str">
        <f t="shared" si="0"/>
        <v>51</v>
      </c>
      <c r="N13" s="27" t="str">
        <f t="shared" si="1"/>
        <v>TOC</v>
      </c>
      <c r="O13" s="28">
        <f>(E13-((G13^3*standards!$B$25+G13^2*standards!$B$26+G13*standards!$B$27+standards!$B$28)+(A13^3*standards!$C$25+standards!$C$26*A13^2+standards!$C$27*A13+standards!$C$28)))*standards!$R$27+standards!$R$26</f>
        <v>-26.853689615381448</v>
      </c>
      <c r="P13" s="28">
        <f>(H13-((J13^3*standards!$B$31+J13^2*standards!$B$32+J13*standards!$B$33+standards!$B$34)+(A13^3*standards!$C$31+standards!$C$32*A13^2+standards!$C$33*A13+standards!$C$34)))*standards!$S$27+standards!$S$26</f>
        <v>2.0870215762163067</v>
      </c>
      <c r="Q13" s="29">
        <f>((F13*standards!$R$31+standards!$R$30)*F13)/D13</f>
        <v>16.971956666261256</v>
      </c>
      <c r="R13" s="34">
        <f>((I13*standards!$S$31+standards!$S$30)*I13)/D13</f>
        <v>0.70779782130900404</v>
      </c>
      <c r="S13" s="29">
        <f t="shared" si="2"/>
        <v>23.978537592660647</v>
      </c>
      <c r="T13" s="30">
        <f t="shared" si="3"/>
        <v>0.3089887640449438</v>
      </c>
      <c r="U13" s="30">
        <f t="shared" si="4"/>
        <v>4.6428571428571432</v>
      </c>
    </row>
    <row r="14" spans="1:23" x14ac:dyDescent="0.2">
      <c r="A14" s="1">
        <v>14</v>
      </c>
      <c r="B14" s="1" t="s">
        <v>75</v>
      </c>
      <c r="C14" t="s">
        <v>69</v>
      </c>
      <c r="D14" s="1">
        <v>0.35699999999999998</v>
      </c>
      <c r="E14" s="1">
        <v>-27.558</v>
      </c>
      <c r="F14" s="1">
        <v>526.65700000000004</v>
      </c>
      <c r="G14" s="1">
        <v>13945</v>
      </c>
      <c r="H14">
        <v>0.36099999999999999</v>
      </c>
      <c r="I14">
        <v>5.9340000000000002</v>
      </c>
      <c r="J14">
        <v>215</v>
      </c>
      <c r="M14" s="27" t="str">
        <f t="shared" si="0"/>
        <v>58</v>
      </c>
      <c r="N14" s="27" t="str">
        <f t="shared" si="1"/>
        <v>TOC</v>
      </c>
      <c r="O14" s="28">
        <f>(E14-((G14^3*standards!$B$25+G14^2*standards!$B$26+G14*standards!$B$27+standards!$B$28)+(A14^3*standards!$C$25+standards!$C$26*A14^2+standards!$C$27*A14+standards!$C$28)))*standards!$R$27+standards!$R$26</f>
        <v>-26.886432347291809</v>
      </c>
      <c r="P14" s="28">
        <f>(H14-((J14^3*standards!$B$31+J14^2*standards!$B$32+J14*standards!$B$33+standards!$B$34)+(A14^3*standards!$C$31+standards!$C$32*A14^2+standards!$C$33*A14+standards!$C$34)))*standards!$S$27+standards!$S$26</f>
        <v>1.6001690735992524</v>
      </c>
      <c r="Q14" s="29">
        <f>((F14*standards!$R$31+standards!$R$30)*F14)/D14</f>
        <v>37.719746325424801</v>
      </c>
      <c r="R14" s="34">
        <f>((I14*standards!$S$31+standards!$S$30)*I14)/D14</f>
        <v>0.97825693256067414</v>
      </c>
      <c r="S14" s="29">
        <f t="shared" si="2"/>
        <v>38.558118087331131</v>
      </c>
      <c r="T14" s="30">
        <f t="shared" si="3"/>
        <v>0.14080315525277878</v>
      </c>
      <c r="U14" s="30">
        <f t="shared" si="4"/>
        <v>3.3209302325581396</v>
      </c>
    </row>
    <row r="15" spans="1:23" x14ac:dyDescent="0.2">
      <c r="A15" s="1">
        <v>15</v>
      </c>
      <c r="B15" s="1" t="s">
        <v>76</v>
      </c>
      <c r="C15" t="s">
        <v>69</v>
      </c>
      <c r="D15" s="1">
        <v>0.44700000000000001</v>
      </c>
      <c r="E15" s="1">
        <v>-27.146000000000001</v>
      </c>
      <c r="F15" s="1">
        <v>761.36800000000005</v>
      </c>
      <c r="G15" s="1">
        <v>20074</v>
      </c>
      <c r="H15">
        <v>0.26800000000000002</v>
      </c>
      <c r="I15">
        <v>8.9469999999999992</v>
      </c>
      <c r="J15">
        <v>322</v>
      </c>
      <c r="M15" s="27" t="str">
        <f t="shared" si="0"/>
        <v>56</v>
      </c>
      <c r="N15" s="27" t="str">
        <f t="shared" si="1"/>
        <v>TOC</v>
      </c>
      <c r="O15" s="28">
        <f>(E15-((G15^3*standards!$B$25+G15^2*standards!$B$26+G15*standards!$B$27+standards!$B$28)+(A15^3*standards!$C$25+standards!$C$26*A15^2+standards!$C$27*A15+standards!$C$28)))*standards!$R$27+standards!$R$26</f>
        <v>-26.354416233631294</v>
      </c>
      <c r="P15" s="28">
        <f>(H15-((J15^3*standards!$B$31+J15^2*standards!$B$32+J15*standards!$B$33+standards!$B$34)+(A15^3*standards!$C$31+standards!$C$32*A15^2+standards!$C$33*A15+standards!$C$34)))*standards!$S$27+standards!$S$26</f>
        <v>1.5160105554888696</v>
      </c>
      <c r="Q15" s="29">
        <f>((F15*standards!$R$31+standards!$R$30)*F15)/D15</f>
        <v>44.607567605735916</v>
      </c>
      <c r="R15" s="34">
        <f>((I15*standards!$S$31+standards!$S$30)*I15)/D15</f>
        <v>1.1828806747355169</v>
      </c>
      <c r="S15" s="29">
        <f t="shared" si="2"/>
        <v>37.710961518337278</v>
      </c>
      <c r="T15" s="30">
        <f t="shared" si="3"/>
        <v>0.12247185413968317</v>
      </c>
      <c r="U15" s="30">
        <f t="shared" si="4"/>
        <v>2.7763975155279503</v>
      </c>
    </row>
    <row r="16" spans="1:23" x14ac:dyDescent="0.2">
      <c r="A16" s="1">
        <v>16</v>
      </c>
      <c r="B16" s="1" t="s">
        <v>77</v>
      </c>
      <c r="C16" t="s">
        <v>69</v>
      </c>
      <c r="D16" s="1">
        <v>0.83799999999999997</v>
      </c>
      <c r="E16" s="1">
        <v>-27.434000000000001</v>
      </c>
      <c r="F16" s="1">
        <v>599.35</v>
      </c>
      <c r="G16" s="1">
        <v>15823</v>
      </c>
      <c r="H16" s="1">
        <v>1.012</v>
      </c>
      <c r="I16" s="1">
        <v>8.5990000000000002</v>
      </c>
      <c r="J16" s="1">
        <v>308</v>
      </c>
      <c r="M16" s="27" t="str">
        <f t="shared" si="0"/>
        <v>57</v>
      </c>
      <c r="N16" s="27" t="str">
        <f t="shared" si="1"/>
        <v>TOC</v>
      </c>
      <c r="O16" s="28">
        <f>(E16-((G16^3*standards!$B$25+G16^2*standards!$B$26+G16*standards!$B$27+standards!$B$28)+(A16^3*standards!$C$25+standards!$C$26*A16^2+standards!$C$27*A16+standards!$C$28)))*standards!$R$27+standards!$R$26</f>
        <v>-26.694733379441246</v>
      </c>
      <c r="P16" s="28">
        <f>(H16-((J16^3*standards!$B$31+J16^2*standards!$B$32+J16*standards!$B$33+standards!$B$34)+(A16^3*standards!$C$31+standards!$C$32*A16^2+standards!$C$33*A16+standards!$C$34)))*standards!$S$27+standards!$S$26</f>
        <v>2.1892787003719336</v>
      </c>
      <c r="Q16" s="29">
        <f>((F16*standards!$R$31+standards!$R$30)*F16)/D16</f>
        <v>18.424563451256756</v>
      </c>
      <c r="R16" s="34">
        <f>((I16*standards!$S$31+standards!$S$30)*I16)/D16</f>
        <v>0.6061327246121041</v>
      </c>
      <c r="S16" s="29">
        <f t="shared" si="2"/>
        <v>30.396912595418097</v>
      </c>
      <c r="T16" s="30">
        <f t="shared" si="3"/>
        <v>0.29128483852619602</v>
      </c>
      <c r="U16" s="30">
        <f t="shared" si="4"/>
        <v>5.4415584415584419</v>
      </c>
    </row>
    <row r="17" spans="1:21" x14ac:dyDescent="0.2">
      <c r="A17" s="1">
        <v>17</v>
      </c>
      <c r="B17" s="1" t="s">
        <v>78</v>
      </c>
      <c r="C17" t="s">
        <v>69</v>
      </c>
      <c r="D17" s="1">
        <v>0.34699999999999998</v>
      </c>
      <c r="E17" s="1">
        <v>-26.963999999999999</v>
      </c>
      <c r="F17" s="1">
        <v>303.928</v>
      </c>
      <c r="G17" s="1">
        <v>8052</v>
      </c>
      <c r="H17">
        <v>0.16400000000000001</v>
      </c>
      <c r="I17">
        <v>4.1950000000000003</v>
      </c>
      <c r="J17">
        <v>149</v>
      </c>
      <c r="M17" s="27" t="str">
        <f t="shared" si="0"/>
        <v>61</v>
      </c>
      <c r="N17" s="27" t="str">
        <f t="shared" si="1"/>
        <v>TOC</v>
      </c>
      <c r="O17" s="28">
        <f>(E17-((G17^3*standards!$B$25+G17^2*standards!$B$26+G17*standards!$B$27+standards!$B$28)+(A17^3*standards!$C$25+standards!$C$26*A17^2+standards!$C$27*A17+standards!$C$28)))*standards!$R$27+standards!$R$26</f>
        <v>-26.378629404605949</v>
      </c>
      <c r="P17" s="28">
        <f>(H17-((J17^3*standards!$B$31+J17^2*standards!$B$32+J17*standards!$B$33+standards!$B$34)+(A17^3*standards!$C$31+standards!$C$32*A17^2+standards!$C$33*A17+standards!$C$34)))*standards!$S$27+standards!$S$26</f>
        <v>1.4218978040536026</v>
      </c>
      <c r="Q17" s="29">
        <f>((F17*standards!$R$31+standards!$R$30)*F17)/D17</f>
        <v>21.87929111207492</v>
      </c>
      <c r="R17" s="34">
        <f>((I17*standards!$S$31+standards!$S$30)*I17)/D17</f>
        <v>0.70979885977860735</v>
      </c>
      <c r="S17" s="29">
        <f t="shared" si="2"/>
        <v>30.824635473349829</v>
      </c>
      <c r="T17" s="30">
        <f t="shared" si="3"/>
        <v>0.23702185792349725</v>
      </c>
      <c r="U17" s="30">
        <f t="shared" si="4"/>
        <v>4.6577181208053693</v>
      </c>
    </row>
    <row r="18" spans="1:21" x14ac:dyDescent="0.2">
      <c r="A18" s="1">
        <v>18</v>
      </c>
      <c r="B18" s="1" t="s">
        <v>79</v>
      </c>
      <c r="C18" t="s">
        <v>69</v>
      </c>
      <c r="D18" s="1">
        <v>0.55500000000000005</v>
      </c>
      <c r="E18" s="1">
        <v>-27.323</v>
      </c>
      <c r="F18" s="1">
        <v>617.41099999999994</v>
      </c>
      <c r="G18" s="1">
        <v>16266</v>
      </c>
      <c r="H18">
        <v>0.79800000000000004</v>
      </c>
      <c r="I18">
        <v>8.1050000000000004</v>
      </c>
      <c r="J18">
        <v>290</v>
      </c>
      <c r="M18" s="27" t="str">
        <f t="shared" si="0"/>
        <v>60</v>
      </c>
      <c r="N18" s="27" t="str">
        <f t="shared" si="1"/>
        <v>TOC</v>
      </c>
      <c r="O18" s="28">
        <f>(E18-((G18^3*standards!$B$25+G18^2*standards!$B$26+G18*standards!$B$27+standards!$B$28)+(A18^3*standards!$C$25+standards!$C$26*A18^2+standards!$C$27*A18+standards!$C$28)))*standards!$R$27+standards!$R$26</f>
        <v>-26.543941866234142</v>
      </c>
      <c r="P18" s="28">
        <f>(H18-((J18^3*standards!$B$31+J18^2*standards!$B$32+J18*standards!$B$33+standards!$B$34)+(A18^3*standards!$C$31+standards!$C$32*A18^2+standards!$C$33*A18+standards!$C$34)))*standards!$S$27+standards!$S$26</f>
        <v>1.9956236156878264</v>
      </c>
      <c r="Q18" s="29">
        <f>((F18*standards!$R$31+standards!$R$30)*F18)/D18</f>
        <v>28.710860676687584</v>
      </c>
      <c r="R18" s="34">
        <f>((I18*standards!$S$31+standards!$S$30)*I18)/D18</f>
        <v>0.8620441507468446</v>
      </c>
      <c r="S18" s="29">
        <f t="shared" si="2"/>
        <v>33.305557089870057</v>
      </c>
      <c r="T18" s="30">
        <f t="shared" si="3"/>
        <v>0.18766137956473627</v>
      </c>
      <c r="U18" s="30">
        <f t="shared" si="4"/>
        <v>3.8275862068965516</v>
      </c>
    </row>
    <row r="19" spans="1:21" x14ac:dyDescent="0.2">
      <c r="A19" s="1">
        <v>19</v>
      </c>
      <c r="B19" s="1" t="s">
        <v>80</v>
      </c>
      <c r="C19" t="s">
        <v>69</v>
      </c>
      <c r="D19" s="1">
        <v>0.45500000000000002</v>
      </c>
      <c r="E19" s="1">
        <v>-27.108000000000001</v>
      </c>
      <c r="F19" s="1">
        <v>414.84500000000003</v>
      </c>
      <c r="G19" s="1">
        <v>10973</v>
      </c>
      <c r="H19">
        <v>-0.24</v>
      </c>
      <c r="I19">
        <v>5.6829999999999998</v>
      </c>
      <c r="J19">
        <v>203</v>
      </c>
      <c r="M19" s="27" t="str">
        <f t="shared" si="0"/>
        <v>63</v>
      </c>
      <c r="N19" s="27" t="str">
        <f t="shared" si="1"/>
        <v>TOC</v>
      </c>
      <c r="O19" s="28">
        <f>(E19-((G19^3*standards!$B$25+G19^2*standards!$B$26+G19*standards!$B$27+standards!$B$28)+(A19^3*standards!$C$25+standards!$C$26*A19^2+standards!$C$27*A19+standards!$C$28)))*standards!$R$27+standards!$R$26</f>
        <v>-26.418940403953684</v>
      </c>
      <c r="P19" s="28">
        <f>(H19-((J19^3*standards!$B$31+J19^2*standards!$B$32+J19*standards!$B$33+standards!$B$34)+(A19^3*standards!$C$31+standards!$C$32*A19^2+standards!$C$33*A19+standards!$C$34)))*standards!$S$27+standards!$S$26</f>
        <v>1.0563059619396806</v>
      </c>
      <c r="Q19" s="29">
        <f>((F19*standards!$R$31+standards!$R$30)*F19)/D19</f>
        <v>23.042742173782102</v>
      </c>
      <c r="R19" s="34">
        <f>((I19*standards!$S$31+standards!$S$30)*I19)/D19</f>
        <v>0.73483493797529953</v>
      </c>
      <c r="S19" s="29">
        <f t="shared" si="2"/>
        <v>31.357711756700187</v>
      </c>
      <c r="T19" s="30">
        <f t="shared" si="3"/>
        <v>0.22805978310398251</v>
      </c>
      <c r="U19" s="30">
        <f t="shared" si="4"/>
        <v>4.4827586206896548</v>
      </c>
    </row>
    <row r="20" spans="1:21" x14ac:dyDescent="0.2">
      <c r="A20" s="1">
        <v>20</v>
      </c>
      <c r="B20" s="1" t="s">
        <v>81</v>
      </c>
      <c r="C20" t="s">
        <v>69</v>
      </c>
      <c r="D20" s="1">
        <v>0.41499999999999998</v>
      </c>
      <c r="E20" s="1">
        <v>-27.004999999999999</v>
      </c>
      <c r="F20" s="1">
        <v>613.09400000000005</v>
      </c>
      <c r="G20" s="1">
        <v>16123</v>
      </c>
      <c r="H20" s="1">
        <v>-1.8979999999999999</v>
      </c>
      <c r="I20" s="1">
        <v>7.76</v>
      </c>
      <c r="J20" s="1">
        <v>278</v>
      </c>
      <c r="M20" s="27" t="str">
        <f t="shared" si="0"/>
        <v>65</v>
      </c>
      <c r="N20" s="27" t="str">
        <f t="shared" si="1"/>
        <v>TOC</v>
      </c>
      <c r="O20" s="28">
        <f>(E20-((G20^3*standards!$B$25+G20^2*standards!$B$26+G20*standards!$B$27+standards!$B$28)+(A20^3*standards!$C$25+standards!$C$26*A20^2+standards!$C$27*A20+standards!$C$28)))*standards!$R$27+standards!$R$26</f>
        <v>-26.193190585233804</v>
      </c>
      <c r="P20" s="28">
        <f>(H20-((J20^3*standards!$B$31+J20^2*standards!$B$32+J20*standards!$B$33+standards!$B$34)+(A20^3*standards!$C$31+standards!$C$32*A20^2+standards!$C$33*A20+standards!$C$34)))*standards!$S$27+standards!$S$26</f>
        <v>-0.44406847921101833</v>
      </c>
      <c r="Q20" s="29">
        <f>((F20*standards!$R$31+standards!$R$30)*F20)/D20</f>
        <v>38.111121946886385</v>
      </c>
      <c r="R20" s="34">
        <f>((I20*standards!$S$31+standards!$S$30)*I20)/D20</f>
        <v>1.1032588664381917</v>
      </c>
      <c r="S20" s="29">
        <f t="shared" si="2"/>
        <v>34.544133844059616</v>
      </c>
      <c r="T20" s="30">
        <f t="shared" si="3"/>
        <v>0.14156794641195808</v>
      </c>
      <c r="U20" s="30">
        <f t="shared" si="4"/>
        <v>2.985611510791367</v>
      </c>
    </row>
    <row r="21" spans="1:21" x14ac:dyDescent="0.2">
      <c r="A21" s="1">
        <v>21</v>
      </c>
      <c r="B21" s="1" t="s">
        <v>82</v>
      </c>
      <c r="C21" t="s">
        <v>69</v>
      </c>
      <c r="D21" s="1">
        <v>0.442</v>
      </c>
      <c r="E21" s="1">
        <v>-26.036999999999999</v>
      </c>
      <c r="F21" s="1">
        <v>803.2</v>
      </c>
      <c r="G21" s="1">
        <v>21321</v>
      </c>
      <c r="H21" s="1">
        <v>0.311</v>
      </c>
      <c r="I21" s="1">
        <v>11.693</v>
      </c>
      <c r="J21" s="1">
        <v>424</v>
      </c>
      <c r="M21" s="27" t="str">
        <f t="shared" si="0"/>
        <v>67</v>
      </c>
      <c r="N21" s="27" t="str">
        <f t="shared" si="1"/>
        <v>TOC</v>
      </c>
      <c r="O21" s="28">
        <f>(E21-((G21^3*standards!$B$25+G21^2*standards!$B$26+G21*standards!$B$27+standards!$B$28)+(A21^3*standards!$C$25+standards!$C$26*A21^2+standards!$C$27*A21+standards!$C$28)))*standards!$R$27+standards!$R$26</f>
        <v>-25.123381942314232</v>
      </c>
      <c r="P21" s="28">
        <f>(H21-((J21^3*standards!$B$31+J21^2*standards!$B$32+J21*standards!$B$33+standards!$B$34)+(A21^3*standards!$C$31+standards!$C$32*A21^2+standards!$C$33*A21+standards!$C$34)))*standards!$S$27+standards!$S$26</f>
        <v>1.5549225584861435</v>
      </c>
      <c r="Q21" s="29">
        <f>((F21*standards!$R$31+standards!$R$30)*F21)/D21</f>
        <v>47.791725584338202</v>
      </c>
      <c r="R21" s="34">
        <f>((I21*standards!$S$31+standards!$S$30)*I21)/D21</f>
        <v>1.5693014745375071</v>
      </c>
      <c r="S21" s="29">
        <f t="shared" si="2"/>
        <v>30.454139220396147</v>
      </c>
      <c r="T21" s="30">
        <f t="shared" si="3"/>
        <v>0.11401904225880587</v>
      </c>
      <c r="U21" s="30">
        <f t="shared" si="4"/>
        <v>2.0849056603773586</v>
      </c>
    </row>
    <row r="22" spans="1:21" x14ac:dyDescent="0.2">
      <c r="A22" s="1">
        <v>22</v>
      </c>
      <c r="B22" s="1" t="s">
        <v>83</v>
      </c>
      <c r="C22" t="s">
        <v>69</v>
      </c>
      <c r="D22" s="1">
        <v>0.60499999999999998</v>
      </c>
      <c r="E22" s="1">
        <v>-27.561</v>
      </c>
      <c r="F22" s="1">
        <v>764.28399999999999</v>
      </c>
      <c r="G22" s="1">
        <v>20215</v>
      </c>
      <c r="H22" s="1">
        <v>3.9329999999999998</v>
      </c>
      <c r="I22" s="1">
        <v>10.763999999999999</v>
      </c>
      <c r="J22" s="1">
        <v>387</v>
      </c>
      <c r="M22" s="27" t="str">
        <f t="shared" si="0"/>
        <v>69</v>
      </c>
      <c r="N22" s="27" t="str">
        <f t="shared" si="1"/>
        <v>TOC</v>
      </c>
      <c r="O22" s="28">
        <f>(E22-((G22^3*standards!$B$25+G22^2*standards!$B$26+G22*standards!$B$27+standards!$B$28)+(A22^3*standards!$C$25+standards!$C$26*A22^2+standards!$C$27*A22+standards!$C$28)))*standards!$R$27+standards!$R$26</f>
        <v>-26.667355577337656</v>
      </c>
      <c r="P22" s="28">
        <f>(H22-((J22^3*standards!$B$31+J22^2*standards!$B$32+J22*standards!$B$33+standards!$B$34)+(A22^3*standards!$C$31+standards!$C$32*A22^2+standards!$C$33*A22+standards!$C$34)))*standards!$S$27+standards!$S$26</f>
        <v>4.8325801132797697</v>
      </c>
      <c r="Q22" s="29">
        <f>((F22*standards!$R$31+standards!$R$30)*F22)/D22</f>
        <v>33.093952745203623</v>
      </c>
      <c r="R22" s="34">
        <f>((I22*standards!$S$31+standards!$S$30)*I22)/D22</f>
        <v>1.0540705719683277</v>
      </c>
      <c r="S22" s="29">
        <f t="shared" si="2"/>
        <v>31.39633495640178</v>
      </c>
      <c r="T22" s="30">
        <f t="shared" si="3"/>
        <v>0.16460549097205046</v>
      </c>
      <c r="U22" s="30">
        <f t="shared" si="4"/>
        <v>3.1266149870801034</v>
      </c>
    </row>
    <row r="23" spans="1:21" x14ac:dyDescent="0.2">
      <c r="A23" s="1">
        <v>23</v>
      </c>
      <c r="B23" s="1" t="s">
        <v>65</v>
      </c>
      <c r="D23" s="1">
        <v>0.22</v>
      </c>
      <c r="E23" s="1">
        <v>-12.222</v>
      </c>
      <c r="F23" s="1">
        <v>389.428</v>
      </c>
      <c r="G23" s="1">
        <v>10393</v>
      </c>
      <c r="H23" s="1">
        <v>12.086</v>
      </c>
      <c r="I23" s="1">
        <v>59.808</v>
      </c>
      <c r="J23" s="1">
        <v>2166</v>
      </c>
      <c r="M23" s="27" t="str">
        <f t="shared" si="0"/>
        <v>Taipan</v>
      </c>
      <c r="N23" s="27">
        <f t="shared" si="1"/>
        <v>0</v>
      </c>
      <c r="O23" s="28">
        <f>(E23-((G23^3*standards!$B$25+G23^2*standards!$B$26+G23*standards!$B$27+standards!$B$28)+(A23^3*standards!$C$25+standards!$C$26*A23^2+standards!$C$27*A23+standards!$C$28)))*standards!$R$27+standards!$R$26</f>
        <v>-11.26354533955087</v>
      </c>
      <c r="P23" s="28">
        <f>(H23-((J23^3*standards!$B$31+J23^2*standards!$B$32+J23*standards!$B$33+standards!$B$34)+(A23^3*standards!$C$31+standards!$C$32*A23^2+standards!$C$33*A23+standards!$C$34)))*standards!$S$27+standards!$S$26</f>
        <v>12.210476867623345</v>
      </c>
      <c r="Q23" s="29">
        <f>((F23*standards!$R$31+standards!$R$30)*F23)/D23</f>
        <v>44.617797156415271</v>
      </c>
      <c r="R23" s="34">
        <f>((I23*standards!$S$31+standards!$S$30)*I23)/D23</f>
        <v>17.186099903363882</v>
      </c>
      <c r="S23" s="29">
        <f t="shared" si="2"/>
        <v>2.5961560451351797</v>
      </c>
      <c r="T23" s="30">
        <f t="shared" si="3"/>
        <v>0.11642451650149138</v>
      </c>
      <c r="U23" s="30">
        <f t="shared" si="4"/>
        <v>0.20313942751615882</v>
      </c>
    </row>
    <row r="24" spans="1:21" x14ac:dyDescent="0.2">
      <c r="A24" s="1">
        <v>24</v>
      </c>
      <c r="B24" s="1" t="s">
        <v>66</v>
      </c>
      <c r="D24" s="1">
        <v>7.0910000000000002</v>
      </c>
      <c r="E24" s="1">
        <v>-27.289000000000001</v>
      </c>
      <c r="F24" s="1">
        <v>302.346</v>
      </c>
      <c r="G24" s="1">
        <v>8102</v>
      </c>
      <c r="H24">
        <v>7.1180000000000003</v>
      </c>
      <c r="I24">
        <v>12.957000000000001</v>
      </c>
      <c r="J24">
        <v>471</v>
      </c>
      <c r="M24" s="27" t="str">
        <f t="shared" si="0"/>
        <v>LOC</v>
      </c>
      <c r="N24" s="27">
        <f t="shared" si="1"/>
        <v>0</v>
      </c>
      <c r="O24" s="28">
        <f>(E24-((G24^3*standards!$B$25+G24^2*standards!$B$26+G24*standards!$B$27+standards!$B$28)+(A24^3*standards!$C$25+standards!$C$26*A24^2+standards!$C$27*A24+standards!$C$28)))*standards!$R$27+standards!$R$26</f>
        <v>-26.600535445704626</v>
      </c>
      <c r="P24" s="28">
        <f>(H24-((J24^3*standards!$B$31+J24^2*standards!$B$32+J24*standards!$B$33+standards!$B$34)+(A24^3*standards!$C$31+standards!$C$32*A24^2+standards!$C$33*A24+standards!$C$34)))*standards!$S$27+standards!$S$26</f>
        <v>7.7147831259848214</v>
      </c>
      <c r="Q24" s="29">
        <f>((F24*standards!$R$31+standards!$R$30)*F24)/D24</f>
        <v>1.0649176910240816</v>
      </c>
      <c r="R24" s="34">
        <f>((I24*standards!$S$31+standards!$S$30)*I24)/D24</f>
        <v>0.10857971376064916</v>
      </c>
      <c r="S24" s="29">
        <f t="shared" si="2"/>
        <v>9.8077039820860445</v>
      </c>
      <c r="T24" s="30">
        <f t="shared" si="3"/>
        <v>4.8136879782769686</v>
      </c>
      <c r="U24" s="30">
        <f t="shared" si="4"/>
        <v>30.1104033970276</v>
      </c>
    </row>
    <row r="25" spans="1:21" x14ac:dyDescent="0.2">
      <c r="A25" s="1">
        <v>25</v>
      </c>
      <c r="B25" s="1" t="s">
        <v>67</v>
      </c>
      <c r="D25" s="1">
        <v>0.46500000000000002</v>
      </c>
      <c r="E25" s="1">
        <v>-28.466000000000001</v>
      </c>
      <c r="F25" s="1">
        <v>113.655</v>
      </c>
      <c r="G25" s="1">
        <v>3042</v>
      </c>
      <c r="H25">
        <v>4.1180000000000003</v>
      </c>
      <c r="I25">
        <v>4.1120000000000001</v>
      </c>
      <c r="J25">
        <v>146</v>
      </c>
      <c r="M25" s="27" t="str">
        <f t="shared" si="0"/>
        <v>HOC</v>
      </c>
      <c r="N25" s="27">
        <f t="shared" si="1"/>
        <v>0</v>
      </c>
      <c r="O25" s="28">
        <f>(E25-((G25^3*standards!$B$25+G25^2*standards!$B$26+G25*standards!$B$27+standards!$B$28)+(A25^3*standards!$C$25+standards!$C$26*A25^2+standards!$C$27*A25+standards!$C$28)))*standards!$R$27+standards!$R$26</f>
        <v>-27.936360583065564</v>
      </c>
      <c r="P25" s="28">
        <f>(H25-((J25^3*standards!$B$31+J25^2*standards!$B$32+J25*standards!$B$33+standards!$B$34)+(A25^3*standards!$C$31+standards!$C$32*A25^2+standards!$C$33*A25+standards!$C$34)))*standards!$S$27+standards!$S$26</f>
        <v>4.9999922191982735</v>
      </c>
      <c r="Q25" s="29">
        <f>((F25*standards!$R$31+standards!$R$30)*F25)/D25</f>
        <v>5.982656507576678</v>
      </c>
      <c r="R25" s="34">
        <f>((I25*standards!$S$31+standards!$S$30)*I25)/D25</f>
        <v>0.51913848058997158</v>
      </c>
      <c r="S25" s="29">
        <f t="shared" si="2"/>
        <v>11.524201597958461</v>
      </c>
      <c r="T25" s="30">
        <f t="shared" si="3"/>
        <v>0.84072978303747536</v>
      </c>
      <c r="U25" s="30">
        <f t="shared" si="4"/>
        <v>6.3698630136986303</v>
      </c>
    </row>
    <row r="26" spans="1:21" x14ac:dyDescent="0.2">
      <c r="A26" s="1">
        <v>26</v>
      </c>
      <c r="B26" s="1" t="s">
        <v>67</v>
      </c>
      <c r="D26" s="1">
        <v>0.99299999999999999</v>
      </c>
      <c r="E26" s="1">
        <v>-28.701000000000001</v>
      </c>
      <c r="F26" s="1">
        <v>235.881</v>
      </c>
      <c r="G26" s="1">
        <v>6271</v>
      </c>
      <c r="H26">
        <v>4.2409999999999997</v>
      </c>
      <c r="I26">
        <v>8.5389999999999997</v>
      </c>
      <c r="J26">
        <v>305</v>
      </c>
      <c r="M26" s="27" t="str">
        <f t="shared" si="0"/>
        <v>HOC</v>
      </c>
      <c r="N26" s="27">
        <f t="shared" si="1"/>
        <v>0</v>
      </c>
      <c r="O26" s="28">
        <f>(E26-((G26^3*standards!$B$25+G26^2*standards!$B$26+G26*standards!$B$27+standards!$B$28)+(A26^3*standards!$C$25+standards!$C$26*A26^2+standards!$C$27*A26+standards!$C$28)))*standards!$R$27+standards!$R$26</f>
        <v>-28.055980848637152</v>
      </c>
      <c r="P26" s="28">
        <f>(H26-((J26^3*standards!$B$31+J26^2*standards!$B$32+J26*standards!$B$33+standards!$B$34)+(A26^3*standards!$C$31+standards!$C$32*A26^2+standards!$C$33*A26+standards!$C$34)))*standards!$S$27+standards!$S$26</f>
        <v>5.1112986463765218</v>
      </c>
      <c r="Q26" s="29">
        <f>((F26*standards!$R$31+standards!$R$30)*F26)/D26</f>
        <v>5.891110893682332</v>
      </c>
      <c r="R26" s="34">
        <f>((I26*standards!$S$31+standards!$S$30)*I26)/D26</f>
        <v>0.50790890690197521</v>
      </c>
      <c r="S26" s="29">
        <f t="shared" si="2"/>
        <v>11.598754842901972</v>
      </c>
      <c r="T26" s="30">
        <f t="shared" si="3"/>
        <v>0.8709137298676447</v>
      </c>
      <c r="U26" s="30">
        <f t="shared" si="4"/>
        <v>6.5114754098360654</v>
      </c>
    </row>
    <row r="27" spans="1:21" x14ac:dyDescent="0.2">
      <c r="A27" s="1">
        <v>27</v>
      </c>
      <c r="B27" s="1" t="s">
        <v>67</v>
      </c>
      <c r="D27" s="1">
        <v>2.4020000000000001</v>
      </c>
      <c r="E27" s="1">
        <v>-28.777999999999999</v>
      </c>
      <c r="F27" s="1">
        <v>556.05700000000002</v>
      </c>
      <c r="G27" s="1">
        <v>14693</v>
      </c>
      <c r="H27" s="1">
        <v>4.5069999999999997</v>
      </c>
      <c r="I27" s="1">
        <v>20.315999999999999</v>
      </c>
      <c r="J27" s="1">
        <v>734</v>
      </c>
      <c r="M27" s="27" t="str">
        <f t="shared" si="0"/>
        <v>HOC</v>
      </c>
      <c r="N27" s="27">
        <f t="shared" si="1"/>
        <v>0</v>
      </c>
      <c r="O27" s="28">
        <f>(E27-((G27^3*standards!$B$25+G27^2*standards!$B$26+G27*standards!$B$27+standards!$B$28)+(A27^3*standards!$C$25+standards!$C$26*A27^2+standards!$C$27*A27+standards!$C$28)))*standards!$R$27+standards!$R$26</f>
        <v>-27.912113001861965</v>
      </c>
      <c r="P27" s="28">
        <f>(H27-((J27^3*standards!$B$31+J27^2*standards!$B$32+J27*standards!$B$33+standards!$B$34)+(A27^3*standards!$C$31+standards!$C$32*A27^2+standards!$C$33*A27+standards!$C$34)))*standards!$S$27+standards!$S$26</f>
        <v>5.3520101067782617</v>
      </c>
      <c r="Q27" s="29">
        <f>((F27*standards!$R$31+standards!$R$30)*F27)/D27</f>
        <v>5.9370873547163079</v>
      </c>
      <c r="R27" s="34">
        <f>((I27*standards!$S$31+standards!$S$30)*I27)/D27</f>
        <v>0.50763577506665647</v>
      </c>
      <c r="S27" s="29">
        <f t="shared" si="2"/>
        <v>11.695565297652086</v>
      </c>
      <c r="T27" s="30">
        <f t="shared" si="3"/>
        <v>0.89913564282311309</v>
      </c>
      <c r="U27" s="30">
        <f t="shared" si="4"/>
        <v>6.5449591280653951</v>
      </c>
    </row>
    <row r="28" spans="1:21" x14ac:dyDescent="0.2">
      <c r="A28" s="1">
        <v>28</v>
      </c>
      <c r="B28" s="1" t="s">
        <v>67</v>
      </c>
      <c r="D28" s="1">
        <v>4.0529999999999999</v>
      </c>
      <c r="E28" s="1">
        <v>-28.952000000000002</v>
      </c>
      <c r="F28" s="1">
        <v>901.79899999999998</v>
      </c>
      <c r="G28" s="1">
        <v>23699</v>
      </c>
      <c r="H28" s="1">
        <v>3.411</v>
      </c>
      <c r="I28" s="1">
        <v>32.811999999999998</v>
      </c>
      <c r="J28" s="1">
        <v>1196</v>
      </c>
      <c r="M28" s="27" t="str">
        <f t="shared" si="0"/>
        <v>HOC</v>
      </c>
      <c r="N28" s="27">
        <f t="shared" si="1"/>
        <v>0</v>
      </c>
      <c r="O28" s="28">
        <f>(E28-((G28^3*standards!$B$25+G28^2*standards!$B$26+G28*standards!$B$27+standards!$B$28)+(A28^3*standards!$C$25+standards!$C$26*A28^2+standards!$C$27*A28+standards!$C$28)))*standards!$R$27+standards!$R$26</f>
        <v>-27.954087192698907</v>
      </c>
      <c r="P28" s="28">
        <f>(H28-((J28^3*standards!$B$31+J28^2*standards!$B$32+J28*standards!$B$33+standards!$B$34)+(A28^3*standards!$C$31+standards!$C$32*A28^2+standards!$C$33*A28+standards!$C$34)))*standards!$S$27+standards!$S$26</f>
        <v>4.3602064954989093</v>
      </c>
      <c r="Q28" s="29">
        <f>((F28*standards!$R$31+standards!$R$30)*F28)/D28</f>
        <v>5.9097230914911405</v>
      </c>
      <c r="R28" s="34">
        <f>((I28*standards!$S$31+standards!$S$30)*I28)/D28</f>
        <v>0.49409106232546829</v>
      </c>
      <c r="S28" s="29">
        <f t="shared" si="2"/>
        <v>11.960797395679828</v>
      </c>
      <c r="T28" s="30">
        <f t="shared" si="3"/>
        <v>0.94060930840963752</v>
      </c>
      <c r="U28" s="30">
        <f t="shared" si="4"/>
        <v>6.7775919732441468</v>
      </c>
    </row>
    <row r="29" spans="1:21" x14ac:dyDescent="0.2">
      <c r="A29" s="1">
        <v>29</v>
      </c>
      <c r="B29" s="1" t="s">
        <v>84</v>
      </c>
      <c r="C29" t="s">
        <v>69</v>
      </c>
      <c r="D29" s="1">
        <v>0.61599999999999999</v>
      </c>
      <c r="E29" s="1">
        <v>-27.303999999999998</v>
      </c>
      <c r="F29" s="1">
        <v>1116.4179999999999</v>
      </c>
      <c r="G29" s="1">
        <v>29424</v>
      </c>
      <c r="H29" s="1">
        <v>-0.42599999999999999</v>
      </c>
      <c r="I29" s="1">
        <v>13.101000000000001</v>
      </c>
      <c r="J29" s="1">
        <v>474</v>
      </c>
      <c r="M29" s="27" t="str">
        <f t="shared" si="0"/>
        <v>66</v>
      </c>
      <c r="N29" s="27" t="str">
        <f t="shared" si="1"/>
        <v>TOC</v>
      </c>
      <c r="O29" s="28">
        <f>(E29-((G29^3*standards!$B$25+G29^2*standards!$B$26+G29*standards!$B$27+standards!$B$28)+(A29^3*standards!$C$25+standards!$C$26*A29^2+standards!$C$27*A29+standards!$C$28)))*standards!$R$27+standards!$R$26</f>
        <v>-26.244979046984604</v>
      </c>
      <c r="P29" s="28">
        <f>(H29-((J29^3*standards!$B$31+J29^2*standards!$B$32+J29*standards!$B$33+standards!$B$34)+(A29^3*standards!$C$31+standards!$C$32*A29^2+standards!$C$33*A29+standards!$C$34)))*standards!$S$27+standards!$S$26</f>
        <v>0.88798892571891463</v>
      </c>
      <c r="Q29" s="29">
        <f>((F29*standards!$R$31+standards!$R$30)*F29)/D29</f>
        <v>49.165302158062858</v>
      </c>
      <c r="R29" s="34">
        <f>((I29*standards!$S$31+standards!$S$30)*I29)/D29</f>
        <v>1.2640396663831335</v>
      </c>
      <c r="S29" s="29">
        <f t="shared" si="2"/>
        <v>38.895379208108437</v>
      </c>
      <c r="T29" s="30">
        <f t="shared" si="3"/>
        <v>0.11514410005437738</v>
      </c>
      <c r="U29" s="30">
        <f t="shared" si="4"/>
        <v>2.5991561181434597</v>
      </c>
    </row>
    <row r="30" spans="1:21" x14ac:dyDescent="0.2">
      <c r="A30" s="1">
        <v>30</v>
      </c>
      <c r="B30" s="1" t="s">
        <v>85</v>
      </c>
      <c r="C30" t="s">
        <v>69</v>
      </c>
      <c r="D30" s="1">
        <v>0.47899999999999998</v>
      </c>
      <c r="E30" s="1">
        <v>-26.841999999999999</v>
      </c>
      <c r="F30" s="1">
        <v>552.17999999999995</v>
      </c>
      <c r="G30" s="1">
        <v>14724</v>
      </c>
      <c r="H30" s="1">
        <v>0.92200000000000004</v>
      </c>
      <c r="I30" s="1">
        <v>7.601</v>
      </c>
      <c r="J30" s="1">
        <v>272</v>
      </c>
      <c r="M30" s="27" t="str">
        <f t="shared" si="0"/>
        <v>59</v>
      </c>
      <c r="N30" s="27" t="str">
        <f t="shared" si="1"/>
        <v>TOC</v>
      </c>
      <c r="O30" s="28">
        <f>(E30-((G30^3*standards!$B$25+G30^2*standards!$B$26+G30*standards!$B$27+standards!$B$28)+(A30^3*standards!$C$25+standards!$C$26*A30^2+standards!$C$27*A30+standards!$C$28)))*standards!$R$27+standards!$R$26</f>
        <v>-25.900900064864459</v>
      </c>
      <c r="P30" s="28">
        <f>(H30-((J30^3*standards!$B$31+J30^2*standards!$B$32+J30*standards!$B$33+standards!$B$34)+(A30^3*standards!$C$31+standards!$C$32*A30^2+standards!$C$33*A30+standards!$C$34)))*standards!$S$27+standards!$S$26</f>
        <v>2.107834973168337</v>
      </c>
      <c r="Q30" s="29">
        <f>((F30*standards!$R$31+standards!$R$30)*F30)/D30</f>
        <v>29.552805148780728</v>
      </c>
      <c r="R30" s="34">
        <f>((I30*standards!$S$31+standards!$S$30)*I30)/D30</f>
        <v>0.93606110611869475</v>
      </c>
      <c r="S30" s="29">
        <f t="shared" si="2"/>
        <v>31.571448653944351</v>
      </c>
      <c r="T30" s="30">
        <f t="shared" si="3"/>
        <v>0.1789255637055148</v>
      </c>
      <c r="U30" s="30">
        <f t="shared" si="4"/>
        <v>3.5220588235294117</v>
      </c>
    </row>
    <row r="31" spans="1:21" x14ac:dyDescent="0.2">
      <c r="A31" s="1">
        <v>31</v>
      </c>
      <c r="B31" s="1" t="s">
        <v>86</v>
      </c>
      <c r="C31" t="s">
        <v>69</v>
      </c>
      <c r="D31" s="1">
        <v>8.8089999999999993</v>
      </c>
      <c r="E31" s="1">
        <v>-27.79</v>
      </c>
      <c r="F31" s="1">
        <v>344.69400000000002</v>
      </c>
      <c r="G31" s="1">
        <v>9116</v>
      </c>
      <c r="H31" s="1">
        <v>1.9179999999999999</v>
      </c>
      <c r="I31" s="1">
        <v>18.274999999999999</v>
      </c>
      <c r="J31" s="1">
        <v>650</v>
      </c>
      <c r="M31" s="27" t="str">
        <f t="shared" si="0"/>
        <v>100</v>
      </c>
      <c r="N31" s="27" t="str">
        <f t="shared" si="1"/>
        <v>TOC</v>
      </c>
      <c r="O31" s="28">
        <f>(E31-((G31^3*standards!$B$25+G31^2*standards!$B$26+G31*standards!$B$27+standards!$B$28)+(A31^3*standards!$C$25+standards!$C$26*A31^2+standards!$C$27*A31+standards!$C$28)))*standards!$R$27+standards!$R$26</f>
        <v>-26.975096925471931</v>
      </c>
      <c r="P31" s="28">
        <f>(H31-((J31^3*standards!$B$31+J31^2*standards!$B$32+J31*standards!$B$33+standards!$B$34)+(A31^3*standards!$C$31+standards!$C$32*A31^2+standards!$C$33*A31+standards!$C$34)))*standards!$S$27+standards!$S$26</f>
        <v>3.0091455542214707</v>
      </c>
      <c r="Q31" s="29">
        <f>((F31*standards!$R$31+standards!$R$30)*F31)/D31</f>
        <v>0.98167687655446767</v>
      </c>
      <c r="R31" s="34">
        <f>((I31*standards!$S$31+standards!$S$30)*I31)/D31</f>
        <v>0.12417087492749242</v>
      </c>
      <c r="S31" s="29">
        <f t="shared" si="2"/>
        <v>7.9058545502534479</v>
      </c>
      <c r="T31" s="30">
        <f t="shared" si="3"/>
        <v>5.3147762176393147</v>
      </c>
      <c r="U31" s="30">
        <f t="shared" si="4"/>
        <v>27.104615384615386</v>
      </c>
    </row>
    <row r="32" spans="1:21" x14ac:dyDescent="0.2">
      <c r="A32" s="1">
        <v>32</v>
      </c>
      <c r="B32" s="1" t="s">
        <v>87</v>
      </c>
      <c r="C32" t="s">
        <v>69</v>
      </c>
      <c r="D32" s="1">
        <v>1.0049999999999999</v>
      </c>
      <c r="E32" s="1">
        <v>-28.542000000000002</v>
      </c>
      <c r="F32" s="1">
        <v>112.54</v>
      </c>
      <c r="G32" s="1">
        <v>3015</v>
      </c>
      <c r="H32" s="1">
        <v>-4.7039999999999997</v>
      </c>
      <c r="I32" s="1">
        <v>3.7810000000000001</v>
      </c>
      <c r="J32" s="1">
        <v>134</v>
      </c>
      <c r="M32" s="27" t="str">
        <f t="shared" si="0"/>
        <v>75</v>
      </c>
      <c r="N32" s="27" t="str">
        <f t="shared" si="1"/>
        <v>TOC</v>
      </c>
      <c r="O32" s="28">
        <f>(E32-((G32^3*standards!$B$25+G32^2*standards!$B$26+G32*standards!$B$27+standards!$B$28)+(A32^3*standards!$C$25+standards!$C$26*A32^2+standards!$C$27*A32+standards!$C$28)))*standards!$R$27+standards!$R$26</f>
        <v>-27.907850784770105</v>
      </c>
      <c r="P32" s="28">
        <f>(H32-((J32^3*standards!$B$31+J32^2*standards!$B$32+J32*standards!$B$33+standards!$B$34)+(A32^3*standards!$C$31+standards!$C$32*A32^2+standards!$C$33*A32+standards!$C$34)))*standards!$S$27+standards!$S$26</f>
        <v>-2.983302907358703</v>
      </c>
      <c r="Q32" s="29">
        <f>((F32*standards!$R$31+standards!$R$30)*F32)/D32</f>
        <v>2.7406086657067332</v>
      </c>
      <c r="R32" s="34">
        <f>((I32*standards!$S$31+standards!$S$30)*I32)/D32</f>
        <v>0.22076248458029196</v>
      </c>
      <c r="S32" s="29">
        <f t="shared" si="2"/>
        <v>12.4142861995647</v>
      </c>
      <c r="T32" s="30">
        <f t="shared" si="3"/>
        <v>1.833333333333333</v>
      </c>
      <c r="U32" s="30">
        <f t="shared" si="4"/>
        <v>14.999999999999998</v>
      </c>
    </row>
    <row r="33" spans="1:21" x14ac:dyDescent="0.2">
      <c r="A33" s="1">
        <v>33</v>
      </c>
      <c r="B33" s="1" t="s">
        <v>88</v>
      </c>
      <c r="C33" t="s">
        <v>69</v>
      </c>
      <c r="D33" s="1">
        <v>8.1720000000000006</v>
      </c>
      <c r="E33" s="1">
        <v>-27.8</v>
      </c>
      <c r="F33" s="1">
        <v>297.42399999999998</v>
      </c>
      <c r="G33" s="1">
        <v>7924</v>
      </c>
      <c r="H33" s="1">
        <v>0.58699999999999997</v>
      </c>
      <c r="I33" s="1">
        <v>16.36</v>
      </c>
      <c r="J33" s="1">
        <v>587</v>
      </c>
      <c r="M33" s="27" t="str">
        <f t="shared" si="0"/>
        <v>102</v>
      </c>
      <c r="N33" s="27" t="str">
        <f t="shared" si="1"/>
        <v>TOC</v>
      </c>
      <c r="O33" s="28">
        <f>(E33-((G33^3*standards!$B$25+G33^2*standards!$B$26+G33*standards!$B$27+standards!$B$28)+(A33^3*standards!$C$25+standards!$C$26*A33^2+standards!$C$27*A33+standards!$C$28)))*standards!$R$27+standards!$R$26</f>
        <v>-26.987098053959372</v>
      </c>
      <c r="P33" s="28">
        <f>(H33-((J33^3*standards!$B$31+J33^2*standards!$B$32+J33*standards!$B$33+standards!$B$34)+(A33^3*standards!$C$31+standards!$C$32*A33^2+standards!$C$33*A33+standards!$C$34)))*standards!$S$27+standards!$S$26</f>
        <v>1.8046833219105056</v>
      </c>
      <c r="Q33" s="29">
        <f>((F33*standards!$R$31+standards!$R$30)*F33)/D33</f>
        <v>0.90853289587962294</v>
      </c>
      <c r="R33" s="34">
        <f>((I33*standards!$S$31+standards!$S$30)*I33)/D33</f>
        <v>0.1195134547788234</v>
      </c>
      <c r="S33" s="29">
        <f t="shared" si="2"/>
        <v>7.6019298208807697</v>
      </c>
      <c r="T33" s="30">
        <f t="shared" si="3"/>
        <v>5.6721352852094897</v>
      </c>
      <c r="U33" s="30">
        <f t="shared" si="4"/>
        <v>27.843270868824536</v>
      </c>
    </row>
    <row r="34" spans="1:21" x14ac:dyDescent="0.2">
      <c r="A34" s="1">
        <v>34</v>
      </c>
      <c r="B34" s="1" t="s">
        <v>89</v>
      </c>
      <c r="C34" t="s">
        <v>69</v>
      </c>
      <c r="D34" s="1">
        <v>1.032</v>
      </c>
      <c r="E34" s="1">
        <v>-27.986000000000001</v>
      </c>
      <c r="F34" s="1">
        <v>98.567999999999998</v>
      </c>
      <c r="G34" s="1">
        <v>2658</v>
      </c>
      <c r="H34" s="1">
        <v>-0.92300000000000004</v>
      </c>
      <c r="I34" s="1">
        <v>3.5739999999999998</v>
      </c>
      <c r="J34" s="1">
        <v>126</v>
      </c>
      <c r="M34" s="27" t="str">
        <f t="shared" si="0"/>
        <v>77</v>
      </c>
      <c r="N34" s="27" t="str">
        <f t="shared" si="1"/>
        <v>TOC</v>
      </c>
      <c r="O34" s="28">
        <f>(E34-((G34^3*standards!$B$25+G34^2*standards!$B$26+G34*standards!$B$27+standards!$B$28)+(A34^3*standards!$C$25+standards!$C$26*A34^2+standards!$C$27*A34+standards!$C$28)))*standards!$R$27+standards!$R$26</f>
        <v>-27.325392410639804</v>
      </c>
      <c r="P34" s="28">
        <f>(H34-((J34^3*standards!$B$31+J34^2*standards!$B$32+J34*standards!$B$33+standards!$B$34)+(A34^3*standards!$C$31+standards!$C$32*A34^2+standards!$C$33*A34+standards!$C$34)))*standards!$S$27+standards!$S$26</f>
        <v>0.43823856549460982</v>
      </c>
      <c r="Q34" s="29">
        <f>((F34*standards!$R$31+standards!$R$30)*F34)/D34</f>
        <v>2.3340306291475161</v>
      </c>
      <c r="R34" s="34">
        <f>((I34*standards!$S$31+standards!$S$30)*I34)/D34</f>
        <v>0.20315867916044966</v>
      </c>
      <c r="S34" s="29">
        <f t="shared" si="2"/>
        <v>11.488707441852174</v>
      </c>
      <c r="T34" s="30">
        <f t="shared" si="3"/>
        <v>2.1354401805869077</v>
      </c>
      <c r="U34" s="30">
        <f t="shared" si="4"/>
        <v>16.38095238095238</v>
      </c>
    </row>
    <row r="35" spans="1:21" x14ac:dyDescent="0.2">
      <c r="A35" s="1">
        <v>36</v>
      </c>
      <c r="B35" s="1" t="s">
        <v>90</v>
      </c>
      <c r="C35" t="s">
        <v>69</v>
      </c>
      <c r="D35" s="1">
        <v>7.5030000000000001</v>
      </c>
      <c r="E35" s="1">
        <v>-27.849</v>
      </c>
      <c r="F35" s="1">
        <v>363.149</v>
      </c>
      <c r="G35" s="1">
        <v>9679</v>
      </c>
      <c r="H35" s="1">
        <v>2.6869999999999998</v>
      </c>
      <c r="I35" s="1">
        <v>16.21</v>
      </c>
      <c r="J35" s="1">
        <v>575</v>
      </c>
      <c r="M35" s="27" t="str">
        <f t="shared" si="0"/>
        <v>109</v>
      </c>
      <c r="N35" s="27" t="str">
        <f t="shared" si="1"/>
        <v>TOC</v>
      </c>
      <c r="O35" s="28">
        <f>(E35-((G35^3*standards!$B$25+G35^2*standards!$B$26+G35*standards!$B$27+standards!$B$28)+(A35^3*standards!$C$25+standards!$C$26*A35^2+standards!$C$27*A35+standards!$C$28)))*standards!$R$27+standards!$R$26</f>
        <v>-26.944242216832507</v>
      </c>
      <c r="P35" s="28">
        <f>(H35-((J35^3*standards!$B$31+J35^2*standards!$B$32+J35*standards!$B$33+standards!$B$34)+(A35^3*standards!$C$31+standards!$C$32*A35^2+standards!$C$33*A35+standards!$C$34)))*standards!$S$27+standards!$S$26</f>
        <v>3.7050369566610892</v>
      </c>
      <c r="Q35" s="29">
        <f>((F35*standards!$R$31+standards!$R$30)*F35)/D35</f>
        <v>1.2166201917339017</v>
      </c>
      <c r="R35" s="34">
        <f>((I35*standards!$S$31+standards!$S$30)*I35)/D35</f>
        <v>0.12895005123339415</v>
      </c>
      <c r="S35" s="29">
        <f t="shared" si="2"/>
        <v>9.4348174358757753</v>
      </c>
      <c r="T35" s="30">
        <f t="shared" si="3"/>
        <v>4.2635086269242688</v>
      </c>
      <c r="U35" s="30">
        <f t="shared" si="4"/>
        <v>26.097391304347827</v>
      </c>
    </row>
    <row r="36" spans="1:21" x14ac:dyDescent="0.2">
      <c r="A36" s="1">
        <v>37</v>
      </c>
      <c r="B36" s="1" t="s">
        <v>91</v>
      </c>
      <c r="C36" t="s">
        <v>69</v>
      </c>
      <c r="D36" s="1">
        <v>9.3940000000000001</v>
      </c>
      <c r="E36" s="1">
        <v>-25.588000000000001</v>
      </c>
      <c r="F36" s="1">
        <v>305.65499999999997</v>
      </c>
      <c r="G36" s="1">
        <v>8173</v>
      </c>
      <c r="H36" s="1">
        <v>1.6240000000000001</v>
      </c>
      <c r="I36" s="1">
        <v>19.141999999999999</v>
      </c>
      <c r="J36" s="1">
        <v>690</v>
      </c>
      <c r="M36" s="27" t="str">
        <f t="shared" si="0"/>
        <v>119</v>
      </c>
      <c r="N36" s="27" t="str">
        <f t="shared" si="1"/>
        <v>TOC</v>
      </c>
      <c r="O36" s="28">
        <f>(E36-((G36^3*standards!$B$25+G36^2*standards!$B$26+G36*standards!$B$27+standards!$B$28)+(A36^3*standards!$C$25+standards!$C$26*A36^2+standards!$C$27*A36+standards!$C$28)))*standards!$R$27+standards!$R$26</f>
        <v>-24.674225711853229</v>
      </c>
      <c r="P36" s="28">
        <f>(H36-((J36^3*standards!$B$31+J36^2*standards!$B$32+J36*standards!$B$33+standards!$B$34)+(A36^3*standards!$C$31+standards!$C$32*A36^2+standards!$C$33*A36+standards!$C$34)))*standards!$S$27+standards!$S$26</f>
        <v>2.7430960453563893</v>
      </c>
      <c r="Q36" s="29">
        <f>((F36*standards!$R$31+standards!$R$30)*F36)/D36</f>
        <v>0.81292844073069515</v>
      </c>
      <c r="R36" s="34">
        <f>((I36*standards!$S$31+standards!$S$30)*I36)/D36</f>
        <v>0.1221054501596204</v>
      </c>
      <c r="S36" s="29">
        <f t="shared" si="2"/>
        <v>6.6575934134635872</v>
      </c>
      <c r="T36" s="30">
        <f t="shared" si="3"/>
        <v>6.3216689098250338</v>
      </c>
      <c r="U36" s="30">
        <f t="shared" si="4"/>
        <v>27.228985507246378</v>
      </c>
    </row>
    <row r="37" spans="1:21" x14ac:dyDescent="0.2">
      <c r="A37" s="1">
        <v>38</v>
      </c>
      <c r="B37" s="1" t="s">
        <v>92</v>
      </c>
      <c r="C37" t="s">
        <v>69</v>
      </c>
      <c r="D37" s="1">
        <v>4.1369999999999996</v>
      </c>
      <c r="E37" s="1">
        <v>-28.001000000000001</v>
      </c>
      <c r="F37" s="1">
        <v>187.904</v>
      </c>
      <c r="G37" s="1">
        <v>4970</v>
      </c>
      <c r="H37" s="1">
        <v>-0.65400000000000003</v>
      </c>
      <c r="I37" s="1">
        <v>8.2690000000000001</v>
      </c>
      <c r="J37" s="1">
        <v>291</v>
      </c>
      <c r="M37" s="27" t="str">
        <f t="shared" si="0"/>
        <v>84</v>
      </c>
      <c r="N37" s="27" t="str">
        <f t="shared" si="1"/>
        <v>TOC</v>
      </c>
      <c r="O37" s="28">
        <f>(E37-((G37^3*standards!$B$25+G37^2*standards!$B$26+G37*standards!$B$27+standards!$B$28)+(A37^3*standards!$C$25+standards!$C$26*A37^2+standards!$C$27*A37+standards!$C$28)))*standards!$R$27+standards!$R$26</f>
        <v>-27.202966106602307</v>
      </c>
      <c r="P37" s="28">
        <f>(H37-((J37^3*standards!$B$31+J37^2*standards!$B$32+J37*standards!$B$33+standards!$B$34)+(A37^3*standards!$C$31+standards!$C$32*A37^2+standards!$C$33*A37+standards!$C$34)))*standards!$S$27+standards!$S$26</f>
        <v>0.68166481680313695</v>
      </c>
      <c r="Q37" s="29">
        <f>((F37*standards!$R$31+standards!$R$30)*F37)/D37</f>
        <v>1.1206692112170016</v>
      </c>
      <c r="R37" s="34">
        <f>((I37*standards!$S$31+standards!$S$30)*I37)/D37</f>
        <v>0.11801431194141938</v>
      </c>
      <c r="S37" s="29">
        <f t="shared" si="2"/>
        <v>9.4960449523553194</v>
      </c>
      <c r="T37" s="30">
        <f t="shared" si="3"/>
        <v>4.5781690140845059</v>
      </c>
      <c r="U37" s="30">
        <f t="shared" si="4"/>
        <v>28.432989690721648</v>
      </c>
    </row>
    <row r="38" spans="1:21" x14ac:dyDescent="0.2">
      <c r="A38" s="1">
        <v>39</v>
      </c>
      <c r="B38" s="1" t="s">
        <v>93</v>
      </c>
      <c r="C38" t="s">
        <v>69</v>
      </c>
      <c r="D38" s="1">
        <v>9.2690000000000001</v>
      </c>
      <c r="E38" s="1">
        <v>-27.119</v>
      </c>
      <c r="F38" s="1">
        <v>262.07600000000002</v>
      </c>
      <c r="G38" s="1">
        <v>6974</v>
      </c>
      <c r="H38" s="1">
        <v>0.73399999999999999</v>
      </c>
      <c r="I38" s="1">
        <v>17.745000000000001</v>
      </c>
      <c r="J38" s="1">
        <v>634</v>
      </c>
      <c r="M38" s="27" t="str">
        <f t="shared" si="0"/>
        <v>115</v>
      </c>
      <c r="N38" s="27" t="str">
        <f t="shared" si="1"/>
        <v>TOC</v>
      </c>
      <c r="O38" s="28">
        <f>(E38-((G38^3*standards!$B$25+G38^2*standards!$B$26+G38*standards!$B$27+standards!$B$28)+(A38^3*standards!$C$25+standards!$C$26*A38^2+standards!$C$27*A38+standards!$C$28)))*standards!$R$27+standards!$R$26</f>
        <v>-26.231630920054926</v>
      </c>
      <c r="P38" s="28">
        <f>(H38-((J38^3*standards!$B$31+J38^2*standards!$B$32+J38*standards!$B$33+standards!$B$34)+(A38^3*standards!$C$31+standards!$C$32*A38^2+standards!$C$33*A38+standards!$C$34)))*standards!$S$27+standards!$S$26</f>
        <v>1.9377080763430468</v>
      </c>
      <c r="Q38" s="29">
        <f>((F38*standards!$R$31+standards!$R$30)*F38)/D38</f>
        <v>0.70316740468669736</v>
      </c>
      <c r="R38" s="34">
        <f>((I38*standards!$S$31+standards!$S$30)*I38)/D38</f>
        <v>0.11450394222354814</v>
      </c>
      <c r="S38" s="29">
        <f t="shared" si="2"/>
        <v>6.1409886073083042</v>
      </c>
      <c r="T38" s="30">
        <f t="shared" si="3"/>
        <v>7.3099369085173498</v>
      </c>
      <c r="U38" s="30">
        <f t="shared" si="4"/>
        <v>29.239747634069399</v>
      </c>
    </row>
    <row r="39" spans="1:21" x14ac:dyDescent="0.2">
      <c r="A39" s="1">
        <v>40</v>
      </c>
      <c r="B39" s="1" t="s">
        <v>94</v>
      </c>
      <c r="C39" t="s">
        <v>69</v>
      </c>
      <c r="D39" s="1">
        <v>4.0620000000000003</v>
      </c>
      <c r="E39" s="1">
        <v>-28.120999999999999</v>
      </c>
      <c r="F39" s="1">
        <v>212.92500000000001</v>
      </c>
      <c r="G39" s="1">
        <v>5616</v>
      </c>
      <c r="H39" s="1">
        <v>0.23300000000000001</v>
      </c>
      <c r="I39" s="1">
        <v>10.050000000000001</v>
      </c>
      <c r="J39" s="1">
        <v>353</v>
      </c>
      <c r="M39" s="27" t="str">
        <f t="shared" si="0"/>
        <v>88</v>
      </c>
      <c r="N39" s="27" t="str">
        <f t="shared" si="1"/>
        <v>TOC</v>
      </c>
      <c r="O39" s="28">
        <f>(E39-((G39^3*standards!$B$25+G39^2*standards!$B$26+G39*standards!$B$27+standards!$B$28)+(A39^3*standards!$C$25+standards!$C$26*A39^2+standards!$C$27*A39+standards!$C$28)))*standards!$R$27+standards!$R$26</f>
        <v>-27.274104580235328</v>
      </c>
      <c r="P39" s="28">
        <f>(H39-((J39^3*standards!$B$31+J39^2*standards!$B$32+J39*standards!$B$33+standards!$B$34)+(A39^3*standards!$C$31+standards!$C$32*A39^2+standards!$C$33*A39+standards!$C$34)))*standards!$S$27+standards!$S$26</f>
        <v>1.4843379949096931</v>
      </c>
      <c r="Q39" s="29">
        <f>((F39*standards!$R$31+standards!$R$30)*F39)/D39</f>
        <v>1.2968098158243342</v>
      </c>
      <c r="R39" s="34">
        <f>((I39*standards!$S$31+standards!$S$30)*I39)/D39</f>
        <v>0.14643783763592022</v>
      </c>
      <c r="S39" s="29">
        <f t="shared" si="2"/>
        <v>8.8557017555019915</v>
      </c>
      <c r="T39" s="30">
        <f t="shared" si="3"/>
        <v>3.9780982905982905</v>
      </c>
      <c r="U39" s="30">
        <f t="shared" si="4"/>
        <v>23.014164305949009</v>
      </c>
    </row>
    <row r="40" spans="1:21" x14ac:dyDescent="0.2">
      <c r="A40" s="1">
        <v>41</v>
      </c>
      <c r="B40" s="1" t="s">
        <v>95</v>
      </c>
      <c r="C40" t="s">
        <v>69</v>
      </c>
      <c r="D40" s="1">
        <v>8.1219999999999999</v>
      </c>
      <c r="E40" s="1">
        <v>-26.594000000000001</v>
      </c>
      <c r="F40" s="1">
        <v>385.029</v>
      </c>
      <c r="G40" s="1">
        <v>10103</v>
      </c>
      <c r="H40" s="1">
        <v>0.71299999999999997</v>
      </c>
      <c r="I40" s="1">
        <v>17.675999999999998</v>
      </c>
      <c r="J40" s="1">
        <v>629</v>
      </c>
      <c r="M40" s="27" t="str">
        <f t="shared" si="0"/>
        <v>90</v>
      </c>
      <c r="N40" s="27" t="str">
        <f t="shared" si="1"/>
        <v>TOC</v>
      </c>
      <c r="O40" s="28">
        <f>(E40-((G40^3*standards!$B$25+G40^2*standards!$B$26+G40*standards!$B$27+standards!$B$28)+(A40^3*standards!$C$25+standards!$C$26*A40^2+standards!$C$27*A40+standards!$C$28)))*standards!$R$27+standards!$R$26</f>
        <v>-25.583619137748872</v>
      </c>
      <c r="P40" s="28">
        <f>(H40-((J40^3*standards!$B$31+J40^2*standards!$B$32+J40*standards!$B$33+standards!$B$34)+(A40^3*standards!$C$31+standards!$C$32*A40^2+standards!$C$33*A40+standards!$C$34)))*standards!$S$27+standards!$S$26</f>
        <v>1.9187045399955407</v>
      </c>
      <c r="Q40" s="29">
        <f>((F40*standards!$R$31+standards!$R$30)*F40)/D40</f>
        <v>1.1943557118554395</v>
      </c>
      <c r="R40" s="34">
        <f>((I40*standards!$S$31+standards!$S$30)*I40)/D40</f>
        <v>0.13015406476369409</v>
      </c>
      <c r="S40" s="29">
        <f t="shared" si="2"/>
        <v>9.1764764629049047</v>
      </c>
      <c r="T40" s="30">
        <f t="shared" si="3"/>
        <v>4.4215579530832425</v>
      </c>
      <c r="U40" s="30">
        <f t="shared" si="4"/>
        <v>25.825119236883943</v>
      </c>
    </row>
    <row r="41" spans="1:21" x14ac:dyDescent="0.2">
      <c r="A41" s="1">
        <v>42</v>
      </c>
      <c r="B41" s="1" t="s">
        <v>96</v>
      </c>
      <c r="C41" t="s">
        <v>69</v>
      </c>
      <c r="D41" s="1">
        <v>10.462</v>
      </c>
      <c r="E41" s="1">
        <v>-28.047000000000001</v>
      </c>
      <c r="F41" s="1">
        <v>457.55900000000003</v>
      </c>
      <c r="G41" s="1">
        <v>12182</v>
      </c>
      <c r="H41" s="1">
        <v>-0.30599999999999999</v>
      </c>
      <c r="I41" s="1">
        <v>21.94</v>
      </c>
      <c r="J41" s="1">
        <v>788</v>
      </c>
      <c r="M41" s="27" t="str">
        <f t="shared" si="0"/>
        <v>92</v>
      </c>
      <c r="N41" s="27" t="str">
        <f t="shared" si="1"/>
        <v>TOC</v>
      </c>
      <c r="O41" s="28">
        <f>(E41-((G41^3*standards!$B$25+G41^2*standards!$B$26+G41*standards!$B$27+standards!$B$28)+(A41^3*standards!$C$25+standards!$C$26*A41^2+standards!$C$27*A41+standards!$C$28)))*standards!$R$27+standards!$R$26</f>
        <v>-26.993853343494905</v>
      </c>
      <c r="P41" s="28">
        <f>(H41-((J41^3*standards!$B$31+J41^2*standards!$B$32+J41*standards!$B$33+standards!$B$34)+(A41^3*standards!$C$31+standards!$C$32*A41^2+standards!$C$33*A41+standards!$C$34)))*standards!$S$27+standards!$S$26</f>
        <v>0.9965805619903767</v>
      </c>
      <c r="Q41" s="29">
        <f>((F41*standards!$R$31+standards!$R$30)*F41)/D41</f>
        <v>1.1102684039027744</v>
      </c>
      <c r="R41" s="34">
        <f>((I41*standards!$S$31+standards!$S$30)*I41)/D41</f>
        <v>0.12614203985905759</v>
      </c>
      <c r="S41" s="29">
        <f t="shared" si="2"/>
        <v>8.801731802841557</v>
      </c>
      <c r="T41" s="30">
        <f t="shared" si="3"/>
        <v>4.7234444262025939</v>
      </c>
      <c r="U41" s="30">
        <f t="shared" si="4"/>
        <v>26.553299492385786</v>
      </c>
    </row>
    <row r="42" spans="1:21" x14ac:dyDescent="0.2">
      <c r="A42" s="1">
        <v>43</v>
      </c>
      <c r="B42" s="1" t="s">
        <v>97</v>
      </c>
      <c r="C42" t="s">
        <v>69</v>
      </c>
      <c r="D42" s="1">
        <v>9.9629999999999992</v>
      </c>
      <c r="E42" s="1">
        <v>-27.826000000000001</v>
      </c>
      <c r="F42" s="1">
        <v>400.166</v>
      </c>
      <c r="G42" s="1">
        <v>10665</v>
      </c>
      <c r="H42" s="1">
        <v>0.16600000000000001</v>
      </c>
      <c r="I42" s="1">
        <v>20.972000000000001</v>
      </c>
      <c r="J42" s="1">
        <v>753</v>
      </c>
      <c r="M42" s="27" t="str">
        <f t="shared" si="0"/>
        <v>93</v>
      </c>
      <c r="N42" s="27" t="str">
        <f t="shared" si="1"/>
        <v>TOC</v>
      </c>
      <c r="O42" s="28">
        <f>(E42-((G42^3*standards!$B$25+G42^2*standards!$B$26+G42*standards!$B$27+standards!$B$28)+(A42^3*standards!$C$25+standards!$C$26*A42^2+standards!$C$27*A42+standards!$C$28)))*standards!$R$27+standards!$R$26</f>
        <v>-26.78972164831767</v>
      </c>
      <c r="P42" s="28">
        <f>(H42-((J42^3*standards!$B$31+J42^2*standards!$B$32+J42*standards!$B$33+standards!$B$34)+(A42^3*standards!$C$31+standards!$C$32*A42^2+standards!$C$33*A42+standards!$C$34)))*standards!$S$27+standards!$S$26</f>
        <v>1.4237076646581268</v>
      </c>
      <c r="Q42" s="29">
        <f>((F42*standards!$R$31+standards!$R$30)*F42)/D42</f>
        <v>1.013543678791532</v>
      </c>
      <c r="R42" s="34">
        <f>((I42*standards!$S$31+standards!$S$30)*I42)/D42</f>
        <v>0.1264506615195129</v>
      </c>
      <c r="S42" s="29">
        <f t="shared" si="2"/>
        <v>8.0153291933164752</v>
      </c>
      <c r="T42" s="30">
        <f t="shared" si="3"/>
        <v>5.1379746835443028</v>
      </c>
      <c r="U42" s="30">
        <f t="shared" si="4"/>
        <v>26.46215139442231</v>
      </c>
    </row>
    <row r="43" spans="1:21" x14ac:dyDescent="0.2">
      <c r="A43" s="1">
        <v>44</v>
      </c>
      <c r="B43" s="1" t="s">
        <v>98</v>
      </c>
      <c r="C43" t="s">
        <v>69</v>
      </c>
      <c r="D43" s="1">
        <v>8.9459999999999997</v>
      </c>
      <c r="E43" s="1">
        <v>-27.876999999999999</v>
      </c>
      <c r="F43" s="1">
        <v>354.42399999999998</v>
      </c>
      <c r="G43" s="1">
        <v>9294</v>
      </c>
      <c r="H43" s="1">
        <v>0.17499999999999999</v>
      </c>
      <c r="I43" s="1">
        <v>17.396999999999998</v>
      </c>
      <c r="J43" s="1">
        <v>620</v>
      </c>
      <c r="M43" s="27" t="str">
        <f t="shared" si="0"/>
        <v>96</v>
      </c>
      <c r="N43" s="27" t="str">
        <f t="shared" si="1"/>
        <v>TOC</v>
      </c>
      <c r="O43" s="28">
        <f>(E43-((G43^3*standards!$B$25+G43^2*standards!$B$26+G43*standards!$B$27+standards!$B$28)+(A43^3*standards!$C$25+standards!$C$26*A43^2+standards!$C$27*A43+standards!$C$28)))*standards!$R$27+standards!$R$26</f>
        <v>-26.860816725086828</v>
      </c>
      <c r="P43" s="28">
        <f>(H43-((J43^3*standards!$B$31+J43^2*standards!$B$32+J43*standards!$B$33+standards!$B$34)+(A43^3*standards!$C$31+standards!$C$32*A43^2+standards!$C$33*A43+standards!$C$34)))*standards!$S$27+standards!$S$26</f>
        <v>1.4318520373784864</v>
      </c>
      <c r="Q43" s="29">
        <f>((F43*standards!$R$31+standards!$R$30)*F43)/D43</f>
        <v>0.99494869203356895</v>
      </c>
      <c r="R43" s="34">
        <f>((I43*standards!$S$31+standards!$S$30)*I43)/D43</f>
        <v>0.11625671208748807</v>
      </c>
      <c r="S43" s="29">
        <f t="shared" si="2"/>
        <v>8.5582042891839922</v>
      </c>
      <c r="T43" s="30">
        <f t="shared" si="3"/>
        <v>5.29406068431246</v>
      </c>
      <c r="U43" s="30">
        <f t="shared" si="4"/>
        <v>28.858064516129033</v>
      </c>
    </row>
    <row r="44" spans="1:21" x14ac:dyDescent="0.2">
      <c r="A44">
        <v>45</v>
      </c>
      <c r="B44" t="s">
        <v>99</v>
      </c>
      <c r="C44" t="s">
        <v>69</v>
      </c>
      <c r="D44">
        <v>8.923</v>
      </c>
      <c r="E44">
        <v>-28.135000000000002</v>
      </c>
      <c r="F44">
        <v>328.46699999999998</v>
      </c>
      <c r="G44">
        <v>8793</v>
      </c>
      <c r="H44">
        <v>-2.5999999999999999E-2</v>
      </c>
      <c r="I44">
        <v>16.434000000000001</v>
      </c>
      <c r="J44">
        <v>589</v>
      </c>
      <c r="M44" s="27" t="str">
        <f t="shared" ref="M44:M48" si="5">B44</f>
        <v>97</v>
      </c>
      <c r="N44" s="27" t="str">
        <f t="shared" ref="N44:N48" si="6">C44</f>
        <v>TOC</v>
      </c>
      <c r="O44" s="28">
        <f>(E44-((G44^3*standards!$B$25+G44^2*standards!$B$26+G44*standards!$B$27+standards!$B$28)+(A44^3*standards!$C$25+standards!$C$26*A44^2+standards!$C$27*A44+standards!$C$28)))*standards!$R$27+standards!$R$26</f>
        <v>-27.120686116816422</v>
      </c>
      <c r="P44" s="28">
        <f>(H44-((J44^3*standards!$B$31+J44^2*standards!$B$32+J44*standards!$B$33+standards!$B$34)+(A44^3*standards!$C$31+standards!$C$32*A44^2+standards!$C$33*A44+standards!$C$34)))*standards!$S$27+standards!$S$26</f>
        <v>1.2499610466237878</v>
      </c>
      <c r="Q44" s="29">
        <f>((F44*standards!$R$31+standards!$R$30)*F44)/D44</f>
        <v>0.92193250648443992</v>
      </c>
      <c r="R44" s="34">
        <f>((I44*standards!$S$31+standards!$S$30)*I44)/D44</f>
        <v>0.10996079153207505</v>
      </c>
      <c r="S44" s="29">
        <f t="shared" ref="S44:S48" si="7">Q44/R44</f>
        <v>8.38419307135959</v>
      </c>
      <c r="T44" s="30">
        <f t="shared" ref="T44:T48" si="8">($V$2*D44)/G44</f>
        <v>5.5813146821335149</v>
      </c>
      <c r="U44" s="30">
        <f t="shared" ref="U44:U48" si="9">($V$3*D44)/J44</f>
        <v>30.298811544991512</v>
      </c>
    </row>
    <row r="45" spans="1:21" x14ac:dyDescent="0.2">
      <c r="A45">
        <v>46</v>
      </c>
      <c r="B45" t="s">
        <v>100</v>
      </c>
      <c r="C45" t="s">
        <v>69</v>
      </c>
      <c r="D45">
        <v>10.148</v>
      </c>
      <c r="E45">
        <v>-28.417999999999999</v>
      </c>
      <c r="F45">
        <v>497.69499999999999</v>
      </c>
      <c r="G45">
        <v>13193</v>
      </c>
      <c r="H45">
        <v>0.499</v>
      </c>
      <c r="I45">
        <v>21.082999999999998</v>
      </c>
      <c r="J45">
        <v>758</v>
      </c>
      <c r="M45" s="27" t="str">
        <f t="shared" si="5"/>
        <v>99</v>
      </c>
      <c r="N45" s="27" t="str">
        <f t="shared" si="6"/>
        <v>TOC</v>
      </c>
      <c r="O45" s="28">
        <f>(E45-((G45^3*standards!$B$25+G45^2*standards!$B$26+G45*standards!$B$27+standards!$B$28)+(A45^3*standards!$C$25+standards!$C$26*A45^2+standards!$C$27*A45+standards!$C$28)))*standards!$R$27+standards!$R$26</f>
        <v>-27.287569884029903</v>
      </c>
      <c r="P45" s="28">
        <f>(H45-((J45^3*standards!$B$31+J45^2*standards!$B$32+J45*standards!$B$33+standards!$B$34)+(A45^3*standards!$C$31+standards!$C$32*A45^2+standards!$C$33*A45+standards!$C$34)))*standards!$S$27+standards!$S$26</f>
        <v>1.7250494553114337</v>
      </c>
      <c r="Q45" s="29">
        <f>((F45*standards!$R$31+standards!$R$30)*F45)/D45</f>
        <v>1.2502292041472447</v>
      </c>
      <c r="R45" s="34">
        <f>((I45*standards!$S$31+standards!$S$30)*I45)/D45</f>
        <v>0.12482119648948144</v>
      </c>
      <c r="S45" s="29">
        <f t="shared" si="7"/>
        <v>10.016161031212357</v>
      </c>
      <c r="T45" s="30">
        <f t="shared" si="8"/>
        <v>4.2305768210414616</v>
      </c>
      <c r="U45" s="30">
        <f t="shared" si="9"/>
        <v>26.775725593667545</v>
      </c>
    </row>
    <row r="46" spans="1:21" x14ac:dyDescent="0.2">
      <c r="A46">
        <v>47</v>
      </c>
      <c r="B46" t="s">
        <v>65</v>
      </c>
      <c r="D46">
        <v>0.20499999999999999</v>
      </c>
      <c r="E46">
        <v>-12.993</v>
      </c>
      <c r="F46">
        <v>373.92200000000003</v>
      </c>
      <c r="G46">
        <v>10083</v>
      </c>
      <c r="H46">
        <v>10.669</v>
      </c>
      <c r="I46">
        <v>56.249000000000002</v>
      </c>
      <c r="J46">
        <v>2053</v>
      </c>
      <c r="M46" s="27" t="str">
        <f t="shared" si="5"/>
        <v>Taipan</v>
      </c>
      <c r="N46" s="27">
        <f t="shared" si="6"/>
        <v>0</v>
      </c>
      <c r="O46" s="28">
        <f>(E46-((G46^3*standards!$B$25+G46^2*standards!$B$26+G46*standards!$B$27+standards!$B$28)+(A46^3*standards!$C$25+standards!$C$26*A46^2+standards!$C$27*A46+standards!$C$28)))*standards!$R$27+standards!$R$26</f>
        <v>-11.688400795880119</v>
      </c>
      <c r="P46" s="28">
        <f>(H46-((J46^3*standards!$B$31+J46^2*standards!$B$32+J46*standards!$B$33+standards!$B$34)+(A46^3*standards!$C$31+standards!$C$32*A46^2+standards!$C$33*A46+standards!$C$34)))*standards!$S$27+standards!$S$26</f>
        <v>10.928190629317832</v>
      </c>
      <c r="Q46" s="29">
        <f>((F46*standards!$R$31+standards!$R$30)*F46)/D46</f>
        <v>45.901195788056093</v>
      </c>
      <c r="R46" s="34">
        <f>((I46*standards!$S$31+standards!$S$30)*I46)/D46</f>
        <v>17.266984239865284</v>
      </c>
      <c r="S46" s="29">
        <f t="shared" si="7"/>
        <v>2.6583215198680352</v>
      </c>
      <c r="T46" s="30">
        <f t="shared" si="8"/>
        <v>0.11182187840920361</v>
      </c>
      <c r="U46" s="30">
        <f t="shared" si="9"/>
        <v>0.19970774476376035</v>
      </c>
    </row>
    <row r="47" spans="1:21" x14ac:dyDescent="0.2">
      <c r="A47">
        <v>48</v>
      </c>
      <c r="B47" t="s">
        <v>66</v>
      </c>
      <c r="D47">
        <v>7.04</v>
      </c>
      <c r="E47">
        <v>-27.43</v>
      </c>
      <c r="F47">
        <v>291.923</v>
      </c>
      <c r="G47">
        <v>7863</v>
      </c>
      <c r="H47">
        <v>6.7240000000000002</v>
      </c>
      <c r="I47">
        <v>12.739000000000001</v>
      </c>
      <c r="J47">
        <v>459</v>
      </c>
      <c r="M47" s="27" t="str">
        <f t="shared" si="5"/>
        <v>LOC</v>
      </c>
      <c r="N47" s="27">
        <f t="shared" si="6"/>
        <v>0</v>
      </c>
      <c r="O47" s="28">
        <f>(E47-((G47^3*standards!$B$25+G47^2*standards!$B$26+G47*standards!$B$27+standards!$B$28)+(A47^3*standards!$C$25+standards!$C$26*A47^2+standards!$C$27*A47+standards!$C$28)))*standards!$R$27+standards!$R$26</f>
        <v>-26.384903592154195</v>
      </c>
      <c r="P47" s="28">
        <f>(H47-((J47^3*standards!$B$31+J47^2*standards!$B$32+J47*standards!$B$33+standards!$B$34)+(A47^3*standards!$C$31+standards!$C$32*A47^2+standards!$C$33*A47+standards!$C$34)))*standards!$S$27+standards!$S$26</f>
        <v>7.3582405868935217</v>
      </c>
      <c r="Q47" s="29">
        <f>((F47*standards!$R$31+standards!$R$30)*F47)/D47</f>
        <v>1.0345121693300454</v>
      </c>
      <c r="R47" s="34">
        <f>((I47*standards!$S$31+standards!$S$30)*I47)/D47</f>
        <v>0.10749426833565782</v>
      </c>
      <c r="S47" s="29">
        <f t="shared" si="7"/>
        <v>9.6238821413223086</v>
      </c>
      <c r="T47" s="30">
        <f t="shared" si="8"/>
        <v>4.9243291364619104</v>
      </c>
      <c r="U47" s="30">
        <f t="shared" si="9"/>
        <v>30.675381263616558</v>
      </c>
    </row>
    <row r="48" spans="1:21" x14ac:dyDescent="0.2">
      <c r="A48">
        <v>49</v>
      </c>
      <c r="B48" t="s">
        <v>67</v>
      </c>
      <c r="D48">
        <v>1.387</v>
      </c>
      <c r="E48">
        <v>-28.896000000000001</v>
      </c>
      <c r="F48">
        <v>314.60000000000002</v>
      </c>
      <c r="G48">
        <v>8337</v>
      </c>
      <c r="H48">
        <v>5.1829999999999998</v>
      </c>
      <c r="I48">
        <v>11.436</v>
      </c>
      <c r="J48">
        <v>407</v>
      </c>
      <c r="M48" s="27" t="str">
        <f t="shared" si="5"/>
        <v>HOC</v>
      </c>
      <c r="N48" s="27">
        <f t="shared" si="6"/>
        <v>0</v>
      </c>
      <c r="O48" s="28">
        <f>(E48-((G48^3*standards!$B$25+G48^2*standards!$B$26+G48*standards!$B$27+standards!$B$28)+(A48^3*standards!$C$25+standards!$C$26*A48^2+standards!$C$27*A48+standards!$C$28)))*standards!$R$27+standards!$R$26</f>
        <v>-27.844497913524865</v>
      </c>
      <c r="P48" s="28">
        <f>(H48-((J48^3*standards!$B$31+J48^2*standards!$B$32+J48*standards!$B$33+standards!$B$34)+(A48^3*standards!$C$31+standards!$C$32*A48^2+standards!$C$33*A48+standards!$C$34)))*standards!$S$27+standards!$S$26</f>
        <v>5.9637429911074973</v>
      </c>
      <c r="Q48" s="29">
        <f>((F48*standards!$R$31+standards!$R$30)*F48)/D48</f>
        <v>5.6723685291829948</v>
      </c>
      <c r="R48" s="34">
        <f>((I48*standards!$S$31+standards!$S$30)*I48)/D48</f>
        <v>0.48893140959676867</v>
      </c>
      <c r="S48" s="29">
        <f t="shared" si="7"/>
        <v>11.601562955141517</v>
      </c>
      <c r="T48" s="30">
        <f t="shared" si="8"/>
        <v>0.91501739234736712</v>
      </c>
      <c r="U48" s="30">
        <f t="shared" si="9"/>
        <v>6.815724815724816</v>
      </c>
    </row>
  </sheetData>
  <sortState xmlns:xlrd2="http://schemas.microsoft.com/office/spreadsheetml/2017/richdata2" ref="A51:I92">
    <sortCondition ref="A50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standards</vt:lpstr>
      <vt:lpstr>data reduction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2019-04-13T12:15:17Z</dcterms:modified>
</cp:coreProperties>
</file>