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amere/Thesis sections/PhD-thesis-VC/experiments/exp_EA/data/"/>
    </mc:Choice>
  </mc:AlternateContent>
  <xr:revisionPtr revIDLastSave="0" documentId="8_{CB2969CC-9130-42D8-B9CA-5266FD0035BE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raw" sheetId="3" r:id="rId1"/>
    <sheet name="standards" sheetId="1" r:id="rId2"/>
    <sheet name="data reduction" sheetId="2" r:id="rId3"/>
    <sheet name="Standard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12" i="1"/>
  <c r="M13" i="1"/>
  <c r="M14" i="1"/>
  <c r="M18" i="1"/>
  <c r="M19" i="1"/>
  <c r="L3" i="1"/>
  <c r="L4" i="1"/>
  <c r="L5" i="1"/>
  <c r="L6" i="1"/>
  <c r="L7" i="1"/>
  <c r="L12" i="1"/>
  <c r="L13" i="1"/>
  <c r="L14" i="1"/>
  <c r="L18" i="1"/>
  <c r="L19" i="1"/>
  <c r="T2" i="2"/>
  <c r="R3" i="1"/>
  <c r="S3" i="1"/>
  <c r="N31" i="1"/>
  <c r="E33" i="1"/>
  <c r="E32" i="1"/>
  <c r="E31" i="1"/>
  <c r="E27" i="1"/>
  <c r="E26" i="1"/>
  <c r="E25" i="1"/>
  <c r="N27" i="1"/>
  <c r="N25" i="1"/>
  <c r="N33" i="1"/>
  <c r="N32" i="1"/>
  <c r="N26" i="1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C55" i="1"/>
  <c r="C56" i="1"/>
  <c r="C57" i="1"/>
  <c r="C58" i="1"/>
  <c r="C59" i="1"/>
  <c r="C60" i="1"/>
  <c r="E60" i="1" s="1"/>
  <c r="C61" i="1"/>
  <c r="B55" i="1"/>
  <c r="E55" i="1" s="1"/>
  <c r="B56" i="1"/>
  <c r="E56" i="1" s="1"/>
  <c r="B57" i="1"/>
  <c r="B58" i="1"/>
  <c r="B59" i="1"/>
  <c r="E59" i="1" s="1"/>
  <c r="B60" i="1"/>
  <c r="C40" i="1"/>
  <c r="C41" i="1"/>
  <c r="C42" i="1"/>
  <c r="C43" i="1"/>
  <c r="C44" i="1"/>
  <c r="E44" i="1" s="1"/>
  <c r="B40" i="1"/>
  <c r="B41" i="1"/>
  <c r="B42" i="1"/>
  <c r="B43" i="1"/>
  <c r="B44" i="1"/>
  <c r="R4" i="1"/>
  <c r="R5" i="1"/>
  <c r="R6" i="1"/>
  <c r="R7" i="1"/>
  <c r="R18" i="1"/>
  <c r="R19" i="1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5" i="1"/>
  <c r="S6" i="1"/>
  <c r="S7" i="1"/>
  <c r="S18" i="1"/>
  <c r="S31" i="1" s="1"/>
  <c r="S19" i="1"/>
  <c r="B61" i="1"/>
  <c r="A61" i="1"/>
  <c r="A60" i="1"/>
  <c r="A59" i="1"/>
  <c r="A58" i="1"/>
  <c r="A57" i="1"/>
  <c r="A56" i="1"/>
  <c r="A55" i="1"/>
  <c r="A44" i="1"/>
  <c r="A43" i="1"/>
  <c r="A42" i="1"/>
  <c r="A41" i="1"/>
  <c r="A40" i="1"/>
  <c r="I33" i="1"/>
  <c r="H33" i="1"/>
  <c r="G33" i="1"/>
  <c r="F33" i="1"/>
  <c r="G32" i="1"/>
  <c r="F32" i="1"/>
  <c r="I31" i="1"/>
  <c r="G31" i="1"/>
  <c r="F31" i="1"/>
  <c r="I27" i="1"/>
  <c r="G27" i="1"/>
  <c r="F27" i="1"/>
  <c r="G26" i="1"/>
  <c r="F26" i="1"/>
  <c r="G25" i="1"/>
  <c r="F25" i="1"/>
  <c r="E42" i="1" l="1"/>
  <c r="E61" i="1"/>
  <c r="C67" i="1"/>
  <c r="D56" i="1" s="1"/>
  <c r="E62" i="1"/>
  <c r="H31" i="1"/>
  <c r="E41" i="1"/>
  <c r="D59" i="1"/>
  <c r="D55" i="1"/>
  <c r="E57" i="1"/>
  <c r="E43" i="1"/>
  <c r="E58" i="1"/>
  <c r="I26" i="1"/>
  <c r="H27" i="1"/>
  <c r="S27" i="1"/>
  <c r="H26" i="1"/>
  <c r="H32" i="1"/>
  <c r="I32" i="1"/>
  <c r="R26" i="1"/>
  <c r="R27" i="1"/>
  <c r="S26" i="1"/>
  <c r="P40" i="2" s="1"/>
  <c r="S30" i="1"/>
  <c r="U13" i="1" s="1"/>
  <c r="C51" i="1"/>
  <c r="E40" i="1"/>
  <c r="D62" i="1"/>
  <c r="R30" i="1"/>
  <c r="E67" i="1"/>
  <c r="R31" i="1"/>
  <c r="H25" i="1"/>
  <c r="I25" i="1"/>
  <c r="D60" i="1" l="1"/>
  <c r="D57" i="1"/>
  <c r="D58" i="1"/>
  <c r="D61" i="1"/>
  <c r="R25" i="2"/>
  <c r="R7" i="2"/>
  <c r="R22" i="2"/>
  <c r="R28" i="2"/>
  <c r="R21" i="2"/>
  <c r="R6" i="2"/>
  <c r="R39" i="2"/>
  <c r="R32" i="2"/>
  <c r="R23" i="2"/>
  <c r="R38" i="2"/>
  <c r="V4" i="1"/>
  <c r="R17" i="2"/>
  <c r="R24" i="2"/>
  <c r="R35" i="2"/>
  <c r="R19" i="2"/>
  <c r="R3" i="2"/>
  <c r="R13" i="2"/>
  <c r="R20" i="2"/>
  <c r="R34" i="2"/>
  <c r="R18" i="2"/>
  <c r="R2" i="2"/>
  <c r="R5" i="2"/>
  <c r="R16" i="2"/>
  <c r="R31" i="2"/>
  <c r="R15" i="2"/>
  <c r="R37" i="2"/>
  <c r="R9" i="2"/>
  <c r="R12" i="2"/>
  <c r="R30" i="2"/>
  <c r="R14" i="2"/>
  <c r="O24" i="2"/>
  <c r="R33" i="2"/>
  <c r="R36" i="2"/>
  <c r="R4" i="2"/>
  <c r="R27" i="2"/>
  <c r="R11" i="2"/>
  <c r="R29" i="2"/>
  <c r="R40" i="2"/>
  <c r="R8" i="2"/>
  <c r="R26" i="2"/>
  <c r="R10" i="2"/>
  <c r="P26" i="2"/>
  <c r="W7" i="1"/>
  <c r="P34" i="2"/>
  <c r="W18" i="1"/>
  <c r="P13" i="2"/>
  <c r="O7" i="2"/>
  <c r="O25" i="2"/>
  <c r="V18" i="1"/>
  <c r="O30" i="2"/>
  <c r="P10" i="2"/>
  <c r="W5" i="1"/>
  <c r="P37" i="2"/>
  <c r="O8" i="2"/>
  <c r="O40" i="2"/>
  <c r="P35" i="2"/>
  <c r="W6" i="1"/>
  <c r="P18" i="2"/>
  <c r="O14" i="2"/>
  <c r="V14" i="1"/>
  <c r="W4" i="1"/>
  <c r="O9" i="2"/>
  <c r="P17" i="2"/>
  <c r="P9" i="2"/>
  <c r="W20" i="1"/>
  <c r="P12" i="2"/>
  <c r="P28" i="2"/>
  <c r="W3" i="1"/>
  <c r="P29" i="2"/>
  <c r="W12" i="1"/>
  <c r="P2" i="2"/>
  <c r="P6" i="2"/>
  <c r="P30" i="2"/>
  <c r="O23" i="2"/>
  <c r="P5" i="2"/>
  <c r="V5" i="1"/>
  <c r="O16" i="2"/>
  <c r="O32" i="2"/>
  <c r="V7" i="1"/>
  <c r="O33" i="2"/>
  <c r="P31" i="2"/>
  <c r="O35" i="2"/>
  <c r="P11" i="2"/>
  <c r="W13" i="1"/>
  <c r="P4" i="2"/>
  <c r="P20" i="2"/>
  <c r="P36" i="2"/>
  <c r="P33" i="2"/>
  <c r="P15" i="2"/>
  <c r="P39" i="2"/>
  <c r="P14" i="2"/>
  <c r="P22" i="2"/>
  <c r="P38" i="2"/>
  <c r="P3" i="2"/>
  <c r="P8" i="2"/>
  <c r="P16" i="2"/>
  <c r="P24" i="2"/>
  <c r="P32" i="2"/>
  <c r="W19" i="1"/>
  <c r="O39" i="2"/>
  <c r="P21" i="2"/>
  <c r="V6" i="1"/>
  <c r="O6" i="2"/>
  <c r="O22" i="2"/>
  <c r="O38" i="2"/>
  <c r="O27" i="2"/>
  <c r="V19" i="1"/>
  <c r="P19" i="2"/>
  <c r="O21" i="2"/>
  <c r="P25" i="2"/>
  <c r="O31" i="2"/>
  <c r="O15" i="2"/>
  <c r="O3" i="2"/>
  <c r="V3" i="1"/>
  <c r="O10" i="2"/>
  <c r="O18" i="2"/>
  <c r="O26" i="2"/>
  <c r="O34" i="2"/>
  <c r="V12" i="1"/>
  <c r="O13" i="2"/>
  <c r="O19" i="2"/>
  <c r="O17" i="2"/>
  <c r="P23" i="2"/>
  <c r="W14" i="1"/>
  <c r="V13" i="1"/>
  <c r="O4" i="2"/>
  <c r="O12" i="2"/>
  <c r="O20" i="2"/>
  <c r="O28" i="2"/>
  <c r="O36" i="2"/>
  <c r="O2" i="2"/>
  <c r="O29" i="2"/>
  <c r="O11" i="2"/>
  <c r="O5" i="2"/>
  <c r="O37" i="2"/>
  <c r="P7" i="2"/>
  <c r="P27" i="2"/>
  <c r="T5" i="1"/>
  <c r="Q2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T13" i="1"/>
  <c r="T18" i="1"/>
  <c r="T3" i="1"/>
  <c r="T7" i="1"/>
  <c r="T14" i="1"/>
  <c r="T19" i="1"/>
  <c r="T4" i="1"/>
  <c r="Q3" i="2"/>
  <c r="T6" i="1"/>
  <c r="Q34" i="2"/>
  <c r="Q26" i="2"/>
  <c r="Q18" i="2"/>
  <c r="Q10" i="2"/>
  <c r="Q8" i="2"/>
  <c r="Q40" i="2"/>
  <c r="Q32" i="2"/>
  <c r="Q24" i="2"/>
  <c r="Q16" i="2"/>
  <c r="T12" i="1"/>
  <c r="Q38" i="2"/>
  <c r="Q30" i="2"/>
  <c r="Q22" i="2"/>
  <c r="Q14" i="2"/>
  <c r="Q6" i="2"/>
  <c r="Q36" i="2"/>
  <c r="Q28" i="2"/>
  <c r="Q20" i="2"/>
  <c r="Q12" i="2"/>
  <c r="Q4" i="2"/>
  <c r="J31" i="1"/>
  <c r="U19" i="1"/>
  <c r="U5" i="1"/>
  <c r="D41" i="1"/>
  <c r="D42" i="1"/>
  <c r="D40" i="1"/>
  <c r="D43" i="1"/>
  <c r="D44" i="1"/>
  <c r="U18" i="1"/>
  <c r="U14" i="1"/>
  <c r="F61" i="1"/>
  <c r="F56" i="1"/>
  <c r="F59" i="1"/>
  <c r="F62" i="1"/>
  <c r="F60" i="1"/>
  <c r="F55" i="1"/>
  <c r="F58" i="1"/>
  <c r="E51" i="1"/>
  <c r="F40" i="1" s="1"/>
  <c r="U6" i="1"/>
  <c r="U4" i="1"/>
  <c r="U7" i="1"/>
  <c r="U12" i="1"/>
  <c r="F57" i="1"/>
  <c r="U3" i="1"/>
  <c r="S7" i="2" l="1"/>
  <c r="S19" i="2"/>
  <c r="J26" i="1"/>
  <c r="J32" i="1"/>
  <c r="K25" i="1"/>
  <c r="J27" i="1"/>
  <c r="J33" i="1"/>
  <c r="K27" i="1"/>
  <c r="J25" i="1"/>
  <c r="K32" i="1"/>
  <c r="K33" i="1"/>
  <c r="K26" i="1"/>
  <c r="S36" i="2"/>
  <c r="S11" i="2"/>
  <c r="K31" i="1"/>
  <c r="S27" i="2"/>
  <c r="S35" i="2"/>
  <c r="S26" i="2"/>
  <c r="S21" i="2"/>
  <c r="S37" i="2"/>
  <c r="S2" i="2"/>
  <c r="S28" i="2"/>
  <c r="S16" i="2"/>
  <c r="S34" i="2"/>
  <c r="S30" i="2"/>
  <c r="L31" i="1"/>
  <c r="O31" i="1" s="1"/>
  <c r="M31" i="1"/>
  <c r="L33" i="1"/>
  <c r="O33" i="1" s="1"/>
  <c r="M33" i="1"/>
  <c r="S4" i="2"/>
  <c r="S8" i="2"/>
  <c r="S5" i="2"/>
  <c r="S13" i="2"/>
  <c r="S29" i="2"/>
  <c r="F42" i="1"/>
  <c r="F43" i="1"/>
  <c r="F44" i="1"/>
  <c r="F41" i="1"/>
  <c r="S12" i="2"/>
  <c r="S6" i="2"/>
  <c r="S38" i="2"/>
  <c r="S32" i="2"/>
  <c r="S10" i="2"/>
  <c r="L25" i="1"/>
  <c r="O25" i="1" s="1"/>
  <c r="M25" i="1"/>
  <c r="S15" i="2"/>
  <c r="S23" i="2"/>
  <c r="S31" i="2"/>
  <c r="S39" i="2"/>
  <c r="S24" i="2"/>
  <c r="M32" i="1"/>
  <c r="L32" i="1"/>
  <c r="O32" i="1" s="1"/>
  <c r="S20" i="2"/>
  <c r="S14" i="2"/>
  <c r="L26" i="1"/>
  <c r="O26" i="1" s="1"/>
  <c r="M26" i="1"/>
  <c r="S40" i="2"/>
  <c r="S18" i="2"/>
  <c r="S3" i="2"/>
  <c r="M27" i="1"/>
  <c r="L27" i="1"/>
  <c r="O27" i="1" s="1"/>
  <c r="S9" i="2"/>
  <c r="S17" i="2"/>
  <c r="S25" i="2"/>
  <c r="S33" i="2"/>
  <c r="S22" i="2"/>
</calcChain>
</file>

<file path=xl/sharedStrings.xml><?xml version="1.0" encoding="utf-8"?>
<sst xmlns="http://schemas.openxmlformats.org/spreadsheetml/2006/main" count="295" uniqueCount="97">
  <si>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</si>
  <si>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</si>
  <si>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</si>
  <si>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</si>
  <si>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</si>
  <si>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</si>
  <si>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</si>
  <si>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</si>
  <si>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</si>
  <si>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</si>
  <si>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</si>
  <si>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</si>
  <si>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</si>
  <si>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</si>
  <si>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</si>
  <si>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</si>
  <si>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</si>
  <si>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</si>
  <si>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</si>
  <si>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</si>
  <si>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</si>
  <si>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</si>
  <si>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</si>
  <si>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</si>
  <si>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</si>
  <si>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</si>
  <si>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</si>
  <si>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</si>
  <si>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</si>
  <si>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</si>
  <si>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</si>
  <si>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</si>
  <si>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</si>
  <si>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</si>
  <si>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</si>
  <si>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</si>
  <si>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</si>
  <si>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</si>
  <si>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</si>
  <si>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</si>
  <si>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</si>
  <si>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</si>
  <si>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</si>
  <si>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</si>
  <si>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</si>
  <si>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</si>
  <si>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</si>
  <si>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</si>
  <si>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</si>
  <si>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</si>
  <si>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</si>
  <si>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(‰VPDB)</t>
    </r>
  </si>
  <si>
    <r>
      <t>δ</t>
    </r>
    <r>
      <rPr>
        <vertAlign val="superscript"/>
        <sz val="10"/>
        <rFont val="Verdana"/>
        <family val="2"/>
      </rPr>
      <t>15</t>
    </r>
    <r>
      <rPr>
        <sz val="10"/>
        <rFont val="Verdana"/>
        <family val="2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</si>
  <si>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</si>
  <si>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</si>
  <si>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</si>
  <si>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</si>
  <si>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</si>
  <si>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  <family val="2"/>
      </rPr>
      <t>13</t>
    </r>
    <r>
      <rPr>
        <sz val="10"/>
        <rFont val="Verdana"/>
        <family val="2"/>
      </rPr>
      <t>C (‰VPDB)</t>
    </r>
  </si>
  <si>
    <t>Accepted</t>
  </si>
  <si>
    <t xml:space="preserve"> %C</t>
  </si>
  <si>
    <t xml:space="preserve"> %N</t>
  </si>
  <si>
    <t>Measured</t>
  </si>
  <si>
    <t>Row</t>
  </si>
  <si>
    <t>HOC</t>
  </si>
  <si>
    <t>LOC</t>
  </si>
  <si>
    <t>C3</t>
  </si>
  <si>
    <t>Protein</t>
  </si>
  <si>
    <t>Taipan</t>
  </si>
  <si>
    <t>Chitin</t>
  </si>
  <si>
    <t>USGS 40</t>
  </si>
  <si>
    <t>Flush</t>
  </si>
  <si>
    <t>posthypy</t>
  </si>
  <si>
    <t>38</t>
  </si>
  <si>
    <t>97</t>
  </si>
  <si>
    <t>134</t>
  </si>
  <si>
    <t>80</t>
  </si>
  <si>
    <t>96</t>
  </si>
  <si>
    <t>103</t>
  </si>
  <si>
    <t>90</t>
  </si>
  <si>
    <t>59</t>
  </si>
  <si>
    <t>75</t>
  </si>
  <si>
    <t>31.5</t>
  </si>
  <si>
    <t>106</t>
  </si>
  <si>
    <t>120</t>
  </si>
  <si>
    <t>91</t>
  </si>
  <si>
    <t>93</t>
  </si>
  <si>
    <t>101</t>
  </si>
  <si>
    <t>109</t>
  </si>
  <si>
    <t>53</t>
  </si>
  <si>
    <t>56</t>
  </si>
  <si>
    <t>63</t>
  </si>
  <si>
    <t>25</t>
  </si>
  <si>
    <t>162</t>
  </si>
  <si>
    <t>prehypy</t>
  </si>
  <si>
    <t>160</t>
  </si>
  <si>
    <t>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</si>
</sst>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0"/>
      <name val="Verdana"/>
    </font>
    <font>
      <b/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color indexed="12"/>
      <name val="Verdana"/>
      <family val="2"/>
    </font>
    <font>
      <b/>
      <sz val="10"/>
      <color indexed="12"/>
      <name val="Verdana"/>
      <family val="2"/>
    </font>
    <font>
      <b/>
      <sz val="10"/>
      <color indexed="10"/>
      <name val="Verdana"/>
      <family val="2"/>
    </font>
    <font>
      <b/>
      <sz val="10"/>
      <color indexed="61"/>
      <name val="Verdana"/>
      <family val="2"/>
    </font>
    <font>
      <sz val="10"/>
      <color indexed="6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vertAlign val="superscript"/>
      <sz val="10"/>
      <name val="Verdana"/>
      <family val="2"/>
    </font>
    <font>
      <sz val="10"/>
      <color theme="3" tint="-0.249977111117893"/>
      <name val="Verdana"/>
      <family val="2"/>
    </font>
    <font>
      <b/>
      <sz val="10"/>
      <color theme="3" tint="-0.249977111117893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0" fontId="14" fillId="0" borderId="0" xfId="0" quotePrefix="1" applyNumberFormat="1" applyFont="1"/>
    <xf numFmtId="2" fontId="1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6509765460812059"/>
                  <c:y val="-7.3292520194354754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1340</c:v>
                </c:pt>
                <c:pt idx="1">
                  <c:v>2285</c:v>
                </c:pt>
                <c:pt idx="2">
                  <c:v>4718</c:v>
                </c:pt>
                <c:pt idx="3">
                  <c:v>4026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0.12859999999999516</c:v>
                </c:pt>
                <c:pt idx="1">
                  <c:v>0.1115999999999957</c:v>
                </c:pt>
                <c:pt idx="2">
                  <c:v>-7.2400000000001796E-2</c:v>
                </c:pt>
                <c:pt idx="3">
                  <c:v>-1.4400000000001967E-2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B-2F4A-9040-336E329B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2704"/>
        <c:axId val="288080744"/>
      </c:scatterChart>
      <c:valAx>
        <c:axId val="28808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0744"/>
        <c:crossesAt val="-50000"/>
        <c:crossBetween val="midCat"/>
      </c:valAx>
      <c:valAx>
        <c:axId val="2880807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80827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67489763779528E-2"/>
                  <c:y val="-0.1487631931646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-0.23215430200000498</c:v>
                </c:pt>
                <c:pt idx="1">
                  <c:v>4.0157227999998213E-2</c:v>
                </c:pt>
                <c:pt idx="2">
                  <c:v>8.1473177999995983E-2</c:v>
                </c:pt>
                <c:pt idx="3">
                  <c:v>4.7613607999998919E-2</c:v>
                </c:pt>
                <c:pt idx="4">
                  <c:v>6.2910288000001202E-2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4-7E48-BDFF-CBB3AD29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9568"/>
        <c:axId val="288084664"/>
      </c:scatterChart>
      <c:valAx>
        <c:axId val="288079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4664"/>
        <c:crossesAt val="-50000"/>
        <c:crossBetween val="midCat"/>
      </c:valAx>
      <c:valAx>
        <c:axId val="288084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807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70</c:v>
                </c:pt>
                <c:pt idx="1">
                  <c:v>143</c:v>
                </c:pt>
                <c:pt idx="2">
                  <c:v>252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-2.7293750000000001</c:v>
                </c:pt>
                <c:pt idx="1">
                  <c:v>2.2766250000000001</c:v>
                </c:pt>
                <c:pt idx="2">
                  <c:v>2.8226249999999999</c:v>
                </c:pt>
                <c:pt idx="3">
                  <c:v>7.9625000000000001E-2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A-5F4D-8E88-5C086E30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1920"/>
        <c:axId val="288085448"/>
      </c:scatterChart>
      <c:valAx>
        <c:axId val="288081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5448"/>
        <c:crossesAt val="-50000"/>
        <c:crossBetween val="midCat"/>
      </c:valAx>
      <c:valAx>
        <c:axId val="2880854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8081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6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-2.6618333333333331</c:v>
                </c:pt>
                <c:pt idx="1">
                  <c:v>0.10616666666666667</c:v>
                </c:pt>
                <c:pt idx="2">
                  <c:v>-2.7028333333333334</c:v>
                </c:pt>
                <c:pt idx="3">
                  <c:v>2.3031666666666668</c:v>
                </c:pt>
                <c:pt idx="4">
                  <c:v>2.8491666666666666</c:v>
                </c:pt>
                <c:pt idx="5">
                  <c:v>0.10616666666666667</c:v>
                </c:pt>
                <c:pt idx="6">
                  <c:v>0.10616666666666667</c:v>
                </c:pt>
                <c:pt idx="7">
                  <c:v>0.10616666666666667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2-D540-95D9-3D5FE30B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6624"/>
        <c:axId val="288083488"/>
      </c:scatterChart>
      <c:valAx>
        <c:axId val="288086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3488"/>
        <c:crossesAt val="-50000"/>
        <c:crossBetween val="midCat"/>
      </c:valAx>
      <c:valAx>
        <c:axId val="288083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8086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-26.100620130000003</c:v>
                </c:pt>
                <c:pt idx="1">
                  <c:v>-26.094308600000002</c:v>
                </c:pt>
                <c:pt idx="2">
                  <c:v>-26.06699265</c:v>
                </c:pt>
                <c:pt idx="3">
                  <c:v>-26.11485222</c:v>
                </c:pt>
                <c:pt idx="4">
                  <c:v>-26.11355554</c:v>
                </c:pt>
                <c:pt idx="9">
                  <c:v>-11.29212126</c:v>
                </c:pt>
                <c:pt idx="10">
                  <c:v>-11.20479046</c:v>
                </c:pt>
                <c:pt idx="11">
                  <c:v>-11.209683330000001</c:v>
                </c:pt>
                <c:pt idx="15">
                  <c:v>-27.468803099999999</c:v>
                </c:pt>
                <c:pt idx="16">
                  <c:v>-27.300013509999999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-26.54</c:v>
                </c:pt>
                <c:pt idx="1">
                  <c:v>-26.54</c:v>
                </c:pt>
                <c:pt idx="2">
                  <c:v>-26.54</c:v>
                </c:pt>
                <c:pt idx="3">
                  <c:v>-26.54</c:v>
                </c:pt>
                <c:pt idx="4">
                  <c:v>-26.54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-27.87</c:v>
                </c:pt>
                <c:pt idx="16">
                  <c:v>-27.87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EC43-8D97-74599964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9960"/>
        <c:axId val="288082312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-2.7679999999999998</c:v>
                </c:pt>
                <c:pt idx="1">
                  <c:v>0</c:v>
                </c:pt>
                <c:pt idx="2">
                  <c:v>-2.8090000000000002</c:v>
                </c:pt>
                <c:pt idx="3">
                  <c:v>2.1970000000000001</c:v>
                </c:pt>
                <c:pt idx="4">
                  <c:v>2.7429999999999999</c:v>
                </c:pt>
                <c:pt idx="9">
                  <c:v>11.561</c:v>
                </c:pt>
                <c:pt idx="10">
                  <c:v>10.545999999999999</c:v>
                </c:pt>
                <c:pt idx="11">
                  <c:v>78</c:v>
                </c:pt>
                <c:pt idx="15">
                  <c:v>1.4330000000000001</c:v>
                </c:pt>
                <c:pt idx="16">
                  <c:v>1.7589999999999999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7.46</c:v>
                </c:pt>
                <c:pt idx="1">
                  <c:v>7.46</c:v>
                </c:pt>
                <c:pt idx="2">
                  <c:v>7.46</c:v>
                </c:pt>
                <c:pt idx="3">
                  <c:v>7.46</c:v>
                </c:pt>
                <c:pt idx="4">
                  <c:v>7.46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5.15</c:v>
                </c:pt>
                <c:pt idx="16">
                  <c:v>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A-EC43-8D97-74599964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46176"/>
        <c:axId val="288083880"/>
      </c:scatterChart>
      <c:valAx>
        <c:axId val="2880799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82312"/>
        <c:crosses val="autoZero"/>
        <c:crossBetween val="midCat"/>
      </c:valAx>
      <c:valAx>
        <c:axId val="288082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79960"/>
        <c:crosses val="max"/>
        <c:crossBetween val="midCat"/>
      </c:valAx>
      <c:valAx>
        <c:axId val="288083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46176"/>
        <c:crosses val="max"/>
        <c:crossBetween val="midCat"/>
      </c:valAx>
      <c:valAx>
        <c:axId val="3370461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808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L83"/>
  <sheetViews>
    <sheetView workbookViewId="0">
      <selection activeCell="A2" sqref="A2:J40"/>
    </sheetView>
  </sheetViews>
  <sheetFormatPr defaultColWidth="11" defaultRowHeight="12.75" x14ac:dyDescent="0.2"/>
  <sheetData>
    <row r="1" spans="1:12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x14ac:dyDescent="0.2">
      <c r="A2" s="1">
        <v>1</v>
      </c>
      <c r="B2" s="1" t="s">
        <v>71</v>
      </c>
      <c r="D2" s="1"/>
      <c r="E2" s="1">
        <v>-11.967000000000001</v>
      </c>
      <c r="F2" s="1">
        <v>261133</v>
      </c>
      <c r="G2" s="1">
        <v>2973</v>
      </c>
      <c r="H2" s="1">
        <v>11.19</v>
      </c>
      <c r="I2" s="1">
        <v>35.69</v>
      </c>
      <c r="J2" s="1">
        <v>1768</v>
      </c>
      <c r="L2" s="1"/>
    </row>
    <row r="3" spans="1:12" x14ac:dyDescent="0.2">
      <c r="A3" s="1">
        <v>3</v>
      </c>
      <c r="B3" s="1" t="s">
        <v>71</v>
      </c>
      <c r="D3" s="1"/>
      <c r="E3" s="1">
        <v>-11.632999999999999</v>
      </c>
      <c r="F3" s="1">
        <v>244934</v>
      </c>
      <c r="G3" s="1">
        <v>2950</v>
      </c>
      <c r="H3" s="1">
        <v>11.244</v>
      </c>
      <c r="I3" s="1">
        <v>33.222000000000001</v>
      </c>
      <c r="J3" s="1">
        <v>1712</v>
      </c>
      <c r="L3" s="1"/>
    </row>
    <row r="4" spans="1:12" x14ac:dyDescent="0.2">
      <c r="A4" s="1">
        <v>4</v>
      </c>
      <c r="B4" s="1" t="s">
        <v>71</v>
      </c>
      <c r="D4" s="1"/>
      <c r="E4" s="1">
        <v>-11.489000000000001</v>
      </c>
      <c r="F4" s="1">
        <v>289663</v>
      </c>
      <c r="G4" s="1">
        <v>3150</v>
      </c>
      <c r="H4" s="1">
        <v>11.362</v>
      </c>
      <c r="I4" s="1">
        <v>39.119</v>
      </c>
      <c r="J4" s="1">
        <v>1876</v>
      </c>
      <c r="L4" s="1"/>
    </row>
    <row r="5" spans="1:12" x14ac:dyDescent="0.2">
      <c r="A5" s="1">
        <v>5</v>
      </c>
      <c r="B5" s="1" t="s">
        <v>68</v>
      </c>
      <c r="D5" s="1">
        <v>0.26900000000000002</v>
      </c>
      <c r="E5" s="1">
        <v>-11.339</v>
      </c>
      <c r="F5" s="1">
        <v>346899</v>
      </c>
      <c r="G5" s="1">
        <v>1894</v>
      </c>
      <c r="H5" s="1">
        <v>11.561</v>
      </c>
      <c r="I5" s="1">
        <v>47.593000000000004</v>
      </c>
      <c r="J5" s="1">
        <v>2487</v>
      </c>
      <c r="K5" s="1"/>
      <c r="L5" s="1"/>
    </row>
    <row r="6" spans="1:12" x14ac:dyDescent="0.2">
      <c r="A6" s="1">
        <v>6</v>
      </c>
      <c r="B6" s="1" t="s">
        <v>65</v>
      </c>
      <c r="C6" t="s">
        <v>72</v>
      </c>
      <c r="D6" s="1">
        <v>1.022</v>
      </c>
      <c r="E6" s="1">
        <v>-26.109000000000002</v>
      </c>
      <c r="F6" s="1">
        <v>29186</v>
      </c>
      <c r="G6" s="1">
        <v>1497</v>
      </c>
      <c r="H6" s="1">
        <v>-2.7679999999999998</v>
      </c>
      <c r="I6" s="1">
        <v>1.2809999999999999</v>
      </c>
      <c r="J6" s="1">
        <v>58</v>
      </c>
      <c r="K6" s="1"/>
    </row>
    <row r="7" spans="1:12" x14ac:dyDescent="0.2">
      <c r="A7" s="1">
        <v>7</v>
      </c>
      <c r="B7" s="1" t="s">
        <v>64</v>
      </c>
      <c r="C7" t="s">
        <v>72</v>
      </c>
      <c r="D7" s="1">
        <v>1.3069999999999999</v>
      </c>
      <c r="E7" s="1">
        <v>-27.58</v>
      </c>
      <c r="F7" s="1">
        <v>211473</v>
      </c>
      <c r="G7" s="1">
        <v>3390</v>
      </c>
      <c r="H7" s="1">
        <v>1.4330000000000001</v>
      </c>
      <c r="I7" s="1">
        <v>7.0039999999999996</v>
      </c>
      <c r="J7" s="1">
        <v>338</v>
      </c>
      <c r="L7" s="1"/>
    </row>
    <row r="8" spans="1:12" x14ac:dyDescent="0.2">
      <c r="A8" s="1">
        <v>8</v>
      </c>
      <c r="B8" s="1" t="s">
        <v>73</v>
      </c>
      <c r="C8" t="s">
        <v>72</v>
      </c>
      <c r="D8" s="1">
        <v>4.4109999999999996</v>
      </c>
      <c r="E8" s="1">
        <v>-24.748999999999999</v>
      </c>
      <c r="F8" s="1">
        <v>135462</v>
      </c>
      <c r="G8" s="1">
        <v>3940</v>
      </c>
      <c r="H8">
        <v>0.52600000000000002</v>
      </c>
      <c r="I8">
        <v>2.5830000000000002</v>
      </c>
      <c r="J8">
        <v>113</v>
      </c>
      <c r="K8" s="1"/>
      <c r="L8" s="1"/>
    </row>
    <row r="9" spans="1:12" x14ac:dyDescent="0.2">
      <c r="A9" s="1">
        <v>9</v>
      </c>
      <c r="B9" s="1" t="s">
        <v>74</v>
      </c>
      <c r="C9" t="s">
        <v>72</v>
      </c>
      <c r="D9" s="1">
        <v>5.7229999999999999</v>
      </c>
      <c r="E9" s="1">
        <v>-24.335000000000001</v>
      </c>
      <c r="F9" s="1">
        <v>161760</v>
      </c>
      <c r="G9" s="1">
        <v>4590</v>
      </c>
      <c r="H9" s="1">
        <v>5.1859999999999999</v>
      </c>
      <c r="I9" s="1">
        <v>2.4300000000000002</v>
      </c>
      <c r="J9" s="1">
        <v>115</v>
      </c>
      <c r="K9" s="1"/>
      <c r="L9" s="1"/>
    </row>
    <row r="10" spans="1:12" x14ac:dyDescent="0.2">
      <c r="A10" s="1">
        <v>10</v>
      </c>
      <c r="B10" s="1" t="s">
        <v>75</v>
      </c>
      <c r="C10" t="s">
        <v>72</v>
      </c>
      <c r="D10" s="1">
        <v>10.62</v>
      </c>
      <c r="E10" s="1">
        <v>-23.774999999999999</v>
      </c>
      <c r="F10" s="1">
        <v>53332</v>
      </c>
      <c r="G10" s="1">
        <v>2787</v>
      </c>
      <c r="H10" s="1">
        <v>3.2970000000000002</v>
      </c>
      <c r="I10" s="1">
        <v>2.1949999999999998</v>
      </c>
      <c r="J10" s="1">
        <v>100</v>
      </c>
      <c r="K10" s="1"/>
      <c r="L10" s="1"/>
    </row>
    <row r="11" spans="1:12" x14ac:dyDescent="0.2">
      <c r="A11" s="1">
        <v>11</v>
      </c>
      <c r="B11" s="1" t="s">
        <v>76</v>
      </c>
      <c r="C11" t="s">
        <v>72</v>
      </c>
      <c r="D11" s="1">
        <v>9.3469999999999995</v>
      </c>
      <c r="E11" s="1">
        <v>-24.7</v>
      </c>
      <c r="F11" s="1">
        <v>84646</v>
      </c>
      <c r="G11" s="1">
        <v>4401</v>
      </c>
      <c r="H11" s="1">
        <v>4.008</v>
      </c>
      <c r="I11" s="1">
        <v>2.593</v>
      </c>
      <c r="J11" s="1">
        <v>122</v>
      </c>
      <c r="K11" s="1"/>
      <c r="L11" s="1"/>
    </row>
    <row r="12" spans="1:12" x14ac:dyDescent="0.2">
      <c r="A12" s="1">
        <v>12</v>
      </c>
      <c r="B12" s="1" t="s">
        <v>77</v>
      </c>
      <c r="C12" t="s">
        <v>72</v>
      </c>
      <c r="D12" s="1">
        <v>10.122999999999999</v>
      </c>
      <c r="E12" s="1">
        <v>-24.131</v>
      </c>
      <c r="F12" s="1">
        <v>41568</v>
      </c>
      <c r="G12" s="1">
        <v>2227</v>
      </c>
      <c r="H12">
        <v>-4.1769999999999996</v>
      </c>
      <c r="I12">
        <v>1.198</v>
      </c>
      <c r="J12">
        <v>52</v>
      </c>
      <c r="K12" s="1"/>
      <c r="L12" s="1"/>
    </row>
    <row r="13" spans="1:12" x14ac:dyDescent="0.2">
      <c r="A13" s="1">
        <v>13</v>
      </c>
      <c r="B13" s="1" t="s">
        <v>78</v>
      </c>
      <c r="C13" t="s">
        <v>72</v>
      </c>
      <c r="D13" s="1">
        <v>11.385</v>
      </c>
      <c r="E13" s="1">
        <v>-69.040000000000006</v>
      </c>
      <c r="F13" s="1">
        <v>68294</v>
      </c>
      <c r="G13" s="1">
        <v>3976</v>
      </c>
      <c r="H13" s="1">
        <v>8.1709999999999994</v>
      </c>
      <c r="I13" s="1">
        <v>2.6859999999999999</v>
      </c>
      <c r="J13" s="1">
        <v>144</v>
      </c>
      <c r="K13" s="1"/>
      <c r="L13" s="1"/>
    </row>
    <row r="14" spans="1:12" x14ac:dyDescent="0.2">
      <c r="A14" s="1">
        <v>14</v>
      </c>
      <c r="B14" s="1" t="s">
        <v>79</v>
      </c>
      <c r="C14" t="s">
        <v>72</v>
      </c>
      <c r="D14" s="1">
        <v>15.747</v>
      </c>
      <c r="E14" s="1">
        <v>-24.452999999999999</v>
      </c>
      <c r="F14" s="1">
        <v>112287</v>
      </c>
      <c r="G14" s="1">
        <v>6239</v>
      </c>
      <c r="H14">
        <v>7.8730000000000002</v>
      </c>
      <c r="I14">
        <v>3.6230000000000002</v>
      </c>
      <c r="J14">
        <v>183</v>
      </c>
      <c r="K14" s="1"/>
      <c r="L14" s="1"/>
    </row>
    <row r="15" spans="1:12" x14ac:dyDescent="0.2">
      <c r="A15" s="1">
        <v>15</v>
      </c>
      <c r="B15" s="1" t="s">
        <v>80</v>
      </c>
      <c r="C15" t="s">
        <v>72</v>
      </c>
      <c r="D15" s="1">
        <v>1.9770000000000001</v>
      </c>
      <c r="E15" s="1">
        <v>-24.123999999999999</v>
      </c>
      <c r="F15" s="1">
        <v>228986</v>
      </c>
      <c r="G15" s="1">
        <v>3639</v>
      </c>
      <c r="H15">
        <v>-5.99</v>
      </c>
      <c r="I15">
        <v>1.9510000000000001</v>
      </c>
      <c r="J15">
        <v>87</v>
      </c>
      <c r="K15" s="1"/>
      <c r="L15" s="1"/>
    </row>
    <row r="16" spans="1:12" x14ac:dyDescent="0.2">
      <c r="A16" s="1">
        <v>16</v>
      </c>
      <c r="B16" s="1" t="s">
        <v>81</v>
      </c>
      <c r="C16" t="s">
        <v>72</v>
      </c>
      <c r="D16" s="1">
        <v>10.867000000000001</v>
      </c>
      <c r="E16" s="1">
        <v>-24.690999999999999</v>
      </c>
      <c r="F16" s="1">
        <v>86008</v>
      </c>
      <c r="G16" s="1">
        <v>4804</v>
      </c>
      <c r="H16" s="1">
        <v>2.8050000000000002</v>
      </c>
      <c r="I16" s="1">
        <v>1.8759999999999999</v>
      </c>
      <c r="J16" s="1">
        <v>88</v>
      </c>
      <c r="K16" s="1"/>
      <c r="L16" s="1"/>
    </row>
    <row r="17" spans="1:12" x14ac:dyDescent="0.2">
      <c r="A17" s="1">
        <v>17</v>
      </c>
      <c r="B17" s="1" t="s">
        <v>82</v>
      </c>
      <c r="C17" t="s">
        <v>72</v>
      </c>
      <c r="D17" s="1">
        <v>3.7170000000000001</v>
      </c>
      <c r="E17" s="1">
        <v>-24.167999999999999</v>
      </c>
      <c r="F17" s="1">
        <v>120115</v>
      </c>
      <c r="G17" s="1">
        <v>6981</v>
      </c>
      <c r="H17">
        <v>4.4720000000000004</v>
      </c>
      <c r="I17">
        <v>2.802</v>
      </c>
      <c r="J17">
        <v>143</v>
      </c>
      <c r="K17" s="1"/>
      <c r="L17" s="1"/>
    </row>
    <row r="18" spans="1:12" x14ac:dyDescent="0.2">
      <c r="A18" s="1">
        <v>18</v>
      </c>
      <c r="B18" s="1" t="s">
        <v>83</v>
      </c>
      <c r="C18" t="s">
        <v>72</v>
      </c>
      <c r="D18" s="1">
        <v>9.4789999999999992</v>
      </c>
      <c r="E18" s="1">
        <v>-24.436</v>
      </c>
      <c r="F18" s="1">
        <v>63689</v>
      </c>
      <c r="G18" s="1">
        <v>3313</v>
      </c>
      <c r="H18">
        <v>8.9440000000000008</v>
      </c>
      <c r="I18">
        <v>3.202</v>
      </c>
      <c r="J18">
        <v>150</v>
      </c>
      <c r="K18" s="1"/>
      <c r="L18" s="1"/>
    </row>
    <row r="19" spans="1:12" x14ac:dyDescent="0.2">
      <c r="A19" s="1">
        <v>19</v>
      </c>
      <c r="B19" s="1" t="s">
        <v>84</v>
      </c>
      <c r="C19" t="s">
        <v>72</v>
      </c>
      <c r="D19" s="1">
        <v>10.49</v>
      </c>
      <c r="E19" s="1">
        <v>-23.338000000000001</v>
      </c>
      <c r="F19" s="1">
        <v>40579</v>
      </c>
      <c r="G19" s="1">
        <v>2023</v>
      </c>
      <c r="H19">
        <v>15.526</v>
      </c>
      <c r="I19">
        <v>2.944</v>
      </c>
      <c r="J19">
        <v>134</v>
      </c>
      <c r="K19" s="1"/>
      <c r="L19" s="1"/>
    </row>
    <row r="20" spans="1:12" x14ac:dyDescent="0.2">
      <c r="A20" s="1">
        <v>20</v>
      </c>
      <c r="B20" s="1" t="s">
        <v>85</v>
      </c>
      <c r="C20" t="s">
        <v>72</v>
      </c>
      <c r="D20" s="1">
        <v>7.5460000000000003</v>
      </c>
      <c r="E20" s="1">
        <v>-24.355</v>
      </c>
      <c r="F20" s="1">
        <v>55695</v>
      </c>
      <c r="G20" s="1">
        <v>2864</v>
      </c>
      <c r="H20" s="1">
        <v>4.4050000000000002</v>
      </c>
      <c r="I20" s="1">
        <v>2.2639999999999998</v>
      </c>
      <c r="J20" s="1">
        <v>104</v>
      </c>
      <c r="K20" s="1"/>
      <c r="L20" s="1"/>
    </row>
    <row r="21" spans="1:12" x14ac:dyDescent="0.2">
      <c r="A21" s="1">
        <v>21</v>
      </c>
      <c r="B21" s="1" t="s">
        <v>86</v>
      </c>
      <c r="C21" t="s">
        <v>72</v>
      </c>
      <c r="D21" s="1">
        <v>11.337</v>
      </c>
      <c r="E21" s="1">
        <v>-23.956</v>
      </c>
      <c r="F21" s="1">
        <v>70185</v>
      </c>
      <c r="G21" s="1">
        <v>3854</v>
      </c>
      <c r="H21" s="1">
        <v>14.968</v>
      </c>
      <c r="I21" s="1">
        <v>3.6240000000000001</v>
      </c>
      <c r="J21" s="1">
        <v>187</v>
      </c>
      <c r="K21" s="1"/>
      <c r="L21" s="1"/>
    </row>
    <row r="22" spans="1:12" x14ac:dyDescent="0.2">
      <c r="A22" s="1">
        <v>22</v>
      </c>
      <c r="B22" s="1" t="s">
        <v>87</v>
      </c>
      <c r="C22" t="s">
        <v>72</v>
      </c>
      <c r="D22" s="1">
        <v>10.762</v>
      </c>
      <c r="E22" s="1">
        <v>-24.183</v>
      </c>
      <c r="F22" s="1">
        <v>74929</v>
      </c>
      <c r="G22" s="1">
        <v>3925</v>
      </c>
      <c r="H22" s="1">
        <v>13.746</v>
      </c>
      <c r="I22" s="1">
        <v>3.3639999999999999</v>
      </c>
      <c r="J22" s="1">
        <v>159</v>
      </c>
      <c r="K22" s="1"/>
      <c r="L22" s="1"/>
    </row>
    <row r="23" spans="1:12" x14ac:dyDescent="0.2">
      <c r="A23" s="1">
        <v>23</v>
      </c>
      <c r="B23" s="1" t="s">
        <v>68</v>
      </c>
      <c r="C23" t="s">
        <v>72</v>
      </c>
      <c r="D23" s="1">
        <v>0.22</v>
      </c>
      <c r="E23" s="1">
        <v>-11.090999999999999</v>
      </c>
      <c r="F23" s="1">
        <v>286854</v>
      </c>
      <c r="G23" s="1">
        <v>3374</v>
      </c>
      <c r="H23" s="1">
        <v>10.545999999999999</v>
      </c>
      <c r="I23" s="1">
        <v>37.433</v>
      </c>
      <c r="J23" s="1">
        <v>1856</v>
      </c>
      <c r="K23" s="1"/>
      <c r="L23" s="1"/>
    </row>
    <row r="24" spans="1:12" x14ac:dyDescent="0.2">
      <c r="A24" s="1">
        <v>24</v>
      </c>
      <c r="B24" s="1" t="s">
        <v>64</v>
      </c>
      <c r="C24" t="s">
        <v>72</v>
      </c>
      <c r="D24" s="1">
        <v>1.3080000000000001</v>
      </c>
      <c r="E24" s="1">
        <v>-27.175000000000001</v>
      </c>
      <c r="F24" s="1">
        <v>221255</v>
      </c>
      <c r="G24" s="1">
        <v>3419</v>
      </c>
      <c r="H24">
        <v>1.7589999999999999</v>
      </c>
      <c r="I24">
        <v>6.5149999999999997</v>
      </c>
      <c r="J24">
        <v>321</v>
      </c>
      <c r="K24" s="1"/>
      <c r="L24" s="1"/>
    </row>
    <row r="25" spans="1:12" x14ac:dyDescent="0.2">
      <c r="A25" s="1">
        <v>25</v>
      </c>
      <c r="B25" s="1" t="s">
        <v>65</v>
      </c>
      <c r="C25" t="s">
        <v>72</v>
      </c>
      <c r="D25" s="1">
        <v>0.84499999999999997</v>
      </c>
      <c r="E25" s="1">
        <v>-25.827000000000002</v>
      </c>
      <c r="F25" s="1">
        <v>25738</v>
      </c>
      <c r="G25" s="1">
        <v>1340</v>
      </c>
      <c r="L25" s="1"/>
    </row>
    <row r="26" spans="1:12" x14ac:dyDescent="0.2">
      <c r="A26" s="1">
        <v>26</v>
      </c>
      <c r="B26" s="1" t="s">
        <v>65</v>
      </c>
      <c r="C26" t="s">
        <v>72</v>
      </c>
      <c r="D26" s="1">
        <v>1.5029999999999999</v>
      </c>
      <c r="E26" s="1">
        <v>-25.844000000000001</v>
      </c>
      <c r="F26" s="1">
        <v>44769</v>
      </c>
      <c r="G26" s="1">
        <v>2285</v>
      </c>
      <c r="H26">
        <v>-2.8090000000000002</v>
      </c>
      <c r="I26">
        <v>1.706</v>
      </c>
      <c r="J26">
        <v>70</v>
      </c>
      <c r="K26" s="1"/>
      <c r="L26" s="1"/>
    </row>
    <row r="27" spans="1:12" x14ac:dyDescent="0.2">
      <c r="A27" s="1">
        <v>27</v>
      </c>
      <c r="B27" s="1" t="s">
        <v>65</v>
      </c>
      <c r="C27" t="s">
        <v>72</v>
      </c>
      <c r="D27" s="1">
        <v>3.0339999999999998</v>
      </c>
      <c r="E27" s="1">
        <v>-26.027999999999999</v>
      </c>
      <c r="F27" s="1">
        <v>85915</v>
      </c>
      <c r="G27" s="1">
        <v>4718</v>
      </c>
      <c r="H27" s="1">
        <v>2.1970000000000001</v>
      </c>
      <c r="I27" s="1">
        <v>3.0009999999999999</v>
      </c>
      <c r="J27" s="1">
        <v>143</v>
      </c>
      <c r="L27" s="1"/>
    </row>
    <row r="28" spans="1:12" x14ac:dyDescent="0.2">
      <c r="A28" s="1">
        <v>28</v>
      </c>
      <c r="B28" s="1" t="s">
        <v>65</v>
      </c>
      <c r="C28" t="s">
        <v>72</v>
      </c>
      <c r="D28" s="1">
        <v>5.0419999999999998</v>
      </c>
      <c r="E28" s="1">
        <v>-25.97</v>
      </c>
      <c r="F28" s="1">
        <v>139857</v>
      </c>
      <c r="G28" s="1">
        <v>4026</v>
      </c>
      <c r="H28" s="1">
        <v>2.7429999999999999</v>
      </c>
      <c r="I28" s="1">
        <v>4.9550000000000001</v>
      </c>
      <c r="J28" s="1">
        <v>252</v>
      </c>
      <c r="K28" s="1"/>
      <c r="L28" s="1"/>
    </row>
    <row r="29" spans="1:12" x14ac:dyDescent="0.2">
      <c r="A29" s="1">
        <v>29</v>
      </c>
      <c r="B29" s="1" t="s">
        <v>88</v>
      </c>
      <c r="C29" t="s">
        <v>72</v>
      </c>
      <c r="D29" s="1">
        <v>9.048</v>
      </c>
      <c r="E29" s="1">
        <v>-24.216999999999999</v>
      </c>
      <c r="F29" s="1">
        <v>50580</v>
      </c>
      <c r="G29" s="1">
        <v>2731</v>
      </c>
      <c r="H29" s="1">
        <v>16.158000000000001</v>
      </c>
      <c r="I29" s="1">
        <v>2.8570000000000002</v>
      </c>
      <c r="J29" s="1">
        <v>135</v>
      </c>
      <c r="L29" s="1"/>
    </row>
    <row r="30" spans="1:12" x14ac:dyDescent="0.2">
      <c r="A30" s="1">
        <v>30</v>
      </c>
      <c r="B30" s="1" t="s">
        <v>89</v>
      </c>
      <c r="C30" t="s">
        <v>72</v>
      </c>
      <c r="D30" s="1">
        <v>3.7829999999999999</v>
      </c>
      <c r="E30" s="1">
        <v>-23.866</v>
      </c>
      <c r="F30" s="1">
        <v>49755</v>
      </c>
      <c r="G30" s="1">
        <v>2682</v>
      </c>
      <c r="H30" s="1">
        <v>-2.645</v>
      </c>
      <c r="I30" s="1">
        <v>1.5109999999999999</v>
      </c>
      <c r="J30" s="1">
        <v>64</v>
      </c>
      <c r="K30" s="1"/>
      <c r="L30" s="1"/>
    </row>
    <row r="31" spans="1:12" x14ac:dyDescent="0.2">
      <c r="A31" s="1">
        <v>31</v>
      </c>
      <c r="B31" s="1" t="s">
        <v>90</v>
      </c>
      <c r="C31" t="s">
        <v>72</v>
      </c>
      <c r="D31" s="1">
        <v>1.81</v>
      </c>
      <c r="E31" s="1">
        <v>-23.788</v>
      </c>
      <c r="F31" s="1">
        <v>198893</v>
      </c>
      <c r="G31" s="1">
        <v>3323</v>
      </c>
      <c r="H31" s="1">
        <v>10.292999999999999</v>
      </c>
      <c r="I31" s="1">
        <v>4.3609999999999998</v>
      </c>
      <c r="J31" s="1">
        <v>225</v>
      </c>
      <c r="L31" s="1"/>
    </row>
    <row r="32" spans="1:12" x14ac:dyDescent="0.2">
      <c r="A32" s="1">
        <v>32</v>
      </c>
      <c r="B32" s="1" t="s">
        <v>91</v>
      </c>
      <c r="C32" t="s">
        <v>72</v>
      </c>
      <c r="D32" s="1">
        <v>2.903</v>
      </c>
      <c r="E32" s="1">
        <v>-23.885000000000002</v>
      </c>
      <c r="F32" s="1">
        <v>191344</v>
      </c>
      <c r="G32" s="1">
        <v>3236</v>
      </c>
      <c r="H32" s="1">
        <v>3.14</v>
      </c>
      <c r="I32" s="1">
        <v>2.1059999999999999</v>
      </c>
      <c r="J32" s="1">
        <v>96</v>
      </c>
      <c r="K32" s="1"/>
      <c r="L32" s="1"/>
    </row>
    <row r="33" spans="1:12" x14ac:dyDescent="0.2">
      <c r="A33" s="1">
        <v>33</v>
      </c>
      <c r="B33" s="1" t="s">
        <v>92</v>
      </c>
      <c r="C33" t="s">
        <v>72</v>
      </c>
      <c r="D33" s="1">
        <v>3.1640000000000001</v>
      </c>
      <c r="E33" s="1">
        <v>-23.798999999999999</v>
      </c>
      <c r="F33" s="1">
        <v>24709</v>
      </c>
      <c r="G33" s="1">
        <v>1258</v>
      </c>
      <c r="H33" s="1"/>
      <c r="I33" s="1"/>
      <c r="J33" s="1"/>
      <c r="K33" s="1"/>
      <c r="L33" s="1"/>
    </row>
    <row r="34" spans="1:12" x14ac:dyDescent="0.2">
      <c r="A34" s="1">
        <v>34</v>
      </c>
      <c r="B34" s="1" t="s">
        <v>93</v>
      </c>
      <c r="C34" t="s">
        <v>94</v>
      </c>
      <c r="D34" s="1">
        <v>12.406000000000001</v>
      </c>
      <c r="E34" s="1">
        <v>-24.114999999999998</v>
      </c>
      <c r="F34" s="1">
        <v>200837</v>
      </c>
      <c r="G34" s="1">
        <v>3266</v>
      </c>
      <c r="H34" s="1">
        <v>1.9139999999999999</v>
      </c>
      <c r="I34" s="1">
        <v>17.763000000000002</v>
      </c>
      <c r="J34" s="1">
        <v>876</v>
      </c>
      <c r="K34" s="1"/>
      <c r="L34" s="1"/>
    </row>
    <row r="35" spans="1:12" x14ac:dyDescent="0.2">
      <c r="A35" s="1">
        <v>35</v>
      </c>
      <c r="B35" s="1" t="s">
        <v>87</v>
      </c>
      <c r="C35" t="s">
        <v>94</v>
      </c>
      <c r="D35" s="1">
        <v>16.93</v>
      </c>
      <c r="E35" s="1">
        <v>-21.98</v>
      </c>
      <c r="F35" s="1">
        <v>672145</v>
      </c>
      <c r="G35" s="1">
        <v>3542</v>
      </c>
      <c r="H35" s="1">
        <v>1.2509999999999999</v>
      </c>
      <c r="I35" s="1">
        <v>28.09</v>
      </c>
      <c r="J35" s="1">
        <v>1362</v>
      </c>
      <c r="K35" s="1"/>
      <c r="L35" s="1"/>
    </row>
    <row r="36" spans="1:12" x14ac:dyDescent="0.2">
      <c r="A36" s="1">
        <v>36</v>
      </c>
      <c r="B36" s="1" t="s">
        <v>95</v>
      </c>
      <c r="C36" t="s">
        <v>94</v>
      </c>
      <c r="D36" s="1">
        <v>16.327999999999999</v>
      </c>
      <c r="E36" s="1">
        <v>-24.346</v>
      </c>
      <c r="F36" s="1">
        <v>257174</v>
      </c>
      <c r="G36" s="1">
        <v>3437</v>
      </c>
      <c r="H36" s="1">
        <v>-3.274</v>
      </c>
      <c r="I36" s="1">
        <v>19.324999999999999</v>
      </c>
      <c r="J36" s="1">
        <v>914</v>
      </c>
      <c r="K36" s="1"/>
      <c r="L36" s="1"/>
    </row>
    <row r="37" spans="1:12" x14ac:dyDescent="0.2">
      <c r="A37" s="1">
        <v>37</v>
      </c>
      <c r="B37" s="1" t="s">
        <v>96</v>
      </c>
      <c r="C37" t="s">
        <v>94</v>
      </c>
      <c r="D37" s="1">
        <v>14.885999999999999</v>
      </c>
      <c r="E37" s="1">
        <v>-26.414000000000001</v>
      </c>
      <c r="F37" s="1">
        <v>1025890</v>
      </c>
      <c r="G37" s="1">
        <v>3358</v>
      </c>
      <c r="H37" s="1">
        <v>-0.82799999999999996</v>
      </c>
      <c r="I37" s="1">
        <v>36.911000000000001</v>
      </c>
      <c r="J37" s="1">
        <v>1855</v>
      </c>
      <c r="L37" s="1"/>
    </row>
    <row r="38" spans="1:12" x14ac:dyDescent="0.2">
      <c r="A38" s="1">
        <v>38</v>
      </c>
      <c r="B38" s="1" t="s">
        <v>76</v>
      </c>
      <c r="C38" t="s">
        <v>94</v>
      </c>
      <c r="D38" s="1">
        <v>15.173</v>
      </c>
      <c r="E38" s="1">
        <v>-26.379000000000001</v>
      </c>
      <c r="F38" s="1">
        <v>934268</v>
      </c>
      <c r="G38" s="1">
        <v>2722</v>
      </c>
      <c r="H38" s="1">
        <v>-2.3809999999999998</v>
      </c>
      <c r="I38" s="1">
        <v>34.463999999999999</v>
      </c>
      <c r="J38" s="1">
        <v>1595</v>
      </c>
      <c r="K38" s="1"/>
      <c r="L38" s="1"/>
    </row>
    <row r="39" spans="1:12" x14ac:dyDescent="0.2">
      <c r="A39" s="1">
        <v>39</v>
      </c>
      <c r="B39" s="1"/>
      <c r="D39" s="1"/>
      <c r="E39" s="1"/>
      <c r="F39" s="1">
        <v>424096</v>
      </c>
      <c r="G39" s="1"/>
      <c r="H39" s="1"/>
      <c r="I39" s="1"/>
      <c r="J39" s="1"/>
      <c r="L39" s="1"/>
    </row>
    <row r="40" spans="1:12" x14ac:dyDescent="0.2">
      <c r="A40" s="1">
        <v>40</v>
      </c>
      <c r="B40" s="1" t="s">
        <v>68</v>
      </c>
      <c r="C40" t="s">
        <v>94</v>
      </c>
      <c r="D40" s="1">
        <v>0.26200000000000001</v>
      </c>
      <c r="E40" s="1">
        <v>-10.747</v>
      </c>
      <c r="F40" s="1">
        <v>454211</v>
      </c>
      <c r="G40" s="1">
        <v>1577</v>
      </c>
      <c r="H40" s="1">
        <v>78</v>
      </c>
      <c r="I40" s="1"/>
      <c r="J40" s="1"/>
      <c r="K40" s="1"/>
      <c r="L40" s="1"/>
    </row>
    <row r="41" spans="1:12" x14ac:dyDescent="0.2">
      <c r="A41" s="1"/>
      <c r="B41" s="1"/>
      <c r="D41" s="1"/>
      <c r="E41" s="1"/>
      <c r="F41" s="1"/>
      <c r="G41" s="1"/>
      <c r="H41" s="1"/>
      <c r="I41" s="1"/>
      <c r="J41" s="1"/>
      <c r="L41" s="1"/>
    </row>
    <row r="42" spans="1:12" x14ac:dyDescent="0.2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D43" s="1"/>
      <c r="E43" s="1"/>
      <c r="F43" s="1"/>
      <c r="G43" s="1"/>
      <c r="H43" s="1"/>
      <c r="I43" s="1"/>
      <c r="J43" s="1"/>
      <c r="L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1"/>
      <c r="D45" s="1"/>
      <c r="E45" s="1"/>
      <c r="F45" s="1"/>
      <c r="G45" s="1"/>
      <c r="L45" s="1"/>
    </row>
    <row r="46" spans="1:1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1"/>
      <c r="D47" s="1"/>
      <c r="E47" s="1"/>
      <c r="F47" s="1"/>
      <c r="G47" s="1"/>
      <c r="L47" s="1"/>
    </row>
    <row r="48" spans="1:1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1"/>
      <c r="D49" s="1"/>
      <c r="E49" s="1"/>
      <c r="F49" s="1"/>
      <c r="G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L51" s="1"/>
    </row>
    <row r="52" spans="1:12" x14ac:dyDescent="0.2">
      <c r="A52" s="1"/>
      <c r="B52" s="1"/>
      <c r="D52" s="1"/>
      <c r="E52" s="1"/>
      <c r="F52" s="1"/>
      <c r="G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workbookViewId="0">
      <selection activeCell="S4" sqref="S4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6" t="s">
        <v>59</v>
      </c>
      <c r="O1" s="36"/>
      <c r="P1" s="36"/>
      <c r="Q1" s="36"/>
      <c r="R1" s="36" t="s">
        <v>62</v>
      </c>
      <c r="S1" s="36"/>
      <c r="T1" s="36"/>
      <c r="U1" s="36"/>
      <c r="V1" s="36"/>
      <c r="W1" s="36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6</v>
      </c>
      <c r="B3" s="1" t="s">
        <v>65</v>
      </c>
      <c r="C3" t="s">
        <v>72</v>
      </c>
      <c r="D3" s="1">
        <v>1.022</v>
      </c>
      <c r="E3" s="1">
        <v>-26.109000000000002</v>
      </c>
      <c r="F3" s="1">
        <v>29186</v>
      </c>
      <c r="G3" s="1">
        <v>1497</v>
      </c>
      <c r="H3" s="1">
        <v>-2.7679999999999998</v>
      </c>
      <c r="I3" s="1">
        <v>1.2809999999999999</v>
      </c>
      <c r="J3" s="1">
        <v>58</v>
      </c>
      <c r="K3" s="2"/>
      <c r="L3" s="28">
        <f>E3-((G3^3*$B$25+G3^2*$B$26+G3*$B$27+$B$28)+(A3^3*$C$25+$C$26*A3^2+$C$27*A3+$C$28))</f>
        <v>-26.100620130000003</v>
      </c>
      <c r="M3" s="28">
        <f>H3-((J3^3*$B$31+J3^2*$B$32+J3*$B$33+$B$34)+(A3^3*$C$31+$C$32*A3^2+$C$33*A3+$C$34))</f>
        <v>-2.7679999999999998</v>
      </c>
      <c r="N3" s="3">
        <v>-26.54</v>
      </c>
      <c r="O3" s="3">
        <v>7.46</v>
      </c>
      <c r="P3" s="22">
        <v>1.04</v>
      </c>
      <c r="Q3" s="3">
        <v>0.12</v>
      </c>
      <c r="R3" s="20">
        <f>(P3*D3)/F3</f>
        <v>3.6417460426231755E-5</v>
      </c>
      <c r="S3" s="20">
        <f>(Q3*D3)/I3</f>
        <v>9.5737704918032795E-2</v>
      </c>
      <c r="T3" s="12">
        <f>((F3*standards!$R$31+standards!$R$30)*F3)/D3</f>
        <v>1.0165613645002318</v>
      </c>
      <c r="U3" s="12">
        <f>((I3*standards!$S$31+standards!$S$30)*I3)/D3</f>
        <v>0.13700788578643142</v>
      </c>
      <c r="V3" s="9">
        <f>(E3-((G3^3*standards!$B$25+G3^2*standards!$B$26+G3*standards!$B$27+standards!$B$28)+(A3^3*standards!$C$25+standards!$C$26*A3^2+standards!$C$27*A3+standards!$C$28)))*standards!$R$27+standards!$R$26</f>
        <v>-26.554529452141526</v>
      </c>
      <c r="W3" s="9">
        <f>(H3-((J3^3*standards!$B$31+J3^2*standards!$B$32+J3*standards!$B$33+standards!$B$34)+(A3^3*standards!$C$31+standards!$C$32*A3^2+standards!$C$33*A3+standards!$C$34)))*standards!$S$27+standards!$S$26</f>
        <v>7.4617033091056468</v>
      </c>
    </row>
    <row r="4" spans="1:23" x14ac:dyDescent="0.2">
      <c r="A4" s="1">
        <v>25</v>
      </c>
      <c r="B4" s="1" t="s">
        <v>65</v>
      </c>
      <c r="C4" t="s">
        <v>72</v>
      </c>
      <c r="D4" s="1">
        <v>0.84499999999999997</v>
      </c>
      <c r="E4" s="1">
        <v>-25.827000000000002</v>
      </c>
      <c r="F4" s="1">
        <v>25738</v>
      </c>
      <c r="G4" s="1">
        <v>1340</v>
      </c>
      <c r="H4" s="1"/>
      <c r="I4" s="1"/>
      <c r="J4" s="1"/>
      <c r="K4" s="2"/>
      <c r="L4" s="28">
        <f t="shared" ref="L4:L13" si="0">E4-((G4^3*$B$25+G4^2*$B$26+G4*$B$27+$B$28)+(A4^3*$C$25+$C$26*A4^2+$C$27*A4+$C$28))</f>
        <v>-26.094308600000002</v>
      </c>
      <c r="M4" s="28">
        <f t="shared" ref="M4:M13" si="1">H4-((J4^3*$B$31+J4^2*$B$32+J4*$B$33+$B$34)+(A4^3*$C$31+$C$32*A4^2+$C$33*A4+$C$34))</f>
        <v>0</v>
      </c>
      <c r="N4" s="3">
        <v>-26.54</v>
      </c>
      <c r="O4" s="3">
        <v>7.46</v>
      </c>
      <c r="P4" s="22">
        <v>1.04</v>
      </c>
      <c r="Q4" s="3">
        <v>0.12</v>
      </c>
      <c r="R4" s="20">
        <f t="shared" ref="R4:R7" si="2">(P4*D4)/F4</f>
        <v>3.4144067138083765E-5</v>
      </c>
      <c r="S4" s="20"/>
      <c r="T4" s="12">
        <f>((F4*standards!$R$31+standards!$R$30)*F4)/D4</f>
        <v>1.0838931298016676</v>
      </c>
      <c r="U4" s="12">
        <f>((I4*standards!$S$31+standards!$S$30)*I4)/D4</f>
        <v>0</v>
      </c>
      <c r="V4" s="9">
        <f>(E4-((G4^3*standards!$B$25+G4^2*standards!$B$26+G4*standards!$B$27+standards!$B$28)+(A4^3*standards!$C$25+standards!$C$26*A4^2+standards!$C$27*A4+standards!$C$28)))*standards!$R$27+standards!$R$26</f>
        <v>-26.548200682121728</v>
      </c>
      <c r="W4" s="9">
        <f>(H4-((J4^3*standards!$B$31+J4^2*standards!$B$32+J4*standards!$B$33+standards!$B$34)+(A4^3*standards!$C$31+standards!$C$32*A4^2+standards!$C$33*A4+standards!$C$34)))*standards!$S$27+standards!$S$26</f>
        <v>7.6390905856853806</v>
      </c>
    </row>
    <row r="5" spans="1:23" x14ac:dyDescent="0.2">
      <c r="A5" s="1">
        <v>26</v>
      </c>
      <c r="B5" s="1" t="s">
        <v>65</v>
      </c>
      <c r="C5" t="s">
        <v>72</v>
      </c>
      <c r="D5" s="1">
        <v>1.5029999999999999</v>
      </c>
      <c r="E5" s="1">
        <v>-25.844000000000001</v>
      </c>
      <c r="F5" s="1">
        <v>44769</v>
      </c>
      <c r="G5" s="1">
        <v>2285</v>
      </c>
      <c r="H5" s="1">
        <v>-2.8090000000000002</v>
      </c>
      <c r="I5" s="1">
        <v>1.706</v>
      </c>
      <c r="J5" s="1">
        <v>70</v>
      </c>
      <c r="K5" s="2"/>
      <c r="L5" s="28">
        <f t="shared" si="0"/>
        <v>-26.06699265</v>
      </c>
      <c r="M5" s="28">
        <f t="shared" si="1"/>
        <v>-2.8090000000000002</v>
      </c>
      <c r="N5" s="3">
        <v>-26.54</v>
      </c>
      <c r="O5" s="3">
        <v>7.46</v>
      </c>
      <c r="P5" s="22">
        <v>1.04</v>
      </c>
      <c r="Q5" s="3">
        <v>0.12</v>
      </c>
      <c r="R5" s="20">
        <f t="shared" si="2"/>
        <v>3.4915231521811963E-5</v>
      </c>
      <c r="S5" s="20">
        <f t="shared" ref="S5:S7" si="3">(Q5*D5)/I5</f>
        <v>0.10572098475967175</v>
      </c>
      <c r="T5" s="12">
        <f>((F5*standards!$R$31+standards!$R$30)*F5)/D5</f>
        <v>1.0618604449924149</v>
      </c>
      <c r="U5" s="12">
        <f>((I5*standards!$S$31+standards!$S$30)*I5)/D5</f>
        <v>0.12335082979858454</v>
      </c>
      <c r="V5" s="9">
        <f>(E5-((G5^3*standards!$B$25+G5^2*standards!$B$26+G5*standards!$B$27+standards!$B$28)+(A5^3*standards!$C$25+standards!$C$26*A5^2+standards!$C$27*A5+standards!$C$28)))*standards!$R$27+standards!$R$26</f>
        <v>-26.520810118277112</v>
      </c>
      <c r="W5" s="9">
        <f>(H5-((J5^3*standards!$B$31+J5^2*standards!$B$32+J5*standards!$B$33+standards!$B$34)+(A5^3*standards!$C$31+standards!$C$32*A5^2+standards!$C$33*A5+standards!$C$34)))*standards!$S$27+standards!$S$26</f>
        <v>7.459075824156308</v>
      </c>
    </row>
    <row r="6" spans="1:23" x14ac:dyDescent="0.2">
      <c r="A6" s="1">
        <v>27</v>
      </c>
      <c r="B6" s="1" t="s">
        <v>65</v>
      </c>
      <c r="C6" t="s">
        <v>72</v>
      </c>
      <c r="D6" s="1">
        <v>3.0339999999999998</v>
      </c>
      <c r="E6" s="1">
        <v>-26.027999999999999</v>
      </c>
      <c r="F6" s="1">
        <v>85915</v>
      </c>
      <c r="G6" s="1">
        <v>4718</v>
      </c>
      <c r="H6" s="1">
        <v>2.1970000000000001</v>
      </c>
      <c r="I6" s="1">
        <v>3.0009999999999999</v>
      </c>
      <c r="J6" s="1">
        <v>143</v>
      </c>
      <c r="K6" s="2"/>
      <c r="L6" s="28">
        <f t="shared" si="0"/>
        <v>-26.11485222</v>
      </c>
      <c r="M6" s="28">
        <f t="shared" si="1"/>
        <v>2.1970000000000001</v>
      </c>
      <c r="N6" s="3">
        <v>-26.54</v>
      </c>
      <c r="O6" s="3">
        <v>7.46</v>
      </c>
      <c r="P6" s="22">
        <v>1.04</v>
      </c>
      <c r="Q6" s="3">
        <v>0.12</v>
      </c>
      <c r="R6" s="20">
        <f t="shared" si="2"/>
        <v>3.67265320374789E-5</v>
      </c>
      <c r="S6" s="20">
        <f t="shared" si="3"/>
        <v>0.12131956014661778</v>
      </c>
      <c r="T6" s="12">
        <f>((F6*standards!$R$31+standards!$R$30)*F6)/D6</f>
        <v>1.0134106907207192</v>
      </c>
      <c r="U6" s="12">
        <f>((I6*standards!$S$31+standards!$S$30)*I6)/D6</f>
        <v>0.10558103209572799</v>
      </c>
      <c r="V6" s="9">
        <f>(E6-((G6^3*standards!$B$25+G6^2*standards!$B$26+G6*standards!$B$27+standards!$B$28)+(A6^3*standards!$C$25+standards!$C$26*A6^2+standards!$C$27*A6+standards!$C$28)))*standards!$R$27+standards!$R$26</f>
        <v>-26.568800417265827</v>
      </c>
      <c r="W6" s="9">
        <f>(H6-((J6^3*standards!$B$31+J6^2*standards!$B$32+J6*standards!$B$33+standards!$B$34)+(A6^3*standards!$C$31+standards!$C$32*A6^2+standards!$C$33*A6+standards!$C$34)))*standards!$S$27+standards!$S$26</f>
        <v>7.7798853279706677</v>
      </c>
    </row>
    <row r="7" spans="1:23" x14ac:dyDescent="0.2">
      <c r="A7" s="1">
        <v>28</v>
      </c>
      <c r="B7" s="1" t="s">
        <v>65</v>
      </c>
      <c r="C7" t="s">
        <v>72</v>
      </c>
      <c r="D7" s="1">
        <v>5.0419999999999998</v>
      </c>
      <c r="E7" s="1">
        <v>-25.97</v>
      </c>
      <c r="F7" s="1">
        <v>139857</v>
      </c>
      <c r="G7" s="1">
        <v>4026</v>
      </c>
      <c r="H7" s="1">
        <v>2.7429999999999999</v>
      </c>
      <c r="I7" s="1">
        <v>4.9550000000000001</v>
      </c>
      <c r="J7" s="1">
        <v>252</v>
      </c>
      <c r="K7" s="2"/>
      <c r="L7" s="28">
        <f t="shared" si="0"/>
        <v>-26.11355554</v>
      </c>
      <c r="M7" s="28">
        <f t="shared" si="1"/>
        <v>2.7429999999999999</v>
      </c>
      <c r="N7" s="3">
        <v>-26.54</v>
      </c>
      <c r="O7" s="3">
        <v>7.46</v>
      </c>
      <c r="P7" s="22">
        <v>1.04</v>
      </c>
      <c r="Q7" s="3">
        <v>0.12</v>
      </c>
      <c r="R7" s="20">
        <f t="shared" si="2"/>
        <v>3.7493153721301044E-5</v>
      </c>
      <c r="S7" s="20">
        <f t="shared" si="3"/>
        <v>0.12210696266397576</v>
      </c>
      <c r="T7" s="12">
        <f>((F7*standards!$R$31+standards!$R$30)*F7)/D7</f>
        <v>0.99772311975765404</v>
      </c>
      <c r="U7" s="12">
        <f>((I7*standards!$S$31+standards!$S$30)*I7)/D7</f>
        <v>0.10203673943535435</v>
      </c>
      <c r="V7" s="9">
        <f>(E7-((G7^3*standards!$B$25+G7^2*standards!$B$26+G7*standards!$B$27+standards!$B$28)+(A7^3*standards!$C$25+standards!$C$26*A7^2+standards!$C$27*A7+standards!$C$28)))*standards!$R$27+standards!$R$26</f>
        <v>-26.567500195368876</v>
      </c>
      <c r="W7" s="9">
        <f>(H7-((J7^3*standards!$B$31+J7^2*standards!$B$32+J7*standards!$B$33+standards!$B$34)+(A7^3*standards!$C$31+standards!$C$32*A7^2+standards!$C$33*A7+standards!$C$34)))*standards!$S$27+standards!$S$26</f>
        <v>7.8148757372960063</v>
      </c>
    </row>
    <row r="8" spans="1:23" x14ac:dyDescent="0.2">
      <c r="A8" s="1"/>
      <c r="B8" s="1"/>
      <c r="D8" s="1"/>
      <c r="E8" s="1"/>
      <c r="F8" s="1"/>
      <c r="G8" s="1"/>
      <c r="H8" s="1"/>
      <c r="I8" s="1"/>
      <c r="J8" s="1"/>
      <c r="K8" s="2"/>
      <c r="L8" s="28"/>
      <c r="M8" s="28"/>
      <c r="N8" s="3"/>
      <c r="O8" s="3"/>
      <c r="P8" s="22"/>
      <c r="Q8" s="3"/>
      <c r="R8" s="20"/>
      <c r="S8" s="20"/>
      <c r="T8" s="12"/>
      <c r="U8" s="12"/>
      <c r="V8" s="9"/>
      <c r="W8" s="9"/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5</v>
      </c>
      <c r="B12" s="1" t="s">
        <v>68</v>
      </c>
      <c r="D12" s="1">
        <v>0.26900000000000002</v>
      </c>
      <c r="E12" s="1">
        <v>-11.339</v>
      </c>
      <c r="F12" s="1">
        <v>346899</v>
      </c>
      <c r="G12" s="1">
        <v>1894</v>
      </c>
      <c r="H12" s="1">
        <v>11.561</v>
      </c>
      <c r="I12" s="1">
        <v>47.593000000000004</v>
      </c>
      <c r="J12" s="1">
        <v>2487</v>
      </c>
      <c r="K12" s="2"/>
      <c r="L12" s="28">
        <f t="shared" si="0"/>
        <v>-11.29212126</v>
      </c>
      <c r="M12" s="28">
        <f t="shared" si="1"/>
        <v>11.561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47.283416422036296</v>
      </c>
      <c r="U12" s="12">
        <f>((I12*standards!$S$31+standards!$S$30)*I12)/D12</f>
        <v>7.120915820661299</v>
      </c>
      <c r="V12" s="9">
        <f>(E12-((G12^3*standards!$B$25+G12^2*standards!$B$26+G12*standards!$B$27+standards!$B$28)+(A12^3*standards!$C$25+standards!$C$26*A12^2+standards!$C$27*A12+standards!$C$28)))*standards!$R$27+standards!$R$26</f>
        <v>-11.705580990102332</v>
      </c>
      <c r="W12" s="9">
        <f>(H12-((J12^3*standards!$B$31+J12^2*standards!$B$32+J12*standards!$B$33+standards!$B$34)+(A12^3*standards!$C$31+standards!$C$32*A12^2+standards!$C$33*A12+standards!$C$34)))*standards!$S$27+standards!$S$26</f>
        <v>8.3799772564000872</v>
      </c>
    </row>
    <row r="13" spans="1:23" x14ac:dyDescent="0.2">
      <c r="A13" s="1">
        <v>23</v>
      </c>
      <c r="B13" s="1" t="s">
        <v>68</v>
      </c>
      <c r="C13" t="s">
        <v>72</v>
      </c>
      <c r="D13" s="1">
        <v>0.22</v>
      </c>
      <c r="E13" s="1">
        <v>-11.090999999999999</v>
      </c>
      <c r="F13" s="1">
        <v>286854</v>
      </c>
      <c r="G13" s="1">
        <v>3374</v>
      </c>
      <c r="H13" s="1">
        <v>10.545999999999999</v>
      </c>
      <c r="I13" s="1">
        <v>37.433</v>
      </c>
      <c r="J13" s="1">
        <v>1856</v>
      </c>
      <c r="K13" s="2"/>
      <c r="L13" s="28">
        <f t="shared" si="0"/>
        <v>-11.20479046</v>
      </c>
      <c r="M13" s="28">
        <f t="shared" si="1"/>
        <v>10.545999999999999</v>
      </c>
      <c r="N13" s="3">
        <v>-11.65</v>
      </c>
      <c r="O13" s="3">
        <v>11.79</v>
      </c>
      <c r="P13" s="22"/>
      <c r="Q13" s="3"/>
      <c r="R13" s="20"/>
      <c r="S13" s="20"/>
      <c r="T13" s="12">
        <f>((F13*standards!$R$31+standards!$R$30)*F13)/D13</f>
        <v>47.544148076965229</v>
      </c>
      <c r="U13" s="12">
        <f>((I13*standards!$S$31+standards!$S$30)*I13)/D13</f>
        <v>9.4260192728450001</v>
      </c>
      <c r="V13" s="9">
        <f>(E13-((G13^3*standards!$B$25+G13^2*standards!$B$26+G13*standards!$B$27+standards!$B$28)+(A13^3*standards!$C$25+standards!$C$26*A13^2+standards!$C$27*A13+standards!$C$28)))*standards!$R$27+standards!$R$26</f>
        <v>-11.618011644976086</v>
      </c>
      <c r="W13" s="9">
        <f>(H13-((J13^3*standards!$B$31+J13^2*standards!$B$32+J13*standards!$B$33+standards!$B$34)+(A13^3*standards!$C$31+standards!$C$32*A13^2+standards!$C$33*A13+standards!$C$34)))*standards!$S$27+standards!$S$26</f>
        <v>8.3149309826542659</v>
      </c>
    </row>
    <row r="14" spans="1:23" x14ac:dyDescent="0.2">
      <c r="A14" s="1">
        <v>40</v>
      </c>
      <c r="B14" s="1" t="s">
        <v>68</v>
      </c>
      <c r="C14" t="s">
        <v>94</v>
      </c>
      <c r="D14" s="1">
        <v>0.26200000000000001</v>
      </c>
      <c r="E14" s="1">
        <v>-10.747</v>
      </c>
      <c r="F14" s="1">
        <v>454211</v>
      </c>
      <c r="G14" s="1">
        <v>1577</v>
      </c>
      <c r="H14" s="1">
        <v>78</v>
      </c>
      <c r="I14" s="1"/>
      <c r="J14" s="1"/>
      <c r="K14" s="15"/>
      <c r="L14" s="28">
        <f t="shared" ref="L14:L19" si="4">E14-((G14^3*$B$25+G14^2*$B$26+G14*$B$27+$B$28)+(A14^3*$C$25+$C$26*A14^2+$C$27*A14+$C$28))</f>
        <v>-11.209683330000001</v>
      </c>
      <c r="M14" s="28">
        <f t="shared" ref="M14:M19" si="5">H14-((J14^3*$B$31+J14^2*$B$32+J14*$B$33+$B$34)+(A14^3*$C$31+$C$32*A14^2+$C$33*A14+$C$34))</f>
        <v>78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64.190329604324333</v>
      </c>
      <c r="U14" s="12">
        <f>((I14*standards!$S$31+standards!$S$30)*I14)/D14</f>
        <v>0</v>
      </c>
      <c r="V14" s="9">
        <f>(E14-((G14^3*standards!$B$25+G14^2*standards!$B$26+G14*standards!$B$27+standards!$B$28)+(A14^3*standards!$C$25+standards!$C$26*A14^2+standards!$C$27*A14+standards!$C$28)))*standards!$R$27+standards!$R$26</f>
        <v>-11.622917879909098</v>
      </c>
      <c r="W14" s="9">
        <f>(H14-((J14^3*standards!$B$31+J14^2*standards!$B$32+J14*standards!$B$33+standards!$B$34)+(A14^3*standards!$C$31+standards!$C$32*A14^2+standards!$C$33*A14+standards!$C$34)))*standards!$S$27+standards!$S$26</f>
        <v>12.637720489305057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7</v>
      </c>
      <c r="B18" s="1" t="s">
        <v>64</v>
      </c>
      <c r="C18" t="s">
        <v>72</v>
      </c>
      <c r="D18" s="1">
        <v>1.3069999999999999</v>
      </c>
      <c r="E18" s="1">
        <v>-27.58</v>
      </c>
      <c r="F18" s="1">
        <v>211473</v>
      </c>
      <c r="G18" s="1">
        <v>3390</v>
      </c>
      <c r="H18" s="1">
        <v>1.4330000000000001</v>
      </c>
      <c r="I18" s="1">
        <v>7.0039999999999996</v>
      </c>
      <c r="J18" s="1">
        <v>338</v>
      </c>
      <c r="K18" s="2"/>
      <c r="L18" s="28">
        <f t="shared" si="4"/>
        <v>-27.468803099999999</v>
      </c>
      <c r="M18" s="28">
        <f t="shared" si="5"/>
        <v>1.4330000000000001</v>
      </c>
      <c r="N18" s="3">
        <v>-27.87</v>
      </c>
      <c r="O18" s="3">
        <v>5.15</v>
      </c>
      <c r="P18" s="22">
        <v>5.9</v>
      </c>
      <c r="Q18" s="3">
        <v>0.48</v>
      </c>
      <c r="R18" s="20">
        <f>(P18*D18)/F18</f>
        <v>3.6464702349708945E-5</v>
      </c>
      <c r="S18" s="20">
        <f>(Q18*D18)/I18</f>
        <v>8.957167332952598E-2</v>
      </c>
      <c r="T18" s="12">
        <f>((F18*standards!$R$31+standards!$R$30)*F18)/D18</f>
        <v>5.8587810184185711</v>
      </c>
      <c r="U18" s="12">
        <f>((I18*standards!$S$31+standards!$S$30)*I18)/D18</f>
        <v>0.54002559411645623</v>
      </c>
      <c r="V18" s="9">
        <f>(E18-((G18^3*standards!$B$25+G18^2*standards!$B$26+G18*standards!$B$27+standards!$B$28)+(A18^3*standards!$C$25+standards!$C$26*A18^2+standards!$C$27*A18+standards!$C$28)))*standards!$R$27+standards!$R$26</f>
        <v>-27.926449630312135</v>
      </c>
      <c r="W18" s="9">
        <f>(H18-((J18^3*standards!$B$31+J18^2*standards!$B$32+J18*standards!$B$33+standards!$B$34)+(A18^3*standards!$C$31+standards!$C$32*A18^2+standards!$C$33*A18+standards!$C$34)))*standards!$S$27+standards!$S$26</f>
        <v>7.7309243889147012</v>
      </c>
    </row>
    <row r="19" spans="1:23" x14ac:dyDescent="0.2">
      <c r="A19" s="1">
        <v>24</v>
      </c>
      <c r="B19" s="1" t="s">
        <v>64</v>
      </c>
      <c r="C19" t="s">
        <v>72</v>
      </c>
      <c r="D19" s="1">
        <v>1.3080000000000001</v>
      </c>
      <c r="E19" s="1">
        <v>-27.175000000000001</v>
      </c>
      <c r="F19" s="1">
        <v>221255</v>
      </c>
      <c r="G19" s="1">
        <v>3419</v>
      </c>
      <c r="H19" s="1">
        <v>1.7589999999999999</v>
      </c>
      <c r="I19" s="1">
        <v>6.5149999999999997</v>
      </c>
      <c r="J19" s="1">
        <v>321</v>
      </c>
      <c r="K19" s="15"/>
      <c r="L19" s="28">
        <f t="shared" si="4"/>
        <v>-27.300013509999999</v>
      </c>
      <c r="M19" s="28">
        <f t="shared" si="5"/>
        <v>1.7589999999999999</v>
      </c>
      <c r="N19" s="3">
        <v>-27.87</v>
      </c>
      <c r="O19" s="3">
        <v>5.15</v>
      </c>
      <c r="P19" s="22">
        <v>5.9</v>
      </c>
      <c r="Q19" s="3">
        <v>0.48</v>
      </c>
      <c r="R19" s="20">
        <f t="shared" ref="R19" si="6">(P19*D19)/F19</f>
        <v>3.4879211769225558E-5</v>
      </c>
      <c r="S19" s="20">
        <f t="shared" ref="S19" si="7">(Q19*D19)/I19</f>
        <v>9.6368380660015351E-2</v>
      </c>
      <c r="T19" s="12">
        <f>((F19*standards!$R$31+standards!$R$30)*F19)/D19</f>
        <v>6.1306678481933705</v>
      </c>
      <c r="U19" s="12">
        <f>((I19*standards!$S$31+standards!$S$30)*I19)/D19</f>
        <v>0.50557041316306617</v>
      </c>
      <c r="V19" s="9">
        <f>(E19-((G19^3*standards!$B$25+G19^2*standards!$B$26+G19*standards!$B$27+standards!$B$28)+(A19^3*standards!$C$25+standards!$C$26*A19^2+standards!$C$27*A19+standards!$C$28)))*standards!$R$27+standards!$R$26</f>
        <v>-27.757198989525293</v>
      </c>
      <c r="W19" s="9">
        <f>(H19-((J19^3*standards!$B$31+J19^2*standards!$B$32+J19*standards!$B$33+standards!$B$34)+(A19^3*standards!$C$31+standards!$C$32*A19^2+standards!$C$33*A19+standards!$C$34)))*standards!$S$27+standards!$S$26</f>
        <v>7.7518160985118811</v>
      </c>
    </row>
    <row r="20" spans="1:23" x14ac:dyDescent="0.2">
      <c r="A20" s="1"/>
      <c r="B20" s="1"/>
      <c r="D20" s="1"/>
      <c r="E20" s="1"/>
      <c r="F20" s="1"/>
      <c r="G20" s="1"/>
      <c r="H20" s="1"/>
      <c r="I20" s="1"/>
      <c r="J20" s="1"/>
      <c r="K20" s="15"/>
      <c r="L20" s="28"/>
      <c r="M20" s="28"/>
      <c r="N20" s="3"/>
      <c r="O20" s="3"/>
      <c r="P20" s="22"/>
      <c r="Q20" s="3"/>
      <c r="R20" s="20"/>
      <c r="S20" s="20"/>
      <c r="T20" s="12"/>
      <c r="U20" s="12"/>
      <c r="V20" s="9"/>
      <c r="W20" s="9">
        <f>(H20-((J20^3*standards!$B$31+J20^2*standards!$B$32+J20*standards!$B$33+standards!$B$34)+(A20^3*standards!$C$31+standards!$C$32*A20^2+standards!$C$33*A20+standards!$C$34)))*standards!$S$27+standards!$S$26</f>
        <v>7.6390905856853806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LOC</v>
      </c>
      <c r="F25" s="31">
        <f>AVERAGE(E3:E11)</f>
        <v>-25.955599999999997</v>
      </c>
      <c r="G25" s="31">
        <f>STDEV(E3:E11)</f>
        <v>0.12038812233771196</v>
      </c>
      <c r="H25" s="31">
        <f>AVERAGE(L3:L11)</f>
        <v>-26.098065827999999</v>
      </c>
      <c r="I25" s="31">
        <f>STDEV(L3:L11)</f>
        <v>1.9415829535404217E-2</v>
      </c>
      <c r="J25" s="31">
        <f>AVERAGE(V3:V11)</f>
        <v>-26.551968173035011</v>
      </c>
      <c r="K25" s="31">
        <f>STDEV(V3:V11)</f>
        <v>1.9468864106342337E-2</v>
      </c>
      <c r="L25" s="31">
        <f>AVERAGE(T3:T10)</f>
        <v>1.0346897499545376</v>
      </c>
      <c r="M25" s="31">
        <f>STDEV(T3:T10)</f>
        <v>3.6425223837307008E-2</v>
      </c>
      <c r="N25" s="6">
        <f>P3</f>
        <v>1.04</v>
      </c>
      <c r="O25" s="32">
        <f>L25*0.05</f>
        <v>5.1734487497726883E-2</v>
      </c>
      <c r="R25" t="s">
        <v>55</v>
      </c>
      <c r="S25" t="s">
        <v>20</v>
      </c>
    </row>
    <row r="26" spans="1:23" x14ac:dyDescent="0.2">
      <c r="A26" s="17" t="s">
        <v>45</v>
      </c>
      <c r="B26" s="18"/>
      <c r="C26" s="19"/>
      <c r="E26" t="str">
        <f>B12</f>
        <v>Taipan</v>
      </c>
      <c r="F26" s="31">
        <f>AVERAGE(E12:E17)</f>
        <v>-11.058999999999999</v>
      </c>
      <c r="G26" s="31">
        <f>STDEV(E12:E17)</f>
        <v>0.29729446681699295</v>
      </c>
      <c r="H26" s="31">
        <f>AVERAGE(L12:L17)</f>
        <v>-11.235531683333335</v>
      </c>
      <c r="I26" s="31">
        <f>STDEV(L12:L17)</f>
        <v>4.9069034886510869E-2</v>
      </c>
      <c r="J26" s="31">
        <f>AVERAGE(V12:V17)</f>
        <v>-11.648836838329172</v>
      </c>
      <c r="K26" s="31">
        <f>STDEV(V12:V17)</f>
        <v>4.9203067543051079E-2</v>
      </c>
      <c r="L26" s="31">
        <f>AVERAGE(T12:T17)</f>
        <v>53.005964701108617</v>
      </c>
      <c r="M26" s="31">
        <f>STDEV(T12:T17)</f>
        <v>9.6868214066938894</v>
      </c>
      <c r="N26" s="6">
        <f>P12</f>
        <v>0</v>
      </c>
      <c r="O26" s="32">
        <f t="shared" ref="O26:O33" si="8">L26*0.05</f>
        <v>2.6502982350554309</v>
      </c>
      <c r="Q26" t="s">
        <v>21</v>
      </c>
      <c r="R26" s="5">
        <f>INTERCEPT(N3:N22,L3:L22)</f>
        <v>-0.38261516562392828</v>
      </c>
      <c r="S26" s="5">
        <f>INTERCEPT(O3:O22,M3:M22)</f>
        <v>7.6390905856853806</v>
      </c>
    </row>
    <row r="27" spans="1:23" x14ac:dyDescent="0.2">
      <c r="A27" s="17" t="s">
        <v>46</v>
      </c>
      <c r="B27" s="18">
        <v>-6.1710000000000004E-5</v>
      </c>
      <c r="C27" s="19">
        <v>1.4E-2</v>
      </c>
      <c r="E27" t="str">
        <f>B18</f>
        <v>HOC</v>
      </c>
      <c r="F27" s="31">
        <f>AVERAGE(E18:E22)</f>
        <v>-27.377499999999998</v>
      </c>
      <c r="G27" s="31">
        <f>STDEV(E18:E22)</f>
        <v>0.28637824638055004</v>
      </c>
      <c r="H27" s="31">
        <f>AVERAGE(L18:L22)</f>
        <v>-27.384408305000001</v>
      </c>
      <c r="I27" s="31">
        <f>STDEV(L18:L22)</f>
        <v>0.11935226368269664</v>
      </c>
      <c r="J27" s="31">
        <f>AVERAGE(V18:V22)</f>
        <v>-27.841824309918714</v>
      </c>
      <c r="K27" s="31">
        <f>STDEV(V18:V22)</f>
        <v>0.11967827582054455</v>
      </c>
      <c r="L27" s="31">
        <f>AVERAGE(T18:T22)</f>
        <v>5.9947244333059704</v>
      </c>
      <c r="M27" s="31">
        <f>STDEV(T18:T22)</f>
        <v>0.19225302104907319</v>
      </c>
      <c r="N27" s="6">
        <f>P18</f>
        <v>5.9</v>
      </c>
      <c r="O27" s="32">
        <f t="shared" si="8"/>
        <v>0.29973622166529851</v>
      </c>
      <c r="Q27" t="s">
        <v>22</v>
      </c>
      <c r="R27" s="5">
        <f>SLOPE(N3:N22,L3:L22)</f>
        <v>1.0027315119779721</v>
      </c>
      <c r="S27" s="5">
        <f>SLOPE(O3:O22,M3:M22)</f>
        <v>6.408499876435482E-2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3.5498529445766625E-5</v>
      </c>
      <c r="S30" s="5">
        <f>INTERCEPT(S3:S22,I3:I22)</f>
        <v>0.11121701841304242</v>
      </c>
    </row>
    <row r="31" spans="1:23" x14ac:dyDescent="0.2">
      <c r="A31" s="17" t="s">
        <v>44</v>
      </c>
      <c r="B31" s="18"/>
      <c r="C31" s="19"/>
      <c r="E31" t="str">
        <f>B3</f>
        <v>LOC</v>
      </c>
      <c r="F31" s="31">
        <f>AVERAGE(H3:H11)</f>
        <v>-0.15925</v>
      </c>
      <c r="G31" s="31">
        <f>STDEV(H3:H11)</f>
        <v>3.0442142253790219</v>
      </c>
      <c r="H31" s="31">
        <f>AVERAGE(M3:M11)</f>
        <v>-0.12740000000000001</v>
      </c>
      <c r="I31" s="31">
        <f>STDEV(M3:M11)</f>
        <v>2.6373286295037257</v>
      </c>
      <c r="J31" s="31">
        <f>AVERAGE(W3:W11)</f>
        <v>7.6309261568428015</v>
      </c>
      <c r="K31" s="31">
        <f>STDEV(V9:V17)</f>
        <v>4.9203067543051079E-2</v>
      </c>
      <c r="L31" s="31">
        <f>AVERAGE(U3:U11)</f>
        <v>9.3595297423219662E-2</v>
      </c>
      <c r="M31" s="31">
        <f>STDEV(U3:U11)</f>
        <v>5.4187267909445308E-2</v>
      </c>
      <c r="N31" s="6">
        <f>Q3</f>
        <v>0.12</v>
      </c>
      <c r="O31" s="32">
        <f t="shared" si="8"/>
        <v>4.6797648711609831E-3</v>
      </c>
      <c r="Q31" t="s">
        <v>22</v>
      </c>
      <c r="R31" s="5">
        <f>SLOPE(R3:R22,F3:F22)</f>
        <v>3.3641208023228295E-12</v>
      </c>
      <c r="S31" s="5">
        <f>SLOPE(S3:S22,I3:I22)</f>
        <v>-1.4911636007037511E-3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>
        <f>AVERAGE(H12:H17)</f>
        <v>33.369</v>
      </c>
      <c r="G32" s="31">
        <f>STDEV(H12:H17)</f>
        <v>38.654911421448119</v>
      </c>
      <c r="H32" s="31">
        <f>AVERAGE(M12:M17)</f>
        <v>33.369</v>
      </c>
      <c r="I32" s="31">
        <f>STDEV(M12:M17)</f>
        <v>38.654911421448119</v>
      </c>
      <c r="J32" s="31">
        <f>AVERAGE(W12:W17)</f>
        <v>9.7775429094531372</v>
      </c>
      <c r="K32" s="31">
        <f>STDEV(V18:V23)</f>
        <v>0.11967827582054455</v>
      </c>
      <c r="L32" s="31">
        <f>AVERAGE(U12:U16)</f>
        <v>5.5156450311687664</v>
      </c>
      <c r="M32" s="31">
        <f>STDEV(U12:U17)</f>
        <v>4.9137694862203114</v>
      </c>
      <c r="N32" s="6">
        <f>Q12</f>
        <v>0</v>
      </c>
      <c r="O32" s="32">
        <f t="shared" si="8"/>
        <v>0.27578225155843833</v>
      </c>
    </row>
    <row r="33" spans="1:15" x14ac:dyDescent="0.2">
      <c r="A33" s="17" t="s">
        <v>46</v>
      </c>
      <c r="B33" s="18"/>
      <c r="C33" s="19"/>
      <c r="E33" t="str">
        <f>B18</f>
        <v>HOC</v>
      </c>
      <c r="F33" s="31">
        <f>AVERAGE(H18:H22)</f>
        <v>1.5960000000000001</v>
      </c>
      <c r="G33" s="31">
        <f>STDEV(H18:H22)</f>
        <v>0.23051681066681382</v>
      </c>
      <c r="H33" s="31">
        <f>AVERAGE(M18:M22)</f>
        <v>1.5960000000000001</v>
      </c>
      <c r="I33" s="31">
        <f>STDEV(M18:M22)</f>
        <v>0.23051681066681382</v>
      </c>
      <c r="J33" s="31">
        <f>AVERAGE(W18:W22)</f>
        <v>7.7072770243706543</v>
      </c>
      <c r="K33" s="31">
        <f>STDEV(W18:W22)</f>
        <v>5.996798060555876E-2</v>
      </c>
      <c r="L33" s="31">
        <f>AVERAGE(U18:U22)</f>
        <v>0.52279800363976126</v>
      </c>
      <c r="M33" s="31">
        <f>STDEV(U18:U22)</f>
        <v>2.4363492099151687E-2</v>
      </c>
      <c r="N33" s="6">
        <f>Q18</f>
        <v>0.48</v>
      </c>
      <c r="O33" s="32">
        <f t="shared" si="8"/>
        <v>2.6139900181988064E-2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4" si="9">A3</f>
        <v>6</v>
      </c>
      <c r="B40" s="8">
        <f t="shared" ref="B40:B44" si="10">G3</f>
        <v>1497</v>
      </c>
      <c r="C40" s="2">
        <f t="shared" ref="C40:C44" si="11">E3</f>
        <v>-26.109000000000002</v>
      </c>
      <c r="D40" s="2">
        <f t="shared" ref="D40:D44" si="12">C40-$C$51</f>
        <v>-0.15340000000000487</v>
      </c>
      <c r="E40" s="15">
        <f t="shared" ref="E40:E44" si="13">C40-(B40^3*$B$25+B40^2*$B$26+B40*$B$27+$B$28)</f>
        <v>-26.016620130000003</v>
      </c>
      <c r="F40" s="2">
        <f t="shared" ref="F40:F44" si="14">E40-$E$51</f>
        <v>-0.23215430200000498</v>
      </c>
    </row>
    <row r="41" spans="1:15" x14ac:dyDescent="0.2">
      <c r="A41" s="2">
        <f t="shared" si="9"/>
        <v>25</v>
      </c>
      <c r="B41" s="8">
        <f t="shared" si="10"/>
        <v>1340</v>
      </c>
      <c r="C41" s="2">
        <f t="shared" si="11"/>
        <v>-25.827000000000002</v>
      </c>
      <c r="D41" s="2">
        <f t="shared" si="12"/>
        <v>0.12859999999999516</v>
      </c>
      <c r="E41" s="15">
        <f t="shared" si="13"/>
        <v>-25.7443086</v>
      </c>
      <c r="F41" s="2">
        <f t="shared" si="14"/>
        <v>4.0157227999998213E-2</v>
      </c>
    </row>
    <row r="42" spans="1:15" x14ac:dyDescent="0.2">
      <c r="A42" s="2">
        <f t="shared" si="9"/>
        <v>26</v>
      </c>
      <c r="B42" s="8">
        <f t="shared" si="10"/>
        <v>2285</v>
      </c>
      <c r="C42" s="2">
        <f t="shared" si="11"/>
        <v>-25.844000000000001</v>
      </c>
      <c r="D42" s="2">
        <f t="shared" si="12"/>
        <v>0.1115999999999957</v>
      </c>
      <c r="E42" s="15">
        <f t="shared" si="13"/>
        <v>-25.702992650000002</v>
      </c>
      <c r="F42" s="2">
        <f t="shared" si="14"/>
        <v>8.1473177999995983E-2</v>
      </c>
    </row>
    <row r="43" spans="1:15" x14ac:dyDescent="0.2">
      <c r="A43" s="2">
        <f t="shared" si="9"/>
        <v>27</v>
      </c>
      <c r="B43" s="8">
        <f t="shared" si="10"/>
        <v>4718</v>
      </c>
      <c r="C43" s="2">
        <f t="shared" si="11"/>
        <v>-26.027999999999999</v>
      </c>
      <c r="D43" s="2">
        <f t="shared" si="12"/>
        <v>-7.2400000000001796E-2</v>
      </c>
      <c r="E43" s="15">
        <f t="shared" si="13"/>
        <v>-25.736852219999999</v>
      </c>
      <c r="F43" s="2">
        <f t="shared" si="14"/>
        <v>4.7613607999998919E-2</v>
      </c>
    </row>
    <row r="44" spans="1:15" x14ac:dyDescent="0.2">
      <c r="A44" s="2">
        <f t="shared" si="9"/>
        <v>28</v>
      </c>
      <c r="B44" s="8">
        <f t="shared" si="10"/>
        <v>4026</v>
      </c>
      <c r="C44" s="2">
        <f t="shared" si="11"/>
        <v>-25.97</v>
      </c>
      <c r="D44" s="2">
        <f t="shared" si="12"/>
        <v>-1.4400000000001967E-2</v>
      </c>
      <c r="E44" s="15">
        <f t="shared" si="13"/>
        <v>-25.721555539999997</v>
      </c>
      <c r="F44" s="2">
        <f t="shared" si="14"/>
        <v>6.2910288000001202E-2</v>
      </c>
    </row>
    <row r="45" spans="1:15" x14ac:dyDescent="0.2">
      <c r="A45" s="2"/>
      <c r="B45" s="8"/>
      <c r="C45" s="2"/>
      <c r="D45" s="2"/>
      <c r="E45" s="15"/>
      <c r="F45" s="2"/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-25.955599999999997</v>
      </c>
      <c r="D51" s="5"/>
      <c r="E51" s="14">
        <f>AVERAGE(E40:E50)</f>
        <v>-25.784465827999998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5">A3</f>
        <v>6</v>
      </c>
      <c r="B55" s="2">
        <f t="shared" ref="B55:B60" si="16">J3</f>
        <v>58</v>
      </c>
      <c r="C55" s="2">
        <f t="shared" ref="C55:C60" si="17">H3</f>
        <v>-2.7679999999999998</v>
      </c>
      <c r="D55" s="2">
        <f t="shared" ref="D55:D60" si="18">C55-$C$67</f>
        <v>-2.6883749999999997</v>
      </c>
      <c r="E55" s="12">
        <f t="shared" ref="E55:E60" si="19">C55-(B55^3*$B$31+B55^2*$B$32+B55*$B$33+$B$34)</f>
        <v>-2.7679999999999998</v>
      </c>
      <c r="F55" s="11">
        <f t="shared" ref="F55:F60" si="20">E55-$E$67</f>
        <v>-2.6618333333333331</v>
      </c>
    </row>
    <row r="56" spans="1:6" x14ac:dyDescent="0.2">
      <c r="A56" s="2">
        <f t="shared" si="15"/>
        <v>25</v>
      </c>
      <c r="B56" s="2">
        <f t="shared" si="16"/>
        <v>0</v>
      </c>
      <c r="C56" s="2">
        <f t="shared" si="17"/>
        <v>0</v>
      </c>
      <c r="D56" s="2">
        <f t="shared" si="18"/>
        <v>7.9625000000000001E-2</v>
      </c>
      <c r="E56" s="12">
        <f t="shared" si="19"/>
        <v>0</v>
      </c>
      <c r="F56" s="11">
        <f t="shared" si="20"/>
        <v>0.10616666666666667</v>
      </c>
    </row>
    <row r="57" spans="1:6" x14ac:dyDescent="0.2">
      <c r="A57" s="2">
        <f t="shared" si="15"/>
        <v>26</v>
      </c>
      <c r="B57" s="2">
        <f t="shared" si="16"/>
        <v>70</v>
      </c>
      <c r="C57" s="2">
        <f t="shared" si="17"/>
        <v>-2.8090000000000002</v>
      </c>
      <c r="D57" s="2">
        <f t="shared" si="18"/>
        <v>-2.7293750000000001</v>
      </c>
      <c r="E57" s="12">
        <f t="shared" si="19"/>
        <v>-2.8090000000000002</v>
      </c>
      <c r="F57" s="11">
        <f t="shared" si="20"/>
        <v>-2.7028333333333334</v>
      </c>
    </row>
    <row r="58" spans="1:6" x14ac:dyDescent="0.2">
      <c r="A58" s="2">
        <f t="shared" si="15"/>
        <v>27</v>
      </c>
      <c r="B58" s="2">
        <f t="shared" si="16"/>
        <v>143</v>
      </c>
      <c r="C58" s="2">
        <f t="shared" si="17"/>
        <v>2.1970000000000001</v>
      </c>
      <c r="D58" s="2">
        <f t="shared" si="18"/>
        <v>2.2766250000000001</v>
      </c>
      <c r="E58" s="12">
        <f t="shared" si="19"/>
        <v>2.1970000000000001</v>
      </c>
      <c r="F58" s="11">
        <f t="shared" si="20"/>
        <v>2.3031666666666668</v>
      </c>
    </row>
    <row r="59" spans="1:6" x14ac:dyDescent="0.2">
      <c r="A59" s="2">
        <f t="shared" si="15"/>
        <v>28</v>
      </c>
      <c r="B59" s="2">
        <f t="shared" si="16"/>
        <v>252</v>
      </c>
      <c r="C59" s="2">
        <f t="shared" si="17"/>
        <v>2.7429999999999999</v>
      </c>
      <c r="D59" s="2">
        <f t="shared" si="18"/>
        <v>2.8226249999999999</v>
      </c>
      <c r="E59" s="12">
        <f t="shared" si="19"/>
        <v>2.7429999999999999</v>
      </c>
      <c r="F59" s="11">
        <f t="shared" si="20"/>
        <v>2.8491666666666666</v>
      </c>
    </row>
    <row r="60" spans="1:6" x14ac:dyDescent="0.2">
      <c r="A60" s="2">
        <f t="shared" si="15"/>
        <v>0</v>
      </c>
      <c r="B60" s="2">
        <f t="shared" si="16"/>
        <v>0</v>
      </c>
      <c r="C60" s="2">
        <f t="shared" si="17"/>
        <v>0</v>
      </c>
      <c r="D60" s="2">
        <f t="shared" si="18"/>
        <v>7.9625000000000001E-2</v>
      </c>
      <c r="E60" s="12">
        <f t="shared" si="19"/>
        <v>0</v>
      </c>
      <c r="F60" s="11">
        <f t="shared" si="20"/>
        <v>0.10616666666666667</v>
      </c>
    </row>
    <row r="61" spans="1:6" x14ac:dyDescent="0.2">
      <c r="A61" s="15">
        <f t="shared" si="15"/>
        <v>0</v>
      </c>
      <c r="B61" s="15">
        <f t="shared" ref="B61" si="21">J9</f>
        <v>0</v>
      </c>
      <c r="C61" s="15">
        <f t="shared" ref="C61" si="22">H9</f>
        <v>0</v>
      </c>
      <c r="D61" s="15">
        <f t="shared" ref="D61" si="23">C61-$C$67</f>
        <v>7.9625000000000001E-2</v>
      </c>
      <c r="E61" s="12">
        <f t="shared" ref="E61" si="24">C61-(B61^3*$B$31+B61^2*$B$32+B61*$B$33+$B$34)</f>
        <v>0</v>
      </c>
      <c r="F61" s="12">
        <f t="shared" ref="F61" si="25">E61-$E$67</f>
        <v>0.10616666666666667</v>
      </c>
    </row>
    <row r="62" spans="1:6" x14ac:dyDescent="0.2">
      <c r="A62" s="15">
        <f t="shared" si="15"/>
        <v>0</v>
      </c>
      <c r="B62" s="15">
        <f t="shared" ref="B62" si="26">J10</f>
        <v>0</v>
      </c>
      <c r="C62" s="15">
        <f t="shared" ref="C62" si="27">H10</f>
        <v>0</v>
      </c>
      <c r="D62" s="15">
        <f t="shared" ref="D62" si="28">C62-$C$67</f>
        <v>7.9625000000000001E-2</v>
      </c>
      <c r="E62" s="12">
        <f t="shared" ref="E62" si="29">C62-(B62^3*$B$31+B62^2*$B$32+B62*$B$33+$B$34)</f>
        <v>0</v>
      </c>
      <c r="F62" s="12">
        <f t="shared" ref="F62" si="30">E62-$E$67</f>
        <v>0.10616666666666667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-7.9625000000000001E-2</v>
      </c>
      <c r="D67" s="2"/>
      <c r="E67" s="12">
        <f>AVERAGE(E55:E60)</f>
        <v>-0.10616666666666667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45"/>
  <sheetViews>
    <sheetView tabSelected="1" workbookViewId="0">
      <selection activeCell="Q15" sqref="Q15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  <col min="17" max="18" width="11" style="12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34" t="s">
        <v>26</v>
      </c>
      <c r="R1" s="34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</v>
      </c>
      <c r="B2" s="1" t="s">
        <v>71</v>
      </c>
      <c r="D2" s="1"/>
      <c r="E2" s="1">
        <v>-11.967000000000001</v>
      </c>
      <c r="F2" s="1">
        <v>261133</v>
      </c>
      <c r="G2" s="1">
        <v>2973</v>
      </c>
      <c r="H2" s="1">
        <v>11.19</v>
      </c>
      <c r="I2" s="1">
        <v>35.69</v>
      </c>
      <c r="J2" s="1">
        <v>1768</v>
      </c>
      <c r="M2" s="27" t="str">
        <f t="shared" ref="M2:M40" si="0">B2</f>
        <v>Flush</v>
      </c>
      <c r="N2" s="27">
        <f t="shared" ref="N2:N40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-12.212376446982843</v>
      </c>
      <c r="P2" s="28">
        <f>(H2-((J2^3*standards!$B$31+J2^2*standards!$B$32+J2*standards!$B$33+standards!$B$34)+(A2^3*standards!$C$31+standards!$C$32*A2^2+standards!$C$33*A2+standards!$C$34)))*standards!$S$27+standards!$S$26</f>
        <v>8.3562017218585112</v>
      </c>
      <c r="Q2" s="35" t="e">
        <f>((F2*standards!$R$31+standards!$R$30)*F2)/D2</f>
        <v>#DIV/0!</v>
      </c>
      <c r="R2" s="35" t="e">
        <f>((I2*standards!$S$31+standards!$S$30)*I2)/D2</f>
        <v>#DIV/0!</v>
      </c>
      <c r="S2" s="29" t="e">
        <f t="shared" ref="S2:S40" si="2">Q2/R2</f>
        <v>#DIV/0!</v>
      </c>
      <c r="T2" s="30">
        <f>($V$2*D2)/G2</f>
        <v>0</v>
      </c>
      <c r="U2" s="30">
        <f>($V$3*D2)/J2</f>
        <v>0</v>
      </c>
      <c r="V2" s="7">
        <v>5500</v>
      </c>
      <c r="W2" s="30" t="s">
        <v>32</v>
      </c>
    </row>
    <row r="3" spans="1:23" x14ac:dyDescent="0.2">
      <c r="A3" s="1">
        <v>3</v>
      </c>
      <c r="B3" s="1" t="s">
        <v>71</v>
      </c>
      <c r="D3" s="1"/>
      <c r="E3" s="1">
        <v>-11.632999999999999</v>
      </c>
      <c r="F3" s="1">
        <v>244934</v>
      </c>
      <c r="G3" s="1">
        <v>2950</v>
      </c>
      <c r="H3" s="1">
        <v>11.244</v>
      </c>
      <c r="I3" s="1">
        <v>33.222000000000001</v>
      </c>
      <c r="J3" s="1">
        <v>1712</v>
      </c>
      <c r="M3" s="27" t="str">
        <f t="shared" si="0"/>
        <v>Flush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-11.906963811234476</v>
      </c>
      <c r="P3" s="28">
        <f>(H3-((J3^3*standards!$B$31+J3^2*standards!$B$32+J3*standards!$B$33+standards!$B$34)+(A3^3*standards!$C$31+standards!$C$32*A3^2+standards!$C$33*A3+standards!$C$34)))*standards!$S$27+standards!$S$26</f>
        <v>8.3596623117917854</v>
      </c>
      <c r="Q3" s="35" t="e">
        <f>((F3*standards!$R$31+standards!$R$30)*F3)/D3</f>
        <v>#DIV/0!</v>
      </c>
      <c r="R3" s="35" t="e">
        <f>((I3*standards!$S$31+standards!$S$30)*I3)/D3</f>
        <v>#DIV/0!</v>
      </c>
      <c r="S3" s="29" t="e">
        <f t="shared" si="2"/>
        <v>#DIV/0!</v>
      </c>
      <c r="T3" s="30">
        <f t="shared" ref="T3:T40" si="3">($V$2*D3)/G3</f>
        <v>0</v>
      </c>
      <c r="U3" s="30">
        <f t="shared" ref="U3:U40" si="4">($V$3*D3)/J3</f>
        <v>0</v>
      </c>
      <c r="V3" s="7">
        <v>2000</v>
      </c>
      <c r="W3" s="30" t="s">
        <v>33</v>
      </c>
    </row>
    <row r="4" spans="1:23" x14ac:dyDescent="0.2">
      <c r="A4" s="1">
        <v>4</v>
      </c>
      <c r="B4" s="1" t="s">
        <v>71</v>
      </c>
      <c r="D4" s="1"/>
      <c r="E4" s="1">
        <v>-11.489000000000001</v>
      </c>
      <c r="F4" s="1">
        <v>289663</v>
      </c>
      <c r="G4" s="1">
        <v>3150</v>
      </c>
      <c r="H4" s="1">
        <v>11.362</v>
      </c>
      <c r="I4" s="1">
        <v>39.119</v>
      </c>
      <c r="J4" s="1">
        <v>1876</v>
      </c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-11.76423300235651</v>
      </c>
      <c r="P4" s="28">
        <f>(H4-((J4^3*standards!$B$31+J4^2*standards!$B$32+J4*standards!$B$33+standards!$B$34)+(A4^3*standards!$C$31+standards!$C$32*A4^2+standards!$C$33*A4+standards!$C$34)))*standards!$S$27+standards!$S$26</f>
        <v>8.3672243416459793</v>
      </c>
      <c r="Q4" s="35" t="e">
        <f>((F4*standards!$R$31+standards!$R$30)*F4)/D4</f>
        <v>#DIV/0!</v>
      </c>
      <c r="R4" s="35" t="e">
        <f>((I4*standards!$S$31+standards!$S$30)*I4)/D4</f>
        <v>#DIV/0!</v>
      </c>
      <c r="S4" s="29" t="e">
        <f t="shared" si="2"/>
        <v>#DIV/0!</v>
      </c>
      <c r="T4" s="30">
        <f t="shared" si="3"/>
        <v>0</v>
      </c>
      <c r="U4" s="30">
        <f t="shared" si="4"/>
        <v>0</v>
      </c>
    </row>
    <row r="5" spans="1:23" x14ac:dyDescent="0.2">
      <c r="A5" s="1">
        <v>5</v>
      </c>
      <c r="B5" s="1" t="s">
        <v>68</v>
      </c>
      <c r="D5" s="1">
        <v>0.26900000000000002</v>
      </c>
      <c r="E5" s="1">
        <v>-11.339</v>
      </c>
      <c r="F5" s="1">
        <v>346899</v>
      </c>
      <c r="G5" s="1">
        <v>1894</v>
      </c>
      <c r="H5" s="1">
        <v>11.561</v>
      </c>
      <c r="I5" s="1">
        <v>47.593000000000004</v>
      </c>
      <c r="J5" s="1">
        <v>2487</v>
      </c>
      <c r="M5" s="27" t="str">
        <f t="shared" si="0"/>
        <v>Taipan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-11.705580990102332</v>
      </c>
      <c r="P5" s="28">
        <f>(H5-((J5^3*standards!$B$31+J5^2*standards!$B$32+J5*standards!$B$33+standards!$B$34)+(A5^3*standards!$C$31+standards!$C$32*A5^2+standards!$C$33*A5+standards!$C$34)))*standards!$S$27+standards!$S$26</f>
        <v>8.3799772564000872</v>
      </c>
      <c r="Q5" s="35">
        <f>((F5*standards!$R$31+standards!$R$30)*F5)/D5</f>
        <v>47.283416422036296</v>
      </c>
      <c r="R5" s="35">
        <f>((I5*standards!$S$31+standards!$S$30)*I5)/D5</f>
        <v>7.120915820661299</v>
      </c>
      <c r="S5" s="29">
        <f t="shared" si="2"/>
        <v>6.6400751831448028</v>
      </c>
      <c r="T5" s="30">
        <f t="shared" si="3"/>
        <v>0.78115100316789865</v>
      </c>
      <c r="U5" s="30">
        <f t="shared" si="4"/>
        <v>0.21632488942501005</v>
      </c>
    </row>
    <row r="6" spans="1:23" x14ac:dyDescent="0.2">
      <c r="A6" s="1">
        <v>6</v>
      </c>
      <c r="B6" s="1" t="s">
        <v>65</v>
      </c>
      <c r="C6" t="s">
        <v>72</v>
      </c>
      <c r="D6" s="1">
        <v>1.022</v>
      </c>
      <c r="E6" s="1">
        <v>-26.109000000000002</v>
      </c>
      <c r="F6" s="1">
        <v>29186</v>
      </c>
      <c r="G6" s="1">
        <v>1497</v>
      </c>
      <c r="H6" s="1">
        <v>-2.7679999999999998</v>
      </c>
      <c r="I6" s="1">
        <v>1.2809999999999999</v>
      </c>
      <c r="J6" s="1">
        <v>58</v>
      </c>
      <c r="M6" s="27" t="str">
        <f t="shared" si="0"/>
        <v>LOC</v>
      </c>
      <c r="N6" s="27" t="str">
        <f t="shared" si="1"/>
        <v>posthypy</v>
      </c>
      <c r="O6" s="28">
        <f>(E6-((G6^3*standards!$B$25+G6^2*standards!$B$26+G6*standards!$B$27+standards!$B$28)+(A6^3*standards!$C$25+standards!$C$26*A6^2+standards!$C$27*A6+standards!$C$28)))*standards!$R$27+standards!$R$26</f>
        <v>-26.554529452141526</v>
      </c>
      <c r="P6" s="28">
        <f>(H6-((J6^3*standards!$B$31+J6^2*standards!$B$32+J6*standards!$B$33+standards!$B$34)+(A6^3*standards!$C$31+standards!$C$32*A6^2+standards!$C$33*A6+standards!$C$34)))*standards!$S$27+standards!$S$26</f>
        <v>7.4617033091056468</v>
      </c>
      <c r="Q6" s="35">
        <f>((F6*standards!$R$31+standards!$R$30)*F6)/D6</f>
        <v>1.0165613645002318</v>
      </c>
      <c r="R6" s="35">
        <f>((I6*standards!$S$31+standards!$S$30)*I6)/D6</f>
        <v>0.13700788578643142</v>
      </c>
      <c r="S6" s="29">
        <f t="shared" si="2"/>
        <v>7.4197288620660329</v>
      </c>
      <c r="T6" s="30">
        <f t="shared" si="3"/>
        <v>3.7548430193720774</v>
      </c>
      <c r="U6" s="30">
        <f t="shared" si="4"/>
        <v>35.241379310344826</v>
      </c>
    </row>
    <row r="7" spans="1:23" x14ac:dyDescent="0.2">
      <c r="A7" s="1">
        <v>7</v>
      </c>
      <c r="B7" s="1" t="s">
        <v>64</v>
      </c>
      <c r="C7" t="s">
        <v>72</v>
      </c>
      <c r="D7" s="1">
        <v>1.3069999999999999</v>
      </c>
      <c r="E7" s="1">
        <v>-27.58</v>
      </c>
      <c r="F7" s="1">
        <v>211473</v>
      </c>
      <c r="G7" s="1">
        <v>3390</v>
      </c>
      <c r="H7" s="1">
        <v>1.4330000000000001</v>
      </c>
      <c r="I7" s="1">
        <v>7.0039999999999996</v>
      </c>
      <c r="J7" s="1">
        <v>338</v>
      </c>
      <c r="M7" s="27" t="str">
        <f t="shared" si="0"/>
        <v>HOC</v>
      </c>
      <c r="N7" s="27" t="str">
        <f t="shared" si="1"/>
        <v>posthypy</v>
      </c>
      <c r="O7" s="28">
        <f>(E7-((G7^3*standards!$B$25+G7^2*standards!$B$26+G7*standards!$B$27+standards!$B$28)+(A7^3*standards!$C$25+standards!$C$26*A7^2+standards!$C$27*A7+standards!$C$28)))*standards!$R$27+standards!$R$26</f>
        <v>-27.926449630312135</v>
      </c>
      <c r="P7" s="28">
        <f>(H7-((J7^3*standards!$B$31+J7^2*standards!$B$32+J7*standards!$B$33+standards!$B$34)+(A7^3*standards!$C$31+standards!$C$32*A7^2+standards!$C$33*A7+standards!$C$34)))*standards!$S$27+standards!$S$26</f>
        <v>7.7309243889147012</v>
      </c>
      <c r="Q7" s="35">
        <f>((F7*standards!$R$31+standards!$R$30)*F7)/D7</f>
        <v>5.8587810184185711</v>
      </c>
      <c r="R7" s="35">
        <f>((I7*standards!$S$31+standards!$S$30)*I7)/D7</f>
        <v>0.54002559411645623</v>
      </c>
      <c r="S7" s="29">
        <f t="shared" si="2"/>
        <v>10.849080269990182</v>
      </c>
      <c r="T7" s="30">
        <f t="shared" si="3"/>
        <v>2.1205014749262538</v>
      </c>
      <c r="U7" s="30">
        <f t="shared" si="4"/>
        <v>7.7337278106508878</v>
      </c>
    </row>
    <row r="8" spans="1:23" x14ac:dyDescent="0.2">
      <c r="A8" s="1">
        <v>8</v>
      </c>
      <c r="B8" s="1" t="s">
        <v>73</v>
      </c>
      <c r="C8" t="s">
        <v>72</v>
      </c>
      <c r="D8" s="1">
        <v>4.4109999999999996</v>
      </c>
      <c r="E8" s="1">
        <v>-24.748999999999999</v>
      </c>
      <c r="F8" s="1">
        <v>135462</v>
      </c>
      <c r="G8" s="1">
        <v>3940</v>
      </c>
      <c r="H8">
        <v>0.52600000000000002</v>
      </c>
      <c r="I8">
        <v>2.5830000000000002</v>
      </c>
      <c r="J8">
        <v>113</v>
      </c>
      <c r="M8" s="27" t="str">
        <f t="shared" si="0"/>
        <v>38</v>
      </c>
      <c r="N8" s="27" t="str">
        <f t="shared" si="1"/>
        <v>posthypy</v>
      </c>
      <c r="O8" s="28">
        <f>(E8-((G8^3*standards!$B$25+G8^2*standards!$B$26+G8*standards!$B$27+standards!$B$28)+(A8^3*standards!$C$25+standards!$C$26*A8^2+standards!$C$27*A8+standards!$C$28)))*standards!$R$27+standards!$R$26</f>
        <v>-25.067721752187897</v>
      </c>
      <c r="P8" s="28">
        <f>(H8-((J8^3*standards!$B$31+J8^2*standards!$B$32+J8*standards!$B$33+standards!$B$34)+(A8^3*standards!$C$31+standards!$C$32*A8^2+standards!$C$33*A8+standards!$C$34)))*standards!$S$27+standards!$S$26</f>
        <v>7.6727992950354311</v>
      </c>
      <c r="Q8" s="35">
        <f>((F8*standards!$R$31+standards!$R$30)*F8)/D8</f>
        <v>1.1041562584187383</v>
      </c>
      <c r="R8" s="35">
        <f>((I8*standards!$S$31+standards!$S$30)*I8)/D8</f>
        <v>6.2871158589016748E-2</v>
      </c>
      <c r="S8" s="29">
        <f t="shared" si="2"/>
        <v>17.562206315244023</v>
      </c>
      <c r="T8" s="30">
        <f t="shared" si="3"/>
        <v>6.1574873096446687</v>
      </c>
      <c r="U8" s="30">
        <f t="shared" si="4"/>
        <v>78.070796460176993</v>
      </c>
    </row>
    <row r="9" spans="1:23" x14ac:dyDescent="0.2">
      <c r="A9" s="1">
        <v>9</v>
      </c>
      <c r="B9" s="1" t="s">
        <v>74</v>
      </c>
      <c r="C9" t="s">
        <v>72</v>
      </c>
      <c r="D9" s="1">
        <v>5.7229999999999999</v>
      </c>
      <c r="E9" s="1">
        <v>-24.335000000000001</v>
      </c>
      <c r="F9" s="1">
        <v>161760</v>
      </c>
      <c r="G9" s="1">
        <v>4590</v>
      </c>
      <c r="H9" s="1">
        <v>5.1859999999999999</v>
      </c>
      <c r="I9" s="1">
        <v>2.4300000000000002</v>
      </c>
      <c r="J9" s="1">
        <v>115</v>
      </c>
      <c r="M9" s="27" t="str">
        <f t="shared" si="0"/>
        <v>97</v>
      </c>
      <c r="N9" s="27" t="str">
        <f t="shared" si="1"/>
        <v>posthypy</v>
      </c>
      <c r="O9" s="28">
        <f>(E9-((G9^3*standards!$B$25+G9^2*standards!$B$26+G9*standards!$B$27+standards!$B$28)+(A9^3*standards!$C$25+standards!$C$26*A9^2+standards!$C$27*A9+standards!$C$28)))*standards!$R$27+standards!$R$26</f>
        <v>-24.626408082354008</v>
      </c>
      <c r="P9" s="28">
        <f>(H9-((J9^3*standards!$B$31+J9^2*standards!$B$32+J9*standards!$B$33+standards!$B$34)+(A9^3*standards!$C$31+standards!$C$32*A9^2+standards!$C$33*A9+standards!$C$34)))*standards!$S$27+standards!$S$26</f>
        <v>7.9714353892773246</v>
      </c>
      <c r="Q9" s="35">
        <f>((F9*standards!$R$31+standards!$R$30)*F9)/D9</f>
        <v>1.0187434403674889</v>
      </c>
      <c r="R9" s="35">
        <f>((I9*standards!$S$31+standards!$S$30)*I9)/D9</f>
        <v>4.5684463183277568E-2</v>
      </c>
      <c r="S9" s="29">
        <f t="shared" si="2"/>
        <v>22.299560274583499</v>
      </c>
      <c r="T9" s="30">
        <f t="shared" si="3"/>
        <v>6.8576252723311546</v>
      </c>
      <c r="U9" s="30">
        <f t="shared" si="4"/>
        <v>99.530434782608694</v>
      </c>
    </row>
    <row r="10" spans="1:23" x14ac:dyDescent="0.2">
      <c r="A10" s="1">
        <v>10</v>
      </c>
      <c r="B10" s="1" t="s">
        <v>75</v>
      </c>
      <c r="C10" t="s">
        <v>72</v>
      </c>
      <c r="D10" s="1">
        <v>10.62</v>
      </c>
      <c r="E10" s="1">
        <v>-23.774999999999999</v>
      </c>
      <c r="F10" s="1">
        <v>53332</v>
      </c>
      <c r="G10" s="1">
        <v>2787</v>
      </c>
      <c r="H10" s="1">
        <v>3.2970000000000002</v>
      </c>
      <c r="I10" s="1">
        <v>2.1949999999999998</v>
      </c>
      <c r="J10" s="1">
        <v>100</v>
      </c>
      <c r="M10" s="27" t="str">
        <f t="shared" si="0"/>
        <v>134</v>
      </c>
      <c r="N10" s="27" t="str">
        <f t="shared" si="1"/>
        <v>posthypy</v>
      </c>
      <c r="O10" s="28">
        <f>(E10-((G10^3*standards!$B$25+G10^2*standards!$B$26+G10*standards!$B$27+standards!$B$28)+(A10^3*standards!$C$25+standards!$C$26*A10^2+standards!$C$27*A10+standards!$C$28)))*standards!$R$27+standards!$R$26</f>
        <v>-24.190483723386333</v>
      </c>
      <c r="P10" s="28">
        <f>(H10-((J10^3*standards!$B$31+J10^2*standards!$B$32+J10*standards!$B$33+standards!$B$34)+(A10^3*standards!$C$31+standards!$C$32*A10^2+standards!$C$33*A10+standards!$C$34)))*standards!$S$27+standards!$S$26</f>
        <v>7.8503788266114585</v>
      </c>
      <c r="Q10" s="35">
        <f>((F10*standards!$R$31+standards!$R$30)*F10)/D10</f>
        <v>0.17916912887772857</v>
      </c>
      <c r="R10" s="35">
        <f>((I10*standards!$S$31+standards!$S$30)*I10)/D10</f>
        <v>2.2310441799373582E-2</v>
      </c>
      <c r="S10" s="29">
        <f t="shared" si="2"/>
        <v>8.0307297582407884</v>
      </c>
      <c r="T10" s="30">
        <f t="shared" si="3"/>
        <v>20.958019375672762</v>
      </c>
      <c r="U10" s="30">
        <f t="shared" si="4"/>
        <v>212.4</v>
      </c>
    </row>
    <row r="11" spans="1:23" x14ac:dyDescent="0.2">
      <c r="A11" s="1">
        <v>11</v>
      </c>
      <c r="B11" s="1" t="s">
        <v>76</v>
      </c>
      <c r="C11" t="s">
        <v>72</v>
      </c>
      <c r="D11" s="1">
        <v>9.3469999999999995</v>
      </c>
      <c r="E11" s="1">
        <v>-24.7</v>
      </c>
      <c r="F11" s="1">
        <v>84646</v>
      </c>
      <c r="G11" s="1">
        <v>4401</v>
      </c>
      <c r="H11" s="1">
        <v>4.008</v>
      </c>
      <c r="I11" s="1">
        <v>2.593</v>
      </c>
      <c r="J11" s="1">
        <v>122</v>
      </c>
      <c r="M11" s="27" t="str">
        <f t="shared" si="0"/>
        <v>80</v>
      </c>
      <c r="N11" s="27" t="str">
        <f t="shared" si="1"/>
        <v>posthypy</v>
      </c>
      <c r="O11" s="28">
        <f>(E11-((G11^3*standards!$B$25+G11^2*standards!$B$26+G11*standards!$B$27+standards!$B$28)+(A11^3*standards!$C$25+standards!$C$26*A11^2+standards!$C$27*A11+standards!$C$28)))*standards!$R$27+standards!$R$26</f>
        <v>-25.032176614704532</v>
      </c>
      <c r="P11" s="28">
        <f>(H11-((J11^3*standards!$B$31+J11^2*standards!$B$32+J11*standards!$B$33+standards!$B$34)+(A11^3*standards!$C$31+standards!$C$32*A11^2+standards!$C$33*A11+standards!$C$34)))*standards!$S$27+standards!$S$26</f>
        <v>7.8959432607329143</v>
      </c>
      <c r="Q11" s="35">
        <f>((F11*standards!$R$31+standards!$R$30)*F11)/D11</f>
        <v>0.32405180967705388</v>
      </c>
      <c r="R11" s="35">
        <f>((I11*standards!$S$31+standards!$S$30)*I11)/D11</f>
        <v>2.978064278295826E-2</v>
      </c>
      <c r="S11" s="29">
        <f t="shared" si="2"/>
        <v>10.881289972105304</v>
      </c>
      <c r="T11" s="30">
        <f t="shared" si="3"/>
        <v>11.681095205635083</v>
      </c>
      <c r="U11" s="30">
        <f t="shared" si="4"/>
        <v>153.2295081967213</v>
      </c>
    </row>
    <row r="12" spans="1:23" x14ac:dyDescent="0.2">
      <c r="A12" s="1">
        <v>12</v>
      </c>
      <c r="B12" s="1" t="s">
        <v>77</v>
      </c>
      <c r="C12" t="s">
        <v>72</v>
      </c>
      <c r="D12" s="1">
        <v>10.122999999999999</v>
      </c>
      <c r="E12" s="1">
        <v>-24.131</v>
      </c>
      <c r="F12" s="1">
        <v>41568</v>
      </c>
      <c r="G12" s="1">
        <v>2227</v>
      </c>
      <c r="H12">
        <v>-4.1769999999999996</v>
      </c>
      <c r="I12">
        <v>1.198</v>
      </c>
      <c r="J12">
        <v>52</v>
      </c>
      <c r="M12" s="27" t="str">
        <f t="shared" si="0"/>
        <v>96</v>
      </c>
      <c r="N12" s="27" t="str">
        <f t="shared" si="1"/>
        <v>posthypy</v>
      </c>
      <c r="O12" s="28">
        <f>(E12-((G12^3*standards!$B$25+G12^2*standards!$B$26+G12*standards!$B$27+standards!$B$28)+(A12^3*standards!$C$25+standards!$C$26*A12^2+standards!$C$27*A12+standards!$C$28)))*standards!$R$27+standards!$R$26</f>
        <v>-24.610184618484205</v>
      </c>
      <c r="P12" s="28">
        <f>(H12-((J12^3*standards!$B$31+J12^2*standards!$B$32+J12*standards!$B$33+standards!$B$34)+(A12^3*standards!$C$31+standards!$C$32*A12^2+standards!$C$33*A12+standards!$C$34)))*standards!$S$27+standards!$S$26</f>
        <v>7.3714075458466706</v>
      </c>
      <c r="Q12" s="35">
        <f>((F12*standards!$R$31+standards!$R$30)*F12)/D12</f>
        <v>0.14634157183709678</v>
      </c>
      <c r="R12" s="35">
        <f>((I12*standards!$S$31+standards!$S$30)*I12)/D12</f>
        <v>1.2950495317044394E-2</v>
      </c>
      <c r="S12" s="29">
        <f t="shared" si="2"/>
        <v>11.300075267738514</v>
      </c>
      <c r="T12" s="30">
        <f t="shared" si="3"/>
        <v>25.000673551863489</v>
      </c>
      <c r="U12" s="30">
        <f t="shared" si="4"/>
        <v>389.34615384615387</v>
      </c>
    </row>
    <row r="13" spans="1:23" x14ac:dyDescent="0.2">
      <c r="A13" s="1">
        <v>13</v>
      </c>
      <c r="B13" s="1" t="s">
        <v>78</v>
      </c>
      <c r="C13" t="s">
        <v>72</v>
      </c>
      <c r="D13" s="1">
        <v>11.385</v>
      </c>
      <c r="E13" s="1">
        <v>-23.925999999999998</v>
      </c>
      <c r="F13" s="1">
        <v>68294</v>
      </c>
      <c r="G13" s="1">
        <v>3976</v>
      </c>
      <c r="H13" s="1">
        <v>8.1709999999999994</v>
      </c>
      <c r="I13" s="1">
        <v>2.6859999999999999</v>
      </c>
      <c r="J13" s="1">
        <v>144</v>
      </c>
      <c r="M13" s="27" t="str">
        <f t="shared" si="0"/>
        <v>103</v>
      </c>
      <c r="N13" s="27" t="str">
        <f t="shared" si="1"/>
        <v>posthypy</v>
      </c>
      <c r="O13" s="28">
        <f>(E13-((G13^3*standards!$B$25+G13^2*standards!$B$26+G13*standards!$B$27+standards!$B$28)+(A13^3*standards!$C$25+standards!$C$26*A13^2+standards!$C$27*A13+standards!$C$28)))*standards!$R$27+standards!$R$26</f>
        <v>-24.310437295450736</v>
      </c>
      <c r="P13" s="28">
        <f>(H13-((J13^3*standards!$B$31+J13^2*standards!$B$32+J13*standards!$B$33+standards!$B$34)+(A13^3*standards!$C$31+standards!$C$32*A13^2+standards!$C$33*A13+standards!$C$34)))*standards!$S$27+standards!$S$26</f>
        <v>8.1627291105889235</v>
      </c>
      <c r="Q13" s="35">
        <f>((F13*standards!$R$31+standards!$R$30)*F13)/D13</f>
        <v>0.21431946125133355</v>
      </c>
      <c r="R13" s="35">
        <f>((I13*standards!$S$31+standards!$S$30)*I13)/D13</f>
        <v>2.5293875143473785E-2</v>
      </c>
      <c r="S13" s="29">
        <f t="shared" si="2"/>
        <v>8.4731762150186505</v>
      </c>
      <c r="T13" s="30">
        <f t="shared" si="3"/>
        <v>15.748868209255534</v>
      </c>
      <c r="U13" s="30">
        <f t="shared" si="4"/>
        <v>158.125</v>
      </c>
    </row>
    <row r="14" spans="1:23" x14ac:dyDescent="0.2">
      <c r="A14" s="1">
        <v>14</v>
      </c>
      <c r="B14" s="1" t="s">
        <v>79</v>
      </c>
      <c r="C14" t="s">
        <v>72</v>
      </c>
      <c r="D14" s="1">
        <v>15.747</v>
      </c>
      <c r="E14" s="1">
        <v>-24.452999999999999</v>
      </c>
      <c r="F14" s="1">
        <v>112287</v>
      </c>
      <c r="G14" s="1">
        <v>6239</v>
      </c>
      <c r="H14">
        <v>7.8730000000000002</v>
      </c>
      <c r="I14">
        <v>3.6230000000000002</v>
      </c>
      <c r="J14">
        <v>183</v>
      </c>
      <c r="M14" s="27" t="str">
        <f t="shared" si="0"/>
        <v>90</v>
      </c>
      <c r="N14" s="27" t="str">
        <f t="shared" si="1"/>
        <v>posthypy</v>
      </c>
      <c r="O14" s="28">
        <f>(E14-((G14^3*standards!$B$25+G14^2*standards!$B$26+G14*standards!$B$27+standards!$B$28)+(A14^3*standards!$C$25+standards!$C$26*A14^2+standards!$C$27*A14+standards!$C$28)))*standards!$R$27+standards!$R$26</f>
        <v>-24.712883858520602</v>
      </c>
      <c r="P14" s="28">
        <f>(H14-((J14^3*standards!$B$31+J14^2*standards!$B$32+J14*standards!$B$33+standards!$B$34)+(A14^3*standards!$C$31+standards!$C$32*A14^2+standards!$C$33*A14+standards!$C$34)))*standards!$S$27+standards!$S$26</f>
        <v>8.143631780957147</v>
      </c>
      <c r="Q14" s="35">
        <f>((F14*standards!$R$31+standards!$R$30)*F14)/D14</f>
        <v>0.25582266189868169</v>
      </c>
      <c r="R14" s="35">
        <f>((I14*standards!$S$31+standards!$S$30)*I14)/D14</f>
        <v>2.4345338917096004E-2</v>
      </c>
      <c r="S14" s="29">
        <f t="shared" si="2"/>
        <v>10.508075602062602</v>
      </c>
      <c r="T14" s="30">
        <f t="shared" si="3"/>
        <v>13.881791953838757</v>
      </c>
      <c r="U14" s="30">
        <f t="shared" si="4"/>
        <v>172.09836065573771</v>
      </c>
    </row>
    <row r="15" spans="1:23" x14ac:dyDescent="0.2">
      <c r="A15" s="1">
        <v>15</v>
      </c>
      <c r="B15" s="1" t="s">
        <v>80</v>
      </c>
      <c r="C15" t="s">
        <v>72</v>
      </c>
      <c r="D15" s="1">
        <v>1.9770000000000001</v>
      </c>
      <c r="E15" s="1">
        <v>-24.123999999999999</v>
      </c>
      <c r="F15" s="1">
        <v>228986</v>
      </c>
      <c r="G15" s="1">
        <v>3639</v>
      </c>
      <c r="H15">
        <v>-5.99</v>
      </c>
      <c r="I15">
        <v>1.9510000000000001</v>
      </c>
      <c r="J15">
        <v>87</v>
      </c>
      <c r="M15" s="27" t="str">
        <f t="shared" si="0"/>
        <v>59</v>
      </c>
      <c r="N15" s="27" t="str">
        <f t="shared" si="1"/>
        <v>posthypy</v>
      </c>
      <c r="O15" s="28">
        <f>(E15-((G15^3*standards!$B$25+G15^2*standards!$B$26+G15*standards!$B$27+standards!$B$28)+(A15^3*standards!$C$25+standards!$C$26*A15^2+standards!$C$27*A15+standards!$C$28)))*standards!$R$27+standards!$R$26</f>
        <v>-24.557907692418357</v>
      </c>
      <c r="P15" s="28">
        <f>(H15-((J15^3*standards!$B$31+J15^2*standards!$B$32+J15*standards!$B$33+standards!$B$34)+(A15^3*standards!$C$31+standards!$C$32*A15^2+standards!$C$33*A15+standards!$C$34)))*standards!$S$27+standards!$S$26</f>
        <v>7.2552214430868949</v>
      </c>
      <c r="Q15" s="35">
        <f>((F15*standards!$R$31+standards!$R$30)*F15)/D15</f>
        <v>4.2008409471824537</v>
      </c>
      <c r="R15" s="35">
        <f>((I15*standards!$S$31+standards!$S$30)*I15)/D15</f>
        <v>0.10688337698683026</v>
      </c>
      <c r="S15" s="29">
        <f t="shared" si="2"/>
        <v>39.303033508195242</v>
      </c>
      <c r="T15" s="30">
        <f t="shared" si="3"/>
        <v>2.9880461665292661</v>
      </c>
      <c r="U15" s="30">
        <f t="shared" si="4"/>
        <v>45.448275862068968</v>
      </c>
    </row>
    <row r="16" spans="1:23" x14ac:dyDescent="0.2">
      <c r="A16" s="1">
        <v>16</v>
      </c>
      <c r="B16" s="1" t="s">
        <v>81</v>
      </c>
      <c r="C16" t="s">
        <v>72</v>
      </c>
      <c r="D16" s="1">
        <v>10.867000000000001</v>
      </c>
      <c r="E16" s="1">
        <v>-24.690999999999999</v>
      </c>
      <c r="F16" s="1">
        <v>86008</v>
      </c>
      <c r="G16" s="1">
        <v>4804</v>
      </c>
      <c r="H16" s="1">
        <v>2.8050000000000002</v>
      </c>
      <c r="I16" s="1">
        <v>1.8759999999999999</v>
      </c>
      <c r="J16" s="1">
        <v>88</v>
      </c>
      <c r="M16" s="27" t="str">
        <f t="shared" si="0"/>
        <v>75</v>
      </c>
      <c r="N16" s="27" t="str">
        <f t="shared" si="1"/>
        <v>posthypy</v>
      </c>
      <c r="O16" s="28">
        <f>(E16-((G16^3*standards!$B$25+G16^2*standards!$B$26+G16*standards!$B$27+standards!$B$28)+(A16^3*standards!$C$25+standards!$C$26*A16^2+standards!$C$27*A16+standards!$C$28)))*standards!$R$27+standards!$R$26</f>
        <v>-25.068406176608715</v>
      </c>
      <c r="P16" s="28">
        <f>(H16-((J16^3*standards!$B$31+J16^2*standards!$B$32+J16*standards!$B$33+standards!$B$34)+(A16^3*standards!$C$31+standards!$C$32*A16^2+standards!$C$33*A16+standards!$C$34)))*standards!$S$27+standards!$S$26</f>
        <v>7.8188490072193959</v>
      </c>
      <c r="Q16" s="35">
        <f>((F16*standards!$R$31+standards!$R$30)*F16)/D16</f>
        <v>0.28324681947832919</v>
      </c>
      <c r="R16" s="35">
        <f>((I16*standards!$S$31+standards!$S$30)*I16)/D16</f>
        <v>1.8716771984400221E-2</v>
      </c>
      <c r="S16" s="29">
        <f t="shared" si="2"/>
        <v>15.133315708200408</v>
      </c>
      <c r="T16" s="30">
        <f t="shared" si="3"/>
        <v>12.441402997502083</v>
      </c>
      <c r="U16" s="30">
        <f t="shared" si="4"/>
        <v>246.97727272727272</v>
      </c>
    </row>
    <row r="17" spans="1:21" x14ac:dyDescent="0.2">
      <c r="A17" s="1">
        <v>17</v>
      </c>
      <c r="B17" s="1" t="s">
        <v>82</v>
      </c>
      <c r="C17" t="s">
        <v>72</v>
      </c>
      <c r="D17" s="1">
        <v>3.7170000000000001</v>
      </c>
      <c r="E17" s="1">
        <v>-24.167999999999999</v>
      </c>
      <c r="F17" s="1">
        <v>120115</v>
      </c>
      <c r="G17" s="1">
        <v>6981</v>
      </c>
      <c r="H17">
        <v>4.4720000000000004</v>
      </c>
      <c r="I17">
        <v>2.802</v>
      </c>
      <c r="J17">
        <v>143</v>
      </c>
      <c r="M17" s="27" t="str">
        <f t="shared" si="0"/>
        <v>31.5</v>
      </c>
      <c r="N17" s="27" t="str">
        <f t="shared" si="1"/>
        <v>posthypy</v>
      </c>
      <c r="O17" s="28">
        <f>(E17-((G17^3*standards!$B$25+G17^2*standards!$B$26+G17*standards!$B$27+standards!$B$28)+(A17^3*standards!$C$25+standards!$C$26*A17^2+standards!$C$27*A17+standards!$C$28)))*standards!$R$27+standards!$R$26</f>
        <v>-24.423306208399669</v>
      </c>
      <c r="P17" s="28">
        <f>(H17-((J17^3*standards!$B$31+J17^2*standards!$B$32+J17*standards!$B$33+standards!$B$34)+(A17^3*standards!$C$31+standards!$C$32*A17^2+standards!$C$33*A17+standards!$C$34)))*standards!$S$27+standards!$S$26</f>
        <v>7.9256787001595752</v>
      </c>
      <c r="Q17" s="35">
        <f>((F17*standards!$R$31+standards!$R$30)*F17)/D17</f>
        <v>1.1601942690762304</v>
      </c>
      <c r="R17" s="35">
        <f>((I17*standards!$S$31+standards!$S$30)*I17)/D17</f>
        <v>8.0689442014217155E-2</v>
      </c>
      <c r="S17" s="29">
        <f t="shared" si="2"/>
        <v>14.378513968058037</v>
      </c>
      <c r="T17" s="30">
        <f t="shared" si="3"/>
        <v>2.9284486463257413</v>
      </c>
      <c r="U17" s="30">
        <f t="shared" si="4"/>
        <v>51.986013986013987</v>
      </c>
    </row>
    <row r="18" spans="1:21" x14ac:dyDescent="0.2">
      <c r="A18" s="1">
        <v>18</v>
      </c>
      <c r="B18" s="1" t="s">
        <v>83</v>
      </c>
      <c r="C18" t="s">
        <v>72</v>
      </c>
      <c r="D18" s="1">
        <v>9.4789999999999992</v>
      </c>
      <c r="E18" s="1">
        <v>-24.436</v>
      </c>
      <c r="F18" s="1">
        <v>63689</v>
      </c>
      <c r="G18" s="1">
        <v>3313</v>
      </c>
      <c r="H18">
        <v>8.9440000000000008</v>
      </c>
      <c r="I18">
        <v>3.202</v>
      </c>
      <c r="J18">
        <v>150</v>
      </c>
      <c r="M18" s="27" t="str">
        <f t="shared" si="0"/>
        <v>106</v>
      </c>
      <c r="N18" s="27" t="str">
        <f t="shared" si="1"/>
        <v>posthypy</v>
      </c>
      <c r="O18" s="28">
        <f>(E18-((G18^3*standards!$B$25+G18^2*standards!$B$26+G18*standards!$B$27+standards!$B$28)+(A18^3*standards!$C$25+standards!$C$26*A18^2+standards!$C$27*A18+standards!$C$28)))*standards!$R$27+standards!$R$26</f>
        <v>-24.933047058741518</v>
      </c>
      <c r="P18" s="28">
        <f>(H18-((J18^3*standards!$B$31+J18^2*standards!$B$32+J18*standards!$B$33+standards!$B$34)+(A18^3*standards!$C$31+standards!$C$32*A18^2+standards!$C$33*A18+standards!$C$34)))*standards!$S$27+standards!$S$26</f>
        <v>8.2122668146337698</v>
      </c>
      <c r="Q18" s="35">
        <f>((F18*standards!$R$31+standards!$R$30)*F18)/D18</f>
        <v>0.23995270462474677</v>
      </c>
      <c r="R18" s="35">
        <f>((I18*standards!$S$31+standards!$S$30)*I18)/D18</f>
        <v>3.595614356246566E-2</v>
      </c>
      <c r="S18" s="29">
        <f t="shared" si="2"/>
        <v>6.6734827723635952</v>
      </c>
      <c r="T18" s="30">
        <f t="shared" si="3"/>
        <v>15.73634168427407</v>
      </c>
      <c r="U18" s="30">
        <f t="shared" si="4"/>
        <v>126.38666666666667</v>
      </c>
    </row>
    <row r="19" spans="1:21" x14ac:dyDescent="0.2">
      <c r="A19" s="1">
        <v>19</v>
      </c>
      <c r="B19" s="1" t="s">
        <v>84</v>
      </c>
      <c r="C19" t="s">
        <v>72</v>
      </c>
      <c r="D19" s="1">
        <v>10.49</v>
      </c>
      <c r="E19" s="1">
        <v>-23.338000000000001</v>
      </c>
      <c r="F19" s="1">
        <v>40579</v>
      </c>
      <c r="G19" s="1">
        <v>2023</v>
      </c>
      <c r="H19">
        <v>15.526</v>
      </c>
      <c r="I19">
        <v>2.944</v>
      </c>
      <c r="J19">
        <v>134</v>
      </c>
      <c r="M19" s="27" t="str">
        <f t="shared" si="0"/>
        <v>120</v>
      </c>
      <c r="N19" s="27" t="str">
        <f t="shared" si="1"/>
        <v>posthypy</v>
      </c>
      <c r="O19" s="28">
        <f>(E19-((G19^3*standards!$B$25+G19^2*standards!$B$26+G19*standards!$B$27+standards!$B$28)+(A19^3*standards!$C$25+standards!$C$26*A19^2+standards!$C$27*A19+standards!$C$28)))*standards!$R$27+standards!$R$26</f>
        <v>-23.925909444226765</v>
      </c>
      <c r="P19" s="28">
        <f>(H19-((J19^3*standards!$B$31+J19^2*standards!$B$32+J19*standards!$B$33+standards!$B$34)+(A19^3*standards!$C$31+standards!$C$32*A19^2+standards!$C$33*A19+standards!$C$34)))*standards!$S$27+standards!$S$26</f>
        <v>8.634074276500753</v>
      </c>
      <c r="Q19" s="35">
        <f>((F19*standards!$R$31+standards!$R$30)*F19)/D19</f>
        <v>0.13784884399716549</v>
      </c>
      <c r="R19" s="35">
        <f>((I19*standards!$S$31+standards!$S$30)*I19)/D19</f>
        <v>2.9980818349137062E-2</v>
      </c>
      <c r="S19" s="29">
        <f t="shared" si="2"/>
        <v>4.597901311160614</v>
      </c>
      <c r="T19" s="30">
        <f t="shared" si="3"/>
        <v>28.51952545724172</v>
      </c>
      <c r="U19" s="30">
        <f t="shared" si="4"/>
        <v>156.56716417910448</v>
      </c>
    </row>
    <row r="20" spans="1:21" x14ac:dyDescent="0.2">
      <c r="A20" s="1">
        <v>20</v>
      </c>
      <c r="B20" s="1" t="s">
        <v>85</v>
      </c>
      <c r="C20" t="s">
        <v>72</v>
      </c>
      <c r="D20" s="1">
        <v>7.5460000000000003</v>
      </c>
      <c r="E20" s="1">
        <v>-24.355</v>
      </c>
      <c r="F20" s="1">
        <v>55695</v>
      </c>
      <c r="G20" s="1">
        <v>2864</v>
      </c>
      <c r="H20" s="1">
        <v>4.4050000000000002</v>
      </c>
      <c r="I20" s="1">
        <v>2.2639999999999998</v>
      </c>
      <c r="J20" s="1">
        <v>104</v>
      </c>
      <c r="M20" s="27" t="str">
        <f t="shared" si="0"/>
        <v>91</v>
      </c>
      <c r="N20" s="27" t="str">
        <f t="shared" si="1"/>
        <v>posthypy</v>
      </c>
      <c r="O20" s="28">
        <f>(E20-((G20^3*standards!$B$25+G20^2*standards!$B$26+G20*standards!$B$27+standards!$B$28)+(A20^3*standards!$C$25+standards!$C$26*A20^2+standards!$C$27*A20+standards!$C$28)))*standards!$R$27+standards!$R$26</f>
        <v>-24.907685762766956</v>
      </c>
      <c r="P20" s="28">
        <f>(H20-((J20^3*standards!$B$31+J20^2*standards!$B$32+J20*standards!$B$33+standards!$B$34)+(A20^3*standards!$C$31+standards!$C$32*A20^2+standards!$C$33*A20+standards!$C$34)))*standards!$S$27+standards!$S$26</f>
        <v>7.9213850052423638</v>
      </c>
      <c r="Q20" s="35">
        <f>((F20*standards!$R$31+standards!$R$30)*F20)/D20</f>
        <v>0.26338800356464176</v>
      </c>
      <c r="R20" s="35">
        <f>((I20*standards!$S$31+standards!$S$30)*I20)/D20</f>
        <v>3.2355165436476971E-2</v>
      </c>
      <c r="S20" s="29">
        <f t="shared" si="2"/>
        <v>8.1405240866949828</v>
      </c>
      <c r="T20" s="30">
        <f t="shared" si="3"/>
        <v>14.49127094972067</v>
      </c>
      <c r="U20" s="30">
        <f t="shared" si="4"/>
        <v>145.11538461538461</v>
      </c>
    </row>
    <row r="21" spans="1:21" x14ac:dyDescent="0.2">
      <c r="A21" s="1">
        <v>21</v>
      </c>
      <c r="B21" s="1" t="s">
        <v>86</v>
      </c>
      <c r="C21" t="s">
        <v>72</v>
      </c>
      <c r="D21" s="1">
        <v>11.337</v>
      </c>
      <c r="E21" s="1">
        <v>-23.956</v>
      </c>
      <c r="F21" s="1">
        <v>70185</v>
      </c>
      <c r="G21" s="1">
        <v>3854</v>
      </c>
      <c r="H21" s="1">
        <v>14.968</v>
      </c>
      <c r="I21" s="1">
        <v>3.6240000000000001</v>
      </c>
      <c r="J21" s="1">
        <v>187</v>
      </c>
      <c r="M21" s="27" t="str">
        <f t="shared" si="0"/>
        <v>93</v>
      </c>
      <c r="N21" s="27" t="str">
        <f t="shared" si="1"/>
        <v>posthypy</v>
      </c>
      <c r="O21" s="28">
        <f>(E21-((G21^3*standards!$B$25+G21^2*standards!$B$26+G21*standards!$B$27+standards!$B$28)+(A21^3*standards!$C$25+standards!$C$26*A21^2+standards!$C$27*A21+standards!$C$28)))*standards!$R$27+standards!$R$26</f>
        <v>-24.460374354667312</v>
      </c>
      <c r="P21" s="28">
        <f>(H21-((J21^3*standards!$B$31+J21^2*standards!$B$32+J21*standards!$B$33+standards!$B$34)+(A21^3*standards!$C$31+standards!$C$32*A21^2+standards!$C$33*A21+standards!$C$34)))*standards!$S$27+standards!$S$26</f>
        <v>8.5983148471902435</v>
      </c>
      <c r="Q21" s="35">
        <f>((F21*standards!$R$31+standards!$R$30)*F21)/D21</f>
        <v>0.22122569700523304</v>
      </c>
      <c r="R21" s="35">
        <f>((I21*standards!$S$31+standards!$S$30)*I21)/D21</f>
        <v>3.3824332934930715E-2</v>
      </c>
      <c r="S21" s="29">
        <f t="shared" si="2"/>
        <v>6.5404304478321622</v>
      </c>
      <c r="T21" s="30">
        <f t="shared" si="3"/>
        <v>16.178905033731187</v>
      </c>
      <c r="U21" s="30">
        <f t="shared" si="4"/>
        <v>121.25133689839572</v>
      </c>
    </row>
    <row r="22" spans="1:21" x14ac:dyDescent="0.2">
      <c r="A22" s="1">
        <v>22</v>
      </c>
      <c r="B22" s="1" t="s">
        <v>87</v>
      </c>
      <c r="C22" t="s">
        <v>72</v>
      </c>
      <c r="D22" s="1">
        <v>10.762</v>
      </c>
      <c r="E22" s="1">
        <v>-24.183</v>
      </c>
      <c r="F22" s="1">
        <v>74929</v>
      </c>
      <c r="G22" s="1">
        <v>3925</v>
      </c>
      <c r="H22" s="1">
        <v>13.746</v>
      </c>
      <c r="I22" s="1">
        <v>3.3639999999999999</v>
      </c>
      <c r="J22" s="1">
        <v>159</v>
      </c>
      <c r="M22" s="27" t="str">
        <f t="shared" si="0"/>
        <v>101</v>
      </c>
      <c r="N22" s="27" t="str">
        <f t="shared" si="1"/>
        <v>posthypy</v>
      </c>
      <c r="O22" s="28">
        <f>(E22-((G22^3*standards!$B$25+G22^2*standards!$B$26+G22*standards!$B$27+standards!$B$28)+(A22^3*standards!$C$25+standards!$C$26*A22^2+standards!$C$27*A22+standards!$C$28)))*standards!$R$27+standards!$R$26</f>
        <v>-24.697639271180112</v>
      </c>
      <c r="P22" s="28">
        <f>(H22-((J22^3*standards!$B$31+J22^2*standards!$B$32+J22*standards!$B$33+standards!$B$34)+(A22^3*standards!$C$31+standards!$C$32*A22^2+standards!$C$33*A22+standards!$C$34)))*standards!$S$27+standards!$S$26</f>
        <v>8.5200029787002016</v>
      </c>
      <c r="Q22" s="35">
        <f>((F22*standards!$R$31+standards!$R$30)*F22)/D22</f>
        <v>0.24890881633775333</v>
      </c>
      <c r="R22" s="35">
        <f>((I22*standards!$S$31+standards!$S$30)*I22)/D22</f>
        <v>3.3196367126813335E-2</v>
      </c>
      <c r="S22" s="29">
        <f t="shared" si="2"/>
        <v>7.4980739725795162</v>
      </c>
      <c r="T22" s="30">
        <f t="shared" si="3"/>
        <v>15.080509554140127</v>
      </c>
      <c r="U22" s="30">
        <f t="shared" si="4"/>
        <v>135.37106918238993</v>
      </c>
    </row>
    <row r="23" spans="1:21" x14ac:dyDescent="0.2">
      <c r="A23" s="1">
        <v>23</v>
      </c>
      <c r="B23" s="1" t="s">
        <v>68</v>
      </c>
      <c r="C23" t="s">
        <v>72</v>
      </c>
      <c r="D23" s="1">
        <v>0.22</v>
      </c>
      <c r="E23" s="1">
        <v>-11.090999999999999</v>
      </c>
      <c r="F23" s="1">
        <v>286854</v>
      </c>
      <c r="G23" s="1">
        <v>3374</v>
      </c>
      <c r="H23" s="1">
        <v>10.545999999999999</v>
      </c>
      <c r="I23" s="1">
        <v>37.433</v>
      </c>
      <c r="J23" s="1">
        <v>1856</v>
      </c>
      <c r="M23" s="27" t="str">
        <f t="shared" si="0"/>
        <v>Taipan</v>
      </c>
      <c r="N23" s="27" t="str">
        <f t="shared" si="1"/>
        <v>posthypy</v>
      </c>
      <c r="O23" s="28">
        <f>(E23-((G23^3*standards!$B$25+G23^2*standards!$B$26+G23*standards!$B$27+standards!$B$28)+(A23^3*standards!$C$25+standards!$C$26*A23^2+standards!$C$27*A23+standards!$C$28)))*standards!$R$27+standards!$R$26</f>
        <v>-11.618011644976086</v>
      </c>
      <c r="P23" s="28">
        <f>(H23-((J23^3*standards!$B$31+J23^2*standards!$B$32+J23*standards!$B$33+standards!$B$34)+(A23^3*standards!$C$31+standards!$C$32*A23^2+standards!$C$33*A23+standards!$C$34)))*standards!$S$27+standards!$S$26</f>
        <v>8.3149309826542659</v>
      </c>
      <c r="Q23" s="35">
        <f>((F23*standards!$R$31+standards!$R$30)*F23)/D23</f>
        <v>47.544148076965229</v>
      </c>
      <c r="R23" s="35">
        <f>((I23*standards!$S$31+standards!$S$30)*I23)/D23</f>
        <v>9.4260192728450001</v>
      </c>
      <c r="S23" s="29">
        <f t="shared" si="2"/>
        <v>5.043926465749232</v>
      </c>
      <c r="T23" s="30">
        <f t="shared" si="3"/>
        <v>0.35862477771191464</v>
      </c>
      <c r="U23" s="30">
        <f t="shared" si="4"/>
        <v>0.23706896551724138</v>
      </c>
    </row>
    <row r="24" spans="1:21" x14ac:dyDescent="0.2">
      <c r="A24" s="1">
        <v>24</v>
      </c>
      <c r="B24" s="1" t="s">
        <v>64</v>
      </c>
      <c r="C24" t="s">
        <v>72</v>
      </c>
      <c r="D24" s="1">
        <v>1.3080000000000001</v>
      </c>
      <c r="E24" s="1">
        <v>-27.175000000000001</v>
      </c>
      <c r="F24" s="1">
        <v>221255</v>
      </c>
      <c r="G24" s="1">
        <v>3419</v>
      </c>
      <c r="H24">
        <v>1.7589999999999999</v>
      </c>
      <c r="I24">
        <v>6.5149999999999997</v>
      </c>
      <c r="J24">
        <v>321</v>
      </c>
      <c r="M24" s="27" t="str">
        <f t="shared" si="0"/>
        <v>HOC</v>
      </c>
      <c r="N24" s="27" t="str">
        <f t="shared" si="1"/>
        <v>posthypy</v>
      </c>
      <c r="O24" s="28">
        <f>(E24-((G24^3*standards!$B$25+G24^2*standards!$B$26+G24*standards!$B$27+standards!$B$28)+(A24^3*standards!$C$25+standards!$C$26*A24^2+standards!$C$27*A24+standards!$C$28)))*standards!$R$27+standards!$R$26</f>
        <v>-27.757198989525293</v>
      </c>
      <c r="P24" s="28">
        <f>(H24-((J24^3*standards!$B$31+J24^2*standards!$B$32+J24*standards!$B$33+standards!$B$34)+(A24^3*standards!$C$31+standards!$C$32*A24^2+standards!$C$33*A24+standards!$C$34)))*standards!$S$27+standards!$S$26</f>
        <v>7.7518160985118811</v>
      </c>
      <c r="Q24" s="35">
        <f>((F24*standards!$R$31+standards!$R$30)*F24)/D24</f>
        <v>6.1306678481933705</v>
      </c>
      <c r="R24" s="35">
        <f>((I24*standards!$S$31+standards!$S$30)*I24)/D24</f>
        <v>0.50557041316306617</v>
      </c>
      <c r="S24" s="29">
        <f t="shared" si="2"/>
        <v>12.126239369581128</v>
      </c>
      <c r="T24" s="30">
        <f t="shared" si="3"/>
        <v>2.10412401286926</v>
      </c>
      <c r="U24" s="30">
        <f t="shared" si="4"/>
        <v>8.1495327102803738</v>
      </c>
    </row>
    <row r="25" spans="1:21" x14ac:dyDescent="0.2">
      <c r="A25" s="1">
        <v>25</v>
      </c>
      <c r="B25" s="1" t="s">
        <v>65</v>
      </c>
      <c r="C25" t="s">
        <v>72</v>
      </c>
      <c r="D25" s="1">
        <v>0.84499999999999997</v>
      </c>
      <c r="E25" s="1">
        <v>-25.827000000000002</v>
      </c>
      <c r="F25" s="1">
        <v>25738</v>
      </c>
      <c r="G25" s="1">
        <v>1340</v>
      </c>
      <c r="M25" s="27" t="str">
        <f t="shared" si="0"/>
        <v>LOC</v>
      </c>
      <c r="N25" s="27" t="str">
        <f t="shared" si="1"/>
        <v>posthypy</v>
      </c>
      <c r="O25" s="28">
        <f>(E25-((G25^3*standards!$B$25+G25^2*standards!$B$26+G25*standards!$B$27+standards!$B$28)+(A25^3*standards!$C$25+standards!$C$26*A25^2+standards!$C$27*A25+standards!$C$28)))*standards!$R$27+standards!$R$26</f>
        <v>-26.548200682121728</v>
      </c>
      <c r="P25" s="28">
        <f>(H25-((J25^3*standards!$B$31+J25^2*standards!$B$32+J25*standards!$B$33+standards!$B$34)+(A25^3*standards!$C$31+standards!$C$32*A25^2+standards!$C$33*A25+standards!$C$34)))*standards!$S$27+standards!$S$26</f>
        <v>7.6390905856853806</v>
      </c>
      <c r="Q25" s="35">
        <f>((F25*standards!$R$31+standards!$R$30)*F25)/D25</f>
        <v>1.0838931298016676</v>
      </c>
      <c r="R25" s="35">
        <f>((I25*standards!$S$31+standards!$S$30)*I25)/D25</f>
        <v>0</v>
      </c>
      <c r="S25" s="29" t="e">
        <f t="shared" si="2"/>
        <v>#DIV/0!</v>
      </c>
      <c r="T25" s="30">
        <f t="shared" si="3"/>
        <v>3.4682835820895521</v>
      </c>
      <c r="U25" s="30" t="e">
        <f t="shared" si="4"/>
        <v>#DIV/0!</v>
      </c>
    </row>
    <row r="26" spans="1:21" x14ac:dyDescent="0.2">
      <c r="A26" s="1">
        <v>26</v>
      </c>
      <c r="B26" s="1" t="s">
        <v>65</v>
      </c>
      <c r="C26" t="s">
        <v>72</v>
      </c>
      <c r="D26" s="1">
        <v>1.5029999999999999</v>
      </c>
      <c r="E26" s="1">
        <v>-25.844000000000001</v>
      </c>
      <c r="F26" s="1">
        <v>44769</v>
      </c>
      <c r="G26" s="1">
        <v>2285</v>
      </c>
      <c r="H26">
        <v>-2.8090000000000002</v>
      </c>
      <c r="I26">
        <v>1.706</v>
      </c>
      <c r="J26">
        <v>70</v>
      </c>
      <c r="M26" s="27" t="str">
        <f t="shared" si="0"/>
        <v>LOC</v>
      </c>
      <c r="N26" s="27" t="str">
        <f t="shared" si="1"/>
        <v>posthypy</v>
      </c>
      <c r="O26" s="28">
        <f>(E26-((G26^3*standards!$B$25+G26^2*standards!$B$26+G26*standards!$B$27+standards!$B$28)+(A26^3*standards!$C$25+standards!$C$26*A26^2+standards!$C$27*A26+standards!$C$28)))*standards!$R$27+standards!$R$26</f>
        <v>-26.520810118277112</v>
      </c>
      <c r="P26" s="28">
        <f>(H26-((J26^3*standards!$B$31+J26^2*standards!$B$32+J26*standards!$B$33+standards!$B$34)+(A26^3*standards!$C$31+standards!$C$32*A26^2+standards!$C$33*A26+standards!$C$34)))*standards!$S$27+standards!$S$26</f>
        <v>7.459075824156308</v>
      </c>
      <c r="Q26" s="35">
        <f>((F26*standards!$R$31+standards!$R$30)*F26)/D26</f>
        <v>1.0618604449924149</v>
      </c>
      <c r="R26" s="35">
        <f>((I26*standards!$S$31+standards!$S$30)*I26)/D26</f>
        <v>0.12335082979858454</v>
      </c>
      <c r="S26" s="29">
        <f t="shared" si="2"/>
        <v>8.6084580600413592</v>
      </c>
      <c r="T26" s="30">
        <f t="shared" si="3"/>
        <v>3.6177242888402628</v>
      </c>
      <c r="U26" s="30">
        <f t="shared" si="4"/>
        <v>42.942857142857143</v>
      </c>
    </row>
    <row r="27" spans="1:21" x14ac:dyDescent="0.2">
      <c r="A27" s="1">
        <v>27</v>
      </c>
      <c r="B27" s="1" t="s">
        <v>65</v>
      </c>
      <c r="C27" t="s">
        <v>72</v>
      </c>
      <c r="D27" s="1">
        <v>3.0339999999999998</v>
      </c>
      <c r="E27" s="1">
        <v>-26.027999999999999</v>
      </c>
      <c r="F27" s="1">
        <v>85915</v>
      </c>
      <c r="G27" s="1">
        <v>4718</v>
      </c>
      <c r="H27" s="1">
        <v>2.1970000000000001</v>
      </c>
      <c r="I27" s="1">
        <v>3.0009999999999999</v>
      </c>
      <c r="J27" s="1">
        <v>143</v>
      </c>
      <c r="M27" s="27" t="str">
        <f t="shared" si="0"/>
        <v>LOC</v>
      </c>
      <c r="N27" s="27" t="str">
        <f t="shared" si="1"/>
        <v>posthypy</v>
      </c>
      <c r="O27" s="28">
        <f>(E27-((G27^3*standards!$B$25+G27^2*standards!$B$26+G27*standards!$B$27+standards!$B$28)+(A27^3*standards!$C$25+standards!$C$26*A27^2+standards!$C$27*A27+standards!$C$28)))*standards!$R$27+standards!$R$26</f>
        <v>-26.568800417265827</v>
      </c>
      <c r="P27" s="28">
        <f>(H27-((J27^3*standards!$B$31+J27^2*standards!$B$32+J27*standards!$B$33+standards!$B$34)+(A27^3*standards!$C$31+standards!$C$32*A27^2+standards!$C$33*A27+standards!$C$34)))*standards!$S$27+standards!$S$26</f>
        <v>7.7798853279706677</v>
      </c>
      <c r="Q27" s="35">
        <f>((F27*standards!$R$31+standards!$R$30)*F27)/D27</f>
        <v>1.0134106907207192</v>
      </c>
      <c r="R27" s="35">
        <f>((I27*standards!$S$31+standards!$S$30)*I27)/D27</f>
        <v>0.10558103209572799</v>
      </c>
      <c r="S27" s="29">
        <f t="shared" si="2"/>
        <v>9.5984162174308185</v>
      </c>
      <c r="T27" s="30">
        <f t="shared" si="3"/>
        <v>3.5368800339126749</v>
      </c>
      <c r="U27" s="30">
        <f t="shared" si="4"/>
        <v>42.433566433566433</v>
      </c>
    </row>
    <row r="28" spans="1:21" x14ac:dyDescent="0.2">
      <c r="A28" s="1">
        <v>28</v>
      </c>
      <c r="B28" s="1" t="s">
        <v>65</v>
      </c>
      <c r="C28" t="s">
        <v>72</v>
      </c>
      <c r="D28" s="1">
        <v>5.0419999999999998</v>
      </c>
      <c r="E28" s="1">
        <v>-25.97</v>
      </c>
      <c r="F28" s="1">
        <v>139857</v>
      </c>
      <c r="G28" s="1">
        <v>4026</v>
      </c>
      <c r="H28" s="1">
        <v>2.7429999999999999</v>
      </c>
      <c r="I28" s="1">
        <v>4.9550000000000001</v>
      </c>
      <c r="J28" s="1">
        <v>252</v>
      </c>
      <c r="M28" s="27" t="str">
        <f t="shared" si="0"/>
        <v>LOC</v>
      </c>
      <c r="N28" s="27" t="str">
        <f t="shared" si="1"/>
        <v>posthypy</v>
      </c>
      <c r="O28" s="28">
        <f>(E28-((G28^3*standards!$B$25+G28^2*standards!$B$26+G28*standards!$B$27+standards!$B$28)+(A28^3*standards!$C$25+standards!$C$26*A28^2+standards!$C$27*A28+standards!$C$28)))*standards!$R$27+standards!$R$26</f>
        <v>-26.567500195368876</v>
      </c>
      <c r="P28" s="28">
        <f>(H28-((J28^3*standards!$B$31+J28^2*standards!$B$32+J28*standards!$B$33+standards!$B$34)+(A28^3*standards!$C$31+standards!$C$32*A28^2+standards!$C$33*A28+standards!$C$34)))*standards!$S$27+standards!$S$26</f>
        <v>7.8148757372960063</v>
      </c>
      <c r="Q28" s="35">
        <f>((F28*standards!$R$31+standards!$R$30)*F28)/D28</f>
        <v>0.99772311975765404</v>
      </c>
      <c r="R28" s="35">
        <f>((I28*standards!$S$31+standards!$S$30)*I28)/D28</f>
        <v>0.10203673943535435</v>
      </c>
      <c r="S28" s="29">
        <f t="shared" si="2"/>
        <v>9.7780772423619453</v>
      </c>
      <c r="T28" s="30">
        <f t="shared" si="3"/>
        <v>6.8879781420765029</v>
      </c>
      <c r="U28" s="30">
        <f t="shared" si="4"/>
        <v>40.015873015873019</v>
      </c>
    </row>
    <row r="29" spans="1:21" x14ac:dyDescent="0.2">
      <c r="A29" s="1">
        <v>29</v>
      </c>
      <c r="B29" s="1" t="s">
        <v>88</v>
      </c>
      <c r="C29" t="s">
        <v>72</v>
      </c>
      <c r="D29" s="1">
        <v>9.048</v>
      </c>
      <c r="E29" s="1">
        <v>-24.216999999999999</v>
      </c>
      <c r="F29" s="1">
        <v>50580</v>
      </c>
      <c r="G29" s="1">
        <v>2731</v>
      </c>
      <c r="H29" s="1">
        <v>16.158000000000001</v>
      </c>
      <c r="I29" s="1">
        <v>2.8570000000000002</v>
      </c>
      <c r="J29" s="1">
        <v>135</v>
      </c>
      <c r="M29" s="27" t="str">
        <f t="shared" si="0"/>
        <v>109</v>
      </c>
      <c r="N29" s="27" t="str">
        <f t="shared" si="1"/>
        <v>posthypy</v>
      </c>
      <c r="O29" s="28">
        <f>(E29-((G29^3*standards!$B$25+G29^2*standards!$B$26+G29*standards!$B$27+standards!$B$28)+(A29^3*standards!$C$25+standards!$C$26*A29^2+standards!$C$27*A29+standards!$C$28)))*standards!$R$27+standards!$R$26</f>
        <v>-24.903882833316572</v>
      </c>
      <c r="P29" s="28">
        <f>(H29-((J29^3*standards!$B$31+J29^2*standards!$B$32+J29*standards!$B$33+standards!$B$34)+(A29^3*standards!$C$31+standards!$C$32*A29^2+standards!$C$33*A29+standards!$C$34)))*standards!$S$27+standards!$S$26</f>
        <v>8.6745759957198256</v>
      </c>
      <c r="Q29" s="35">
        <f>((F29*standards!$R$31+standards!$R$30)*F29)/D29</f>
        <v>0.19939458135161978</v>
      </c>
      <c r="R29" s="35">
        <f>((I29*standards!$S$31+standards!$S$30)*I29)/D29</f>
        <v>3.3772709412539952E-2</v>
      </c>
      <c r="S29" s="29">
        <f t="shared" si="2"/>
        <v>5.9040149523089109</v>
      </c>
      <c r="T29" s="30">
        <f t="shared" si="3"/>
        <v>18.221896741120467</v>
      </c>
      <c r="U29" s="30">
        <f t="shared" si="4"/>
        <v>134.04444444444445</v>
      </c>
    </row>
    <row r="30" spans="1:21" x14ac:dyDescent="0.2">
      <c r="A30" s="1">
        <v>30</v>
      </c>
      <c r="B30" s="1" t="s">
        <v>89</v>
      </c>
      <c r="C30" t="s">
        <v>72</v>
      </c>
      <c r="D30" s="1">
        <v>3.7829999999999999</v>
      </c>
      <c r="E30" s="1">
        <v>-23.866</v>
      </c>
      <c r="F30" s="1">
        <v>49755</v>
      </c>
      <c r="G30" s="1">
        <v>2682</v>
      </c>
      <c r="H30" s="1">
        <v>-2.645</v>
      </c>
      <c r="I30" s="1">
        <v>1.5109999999999999</v>
      </c>
      <c r="J30" s="1">
        <v>64</v>
      </c>
      <c r="M30" s="27" t="str">
        <f t="shared" si="0"/>
        <v>53</v>
      </c>
      <c r="N30" s="27" t="str">
        <f t="shared" si="1"/>
        <v>posthypy</v>
      </c>
      <c r="O30" s="28">
        <f>(E30-((G30^3*standards!$B$25+G30^2*standards!$B$26+G30*standards!$B$27+standards!$B$28)+(A30^3*standards!$C$25+standards!$C$26*A30^2+standards!$C$27*A30+standards!$C$28)))*standards!$R$27+standards!$R$26</f>
        <v>-24.5689943632986</v>
      </c>
      <c r="P30" s="28">
        <f>(H30-((J30^3*standards!$B$31+J30^2*standards!$B$32+J30*standards!$B$33+standards!$B$34)+(A30^3*standards!$C$31+standards!$C$32*A30^2+standards!$C$33*A30+standards!$C$34)))*standards!$S$27+standards!$S$26</f>
        <v>7.4695857639536625</v>
      </c>
      <c r="Q30" s="35">
        <f>((F30*standards!$R$31+standards!$R$30)*F30)/D30</f>
        <v>0.46908734220238435</v>
      </c>
      <c r="R30" s="35">
        <f>((I30*standards!$S$31+standards!$S$30)*I30)/D30</f>
        <v>4.3522180251362605E-2</v>
      </c>
      <c r="S30" s="29">
        <f t="shared" si="2"/>
        <v>10.778121396795099</v>
      </c>
      <c r="T30" s="30">
        <f t="shared" si="3"/>
        <v>7.757829977628635</v>
      </c>
      <c r="U30" s="30">
        <f t="shared" si="4"/>
        <v>118.21875</v>
      </c>
    </row>
    <row r="31" spans="1:21" x14ac:dyDescent="0.2">
      <c r="A31" s="1">
        <v>31</v>
      </c>
      <c r="B31" s="1" t="s">
        <v>90</v>
      </c>
      <c r="C31" t="s">
        <v>72</v>
      </c>
      <c r="D31" s="1">
        <v>1.81</v>
      </c>
      <c r="E31" s="1">
        <v>-23.788</v>
      </c>
      <c r="F31" s="1">
        <v>198893</v>
      </c>
      <c r="G31" s="1">
        <v>3323</v>
      </c>
      <c r="H31" s="1">
        <v>10.292999999999999</v>
      </c>
      <c r="I31" s="1">
        <v>4.3609999999999998</v>
      </c>
      <c r="J31" s="1">
        <v>225</v>
      </c>
      <c r="M31" s="27" t="str">
        <f t="shared" si="0"/>
        <v>56</v>
      </c>
      <c r="N31" s="27" t="str">
        <f t="shared" si="1"/>
        <v>posthypy</v>
      </c>
      <c r="O31" s="28">
        <f>(E31-((G31^3*standards!$B$25+G31^2*standards!$B$26+G31*standards!$B$27+standards!$B$28)+(A31^3*standards!$C$25+standards!$C$26*A31^2+standards!$C$27*A31+standards!$C$28)))*standards!$R$27+standards!$R$26</f>
        <v>-24.465155388543742</v>
      </c>
      <c r="P31" s="28">
        <f>(H31-((J31^3*standards!$B$31+J31^2*standards!$B$32+J31*standards!$B$33+standards!$B$34)+(A31^3*standards!$C$31+standards!$C$32*A31^2+standards!$C$33*A31+standards!$C$34)))*standards!$S$27+standards!$S$26</f>
        <v>8.2987174779668855</v>
      </c>
      <c r="Q31" s="35">
        <f>((F31*standards!$R$31+standards!$R$30)*F31)/D31</f>
        <v>3.9743029497331372</v>
      </c>
      <c r="R31" s="35">
        <f>((I31*standards!$S$31+standards!$S$30)*I31)/D31</f>
        <v>0.25229723164507084</v>
      </c>
      <c r="S31" s="29">
        <f t="shared" si="2"/>
        <v>15.752463567749906</v>
      </c>
      <c r="T31" s="30">
        <f t="shared" si="3"/>
        <v>2.9957869395124885</v>
      </c>
      <c r="U31" s="30">
        <f t="shared" si="4"/>
        <v>16.088888888888889</v>
      </c>
    </row>
    <row r="32" spans="1:21" x14ac:dyDescent="0.2">
      <c r="A32" s="1">
        <v>32</v>
      </c>
      <c r="B32" s="1" t="s">
        <v>91</v>
      </c>
      <c r="C32" t="s">
        <v>72</v>
      </c>
      <c r="D32" s="1">
        <v>2.903</v>
      </c>
      <c r="E32" s="1">
        <v>-23.885000000000002</v>
      </c>
      <c r="F32" s="1">
        <v>191344</v>
      </c>
      <c r="G32" s="1">
        <v>3236</v>
      </c>
      <c r="H32" s="1">
        <v>3.14</v>
      </c>
      <c r="I32" s="1">
        <v>2.1059999999999999</v>
      </c>
      <c r="J32" s="1">
        <v>96</v>
      </c>
      <c r="M32" s="27" t="str">
        <f t="shared" si="0"/>
        <v>63</v>
      </c>
      <c r="N32" s="27" t="str">
        <f t="shared" si="1"/>
        <v>posthypy</v>
      </c>
      <c r="O32" s="28">
        <f>(E32-((G32^3*standards!$B$25+G32^2*standards!$B$26+G32*standards!$B$27+standards!$B$28)+(A32^3*standards!$C$25+standards!$C$26*A32^2+standards!$C$27*A32+standards!$C$28)))*standards!$R$27+standards!$R$26</f>
        <v>-24.581842021232859</v>
      </c>
      <c r="P32" s="28">
        <f>(H32-((J32^3*standards!$B$31+J32^2*standards!$B$32+J32*standards!$B$33+standards!$B$34)+(A32^3*standards!$C$31+standards!$C$32*A32^2+standards!$C$33*A32+standards!$C$34)))*standards!$S$27+standards!$S$26</f>
        <v>7.8403174818054548</v>
      </c>
      <c r="Q32" s="35">
        <f>((F32*standards!$R$31+standards!$R$30)*F32)/D32</f>
        <v>2.3822251394224248</v>
      </c>
      <c r="R32" s="35">
        <f>((I32*standards!$S$31+standards!$S$30)*I32)/D32</f>
        <v>7.8404884014514786E-2</v>
      </c>
      <c r="S32" s="29">
        <f t="shared" si="2"/>
        <v>30.383631955649765</v>
      </c>
      <c r="T32" s="30">
        <f t="shared" si="3"/>
        <v>4.9340234857849197</v>
      </c>
      <c r="U32" s="30">
        <f t="shared" si="4"/>
        <v>60.479166666666664</v>
      </c>
    </row>
    <row r="33" spans="1:21" x14ac:dyDescent="0.2">
      <c r="A33" s="1">
        <v>33</v>
      </c>
      <c r="B33" s="1" t="s">
        <v>92</v>
      </c>
      <c r="C33" t="s">
        <v>72</v>
      </c>
      <c r="D33" s="1">
        <v>3.1640000000000001</v>
      </c>
      <c r="E33" s="1">
        <v>-23.798999999999999</v>
      </c>
      <c r="F33" s="1">
        <v>24709</v>
      </c>
      <c r="G33" s="1">
        <v>1258</v>
      </c>
      <c r="H33" s="1"/>
      <c r="I33" s="1"/>
      <c r="J33" s="1"/>
      <c r="M33" s="27" t="str">
        <f t="shared" si="0"/>
        <v>25</v>
      </c>
      <c r="N33" s="27" t="str">
        <f t="shared" si="1"/>
        <v>posthypy</v>
      </c>
      <c r="O33" s="28">
        <f>(E33-((G33^3*standards!$B$25+G33^2*standards!$B$26+G33*standards!$B$27+standards!$B$28)+(A33^3*standards!$C$25+standards!$C$26*A33^2+standards!$C$27*A33+standards!$C$28)))*standards!$R$27+standards!$R$26</f>
        <v>-24.632041147223472</v>
      </c>
      <c r="P33" s="28">
        <f>(H33-((J33^3*standards!$B$31+J33^2*standards!$B$32+J33*standards!$B$33+standards!$B$34)+(A33^3*standards!$C$31+standards!$C$32*A33^2+standards!$C$33*A33+standards!$C$34)))*standards!$S$27+standards!$S$26</f>
        <v>7.6390905856853806</v>
      </c>
      <c r="Q33" s="35">
        <f>((F33*standards!$R$31+standards!$R$30)*F33)/D33</f>
        <v>0.27787202164865332</v>
      </c>
      <c r="R33" s="35">
        <f>((I33*standards!$S$31+standards!$S$30)*I33)/D33</f>
        <v>0</v>
      </c>
      <c r="S33" s="29" t="e">
        <f t="shared" si="2"/>
        <v>#DIV/0!</v>
      </c>
      <c r="T33" s="30">
        <f t="shared" si="3"/>
        <v>13.833068362480127</v>
      </c>
      <c r="U33" s="30" t="e">
        <f t="shared" si="4"/>
        <v>#DIV/0!</v>
      </c>
    </row>
    <row r="34" spans="1:21" x14ac:dyDescent="0.2">
      <c r="A34" s="1">
        <v>34</v>
      </c>
      <c r="B34" s="1" t="s">
        <v>93</v>
      </c>
      <c r="C34" t="s">
        <v>94</v>
      </c>
      <c r="D34" s="1">
        <v>12.406000000000001</v>
      </c>
      <c r="E34" s="1">
        <v>-24.114999999999998</v>
      </c>
      <c r="F34" s="1">
        <v>200837</v>
      </c>
      <c r="G34" s="1">
        <v>3266</v>
      </c>
      <c r="H34" s="1">
        <v>1.9139999999999999</v>
      </c>
      <c r="I34" s="1">
        <v>17.763000000000002</v>
      </c>
      <c r="J34" s="33">
        <v>876</v>
      </c>
      <c r="M34" s="27" t="str">
        <f t="shared" si="0"/>
        <v>162</v>
      </c>
      <c r="N34" s="27" t="str">
        <f t="shared" si="1"/>
        <v>prehypy</v>
      </c>
      <c r="O34" s="28">
        <f>(E34-((G34^3*standards!$B$25+G34^2*standards!$B$26+G34*standards!$B$27+standards!$B$28)+(A34^3*standards!$C$25+standards!$C$26*A34^2+standards!$C$27*A34+standards!$C$28)))*standards!$R$27+standards!$R$26</f>
        <v>-24.838690394475048</v>
      </c>
      <c r="P34" s="28">
        <f>(H34-((J34^3*standards!$B$31+J34^2*standards!$B$32+J34*standards!$B$33+standards!$B$34)+(A34^3*standards!$C$31+standards!$C$32*A34^2+standards!$C$33*A34+standards!$C$34)))*standards!$S$27+standards!$S$26</f>
        <v>7.7617492733203557</v>
      </c>
      <c r="Q34" s="35">
        <f>((F34*standards!$R$31+standards!$R$30)*F34)/D34</f>
        <v>0.58561274019310883</v>
      </c>
      <c r="R34" s="35">
        <f>((I34*standards!$S$31+standards!$S$30)*I34)/D34</f>
        <v>0.12131627777815361</v>
      </c>
      <c r="S34" s="29">
        <f t="shared" si="2"/>
        <v>4.8271571706477525</v>
      </c>
      <c r="T34" s="30">
        <f t="shared" si="3"/>
        <v>20.891916717697491</v>
      </c>
      <c r="U34" s="30">
        <f t="shared" si="4"/>
        <v>28.324200913242009</v>
      </c>
    </row>
    <row r="35" spans="1:21" x14ac:dyDescent="0.2">
      <c r="A35" s="1">
        <v>35</v>
      </c>
      <c r="B35" s="1" t="s">
        <v>87</v>
      </c>
      <c r="C35" t="s">
        <v>94</v>
      </c>
      <c r="D35" s="1">
        <v>16.93</v>
      </c>
      <c r="E35" s="1">
        <v>-21.98</v>
      </c>
      <c r="F35" s="1">
        <v>672145</v>
      </c>
      <c r="G35" s="1">
        <v>3542</v>
      </c>
      <c r="H35" s="1">
        <v>1.2509999999999999</v>
      </c>
      <c r="I35" s="1">
        <v>28.09</v>
      </c>
      <c r="J35" s="33">
        <v>1362</v>
      </c>
      <c r="M35" s="27" t="str">
        <f t="shared" si="0"/>
        <v>101</v>
      </c>
      <c r="N35" s="27" t="str">
        <f t="shared" si="1"/>
        <v>prehypy</v>
      </c>
      <c r="O35" s="28">
        <f>(E35-((G35^3*standards!$B$25+G35^2*standards!$B$26+G35*standards!$B$27+standards!$B$28)+(A35^3*standards!$C$25+standards!$C$26*A35^2+standards!$C$27*A35+standards!$C$28)))*standards!$R$27+standards!$R$26</f>
        <v>-22.694818374567024</v>
      </c>
      <c r="P35" s="28">
        <f>(H35-((J35^3*standards!$B$31+J35^2*standards!$B$32+J35*standards!$B$33+standards!$B$34)+(A35^3*standards!$C$31+standards!$C$32*A35^2+standards!$C$33*A35+standards!$C$34)))*standards!$S$27+standards!$S$26</f>
        <v>7.7192609191395887</v>
      </c>
      <c r="Q35" s="35">
        <f>((F35*standards!$R$31+standards!$R$30)*F35)/D35</f>
        <v>1.4991138732022184</v>
      </c>
      <c r="R35" s="35">
        <f>((I35*standards!$S$31+standards!$S$30)*I35)/D35</f>
        <v>0.11503167402822849</v>
      </c>
      <c r="S35" s="29">
        <f t="shared" si="2"/>
        <v>13.032183403975671</v>
      </c>
      <c r="T35" s="30">
        <f t="shared" si="3"/>
        <v>26.288819875776397</v>
      </c>
      <c r="U35" s="30">
        <f t="shared" si="4"/>
        <v>24.860499265785609</v>
      </c>
    </row>
    <row r="36" spans="1:21" x14ac:dyDescent="0.2">
      <c r="A36" s="1">
        <v>36</v>
      </c>
      <c r="B36" s="1" t="s">
        <v>95</v>
      </c>
      <c r="C36" t="s">
        <v>94</v>
      </c>
      <c r="D36" s="1">
        <v>16.327999999999999</v>
      </c>
      <c r="E36" s="1">
        <v>-24.346</v>
      </c>
      <c r="F36" s="1">
        <v>257174</v>
      </c>
      <c r="G36" s="1">
        <v>3437</v>
      </c>
      <c r="H36" s="1">
        <v>-3.274</v>
      </c>
      <c r="I36" s="1">
        <v>19.324999999999999</v>
      </c>
      <c r="J36" s="33">
        <v>914</v>
      </c>
      <c r="M36" s="27" t="str">
        <f t="shared" si="0"/>
        <v>160</v>
      </c>
      <c r="N36" s="27" t="str">
        <f t="shared" si="1"/>
        <v>prehypy</v>
      </c>
      <c r="O36" s="28">
        <f>(E36-((G36^3*standards!$B$25+G36^2*standards!$B$26+G36*standards!$B$27+standards!$B$28)+(A36^3*standards!$C$25+standards!$C$26*A36^2+standards!$C$27*A36+standards!$C$28)))*standards!$R$27+standards!$R$26</f>
        <v>-25.087816622043036</v>
      </c>
      <c r="P36" s="28">
        <f>(H36-((J36^3*standards!$B$31+J36^2*standards!$B$32+J36*standards!$B$33+standards!$B$34)+(A36^3*standards!$C$31+standards!$C$32*A36^2+standards!$C$33*A36+standards!$C$34)))*standards!$S$27+standards!$S$26</f>
        <v>7.4292762997308825</v>
      </c>
      <c r="Q36" s="35">
        <f>((F36*standards!$R$31+standards!$R$30)*F36)/D36</f>
        <v>0.57274599472797683</v>
      </c>
      <c r="R36" s="35">
        <f>((I36*standards!$S$31+standards!$S$30)*I36)/D36</f>
        <v>9.752483135435909E-2</v>
      </c>
      <c r="S36" s="29">
        <f t="shared" si="2"/>
        <v>5.8728222010134923</v>
      </c>
      <c r="T36" s="30">
        <f t="shared" si="3"/>
        <v>26.128600523712539</v>
      </c>
      <c r="U36" s="30">
        <f t="shared" si="4"/>
        <v>35.728665207877462</v>
      </c>
    </row>
    <row r="37" spans="1:21" x14ac:dyDescent="0.2">
      <c r="A37" s="1">
        <v>37</v>
      </c>
      <c r="B37" s="1" t="s">
        <v>96</v>
      </c>
      <c r="C37" t="s">
        <v>94</v>
      </c>
      <c r="D37" s="1">
        <v>14.885999999999999</v>
      </c>
      <c r="E37" s="1">
        <v>-26.414000000000001</v>
      </c>
      <c r="F37" s="1">
        <v>1025890</v>
      </c>
      <c r="G37" s="1">
        <v>3358</v>
      </c>
      <c r="H37" s="1">
        <v>-0.82799999999999996</v>
      </c>
      <c r="I37" s="1">
        <v>36.911000000000001</v>
      </c>
      <c r="J37" s="33">
        <v>1855</v>
      </c>
      <c r="M37" s="27" t="str">
        <f t="shared" si="0"/>
        <v>78</v>
      </c>
      <c r="N37" s="27" t="str">
        <f t="shared" si="1"/>
        <v>prehypy</v>
      </c>
      <c r="O37" s="28">
        <f>(E37-((G37^3*standards!$B$25+G37^2*standards!$B$26+G37*standards!$B$27+standards!$B$28)+(A37^3*standards!$C$25+standards!$C$26*A37^2+standards!$C$27*A37+standards!$C$28)))*standards!$R$27+standards!$R$26</f>
        <v>-27.1803920363479</v>
      </c>
      <c r="P37" s="28">
        <f>(H37-((J37^3*standards!$B$31+J37^2*standards!$B$32+J37*standards!$B$33+standards!$B$34)+(A37^3*standards!$C$31+standards!$C$32*A37^2+standards!$C$33*A37+standards!$C$34)))*standards!$S$27+standards!$S$26</f>
        <v>7.5860282067084945</v>
      </c>
      <c r="Q37" s="35">
        <f>((F37*standards!$R$31+standards!$R$30)*F37)/D37</f>
        <v>2.6842775960084557</v>
      </c>
      <c r="R37" s="35">
        <f>((I37*standards!$S$31+standards!$S$30)*I37)/D37</f>
        <v>0.13929446387530078</v>
      </c>
      <c r="S37" s="29">
        <f t="shared" si="2"/>
        <v>19.270526059179748</v>
      </c>
      <c r="T37" s="30">
        <f t="shared" si="3"/>
        <v>24.381477069684337</v>
      </c>
      <c r="U37" s="30">
        <f t="shared" si="4"/>
        <v>16.049595687331536</v>
      </c>
    </row>
    <row r="38" spans="1:21" x14ac:dyDescent="0.2">
      <c r="A38" s="1">
        <v>38</v>
      </c>
      <c r="B38" s="1" t="s">
        <v>76</v>
      </c>
      <c r="C38" t="s">
        <v>94</v>
      </c>
      <c r="D38" s="1">
        <v>15.173</v>
      </c>
      <c r="E38" s="1">
        <v>-26.379000000000001</v>
      </c>
      <c r="F38" s="1">
        <v>934268</v>
      </c>
      <c r="G38" s="1">
        <v>2722</v>
      </c>
      <c r="H38" s="1">
        <v>-2.3809999999999998</v>
      </c>
      <c r="I38" s="1">
        <v>34.463999999999999</v>
      </c>
      <c r="J38" s="33">
        <v>1595</v>
      </c>
      <c r="M38" s="27" t="str">
        <f t="shared" si="0"/>
        <v>80</v>
      </c>
      <c r="N38" s="27" t="str">
        <f t="shared" si="1"/>
        <v>prehypy</v>
      </c>
      <c r="O38" s="28">
        <f>(E38-((G38^3*standards!$B$25+G38^2*standards!$B$26+G38*standards!$B$27+standards!$B$28)+(A38^3*standards!$C$25+standards!$C$26*A38^2+standards!$C$27*A38+standards!$C$28)))*standards!$R$27+standards!$R$26</f>
        <v>-27.198689439776611</v>
      </c>
      <c r="P38" s="28">
        <f>(H38-((J38^3*standards!$B$31+J38^2*standards!$B$32+J38*standards!$B$33+standards!$B$34)+(A38^3*standards!$C$31+standards!$C$32*A38^2+standards!$C$33*A38+standards!$C$34)))*standards!$S$27+standards!$S$26</f>
        <v>7.4865042036274518</v>
      </c>
      <c r="Q38" s="35">
        <f>((F38*standards!$R$31+standards!$R$30)*F38)/D38</f>
        <v>2.3793274550916617</v>
      </c>
      <c r="R38" s="35">
        <f>((I38*standards!$S$31+standards!$S$30)*I38)/D38</f>
        <v>0.13588795654686456</v>
      </c>
      <c r="S38" s="29">
        <f t="shared" si="2"/>
        <v>17.509479983026218</v>
      </c>
      <c r="T38" s="30">
        <f t="shared" si="3"/>
        <v>30.658155767817782</v>
      </c>
      <c r="U38" s="30">
        <f t="shared" si="4"/>
        <v>19.025705329153606</v>
      </c>
    </row>
    <row r="39" spans="1:21" x14ac:dyDescent="0.2">
      <c r="A39" s="1">
        <v>39</v>
      </c>
      <c r="B39" s="1"/>
      <c r="D39" s="1"/>
      <c r="E39" s="1"/>
      <c r="F39" s="1">
        <v>424096</v>
      </c>
      <c r="G39" s="1"/>
      <c r="H39" s="1"/>
      <c r="I39" s="1"/>
      <c r="J39" s="1"/>
      <c r="M39" s="27">
        <f t="shared" si="0"/>
        <v>0</v>
      </c>
      <c r="N39" s="27">
        <f t="shared" si="1"/>
        <v>0</v>
      </c>
      <c r="O39" s="28">
        <f>(E39-((G39^3*standards!$B$25+G39^2*standards!$B$26+G39*standards!$B$27+standards!$B$28)+(A39^3*standards!$C$25+standards!$C$26*A39^2+standards!$C$27*A39+standards!$C$28)))*standards!$R$27+standards!$R$26</f>
        <v>-0.93010657116390105</v>
      </c>
      <c r="P39" s="28">
        <f>(H39-((J39^3*standards!$B$31+J39^2*standards!$B$32+J39*standards!$B$33+standards!$B$34)+(A39^3*standards!$C$31+standards!$C$32*A39^2+standards!$C$33*A39+standards!$C$34)))*standards!$S$27+standards!$S$26</f>
        <v>7.6390905856853806</v>
      </c>
      <c r="Q39" s="35" t="e">
        <f>((F39*standards!$R$31+standards!$R$30)*F39)/D39</f>
        <v>#DIV/0!</v>
      </c>
      <c r="R39" s="35" t="e">
        <f>((I39*standards!$S$31+standards!$S$30)*I39)/D39</f>
        <v>#DIV/0!</v>
      </c>
      <c r="S39" s="29" t="e">
        <f t="shared" si="2"/>
        <v>#DIV/0!</v>
      </c>
      <c r="T39" s="30" t="e">
        <f t="shared" si="3"/>
        <v>#DIV/0!</v>
      </c>
      <c r="U39" s="30" t="e">
        <f t="shared" si="4"/>
        <v>#DIV/0!</v>
      </c>
    </row>
    <row r="40" spans="1:21" x14ac:dyDescent="0.2">
      <c r="A40" s="1">
        <v>40</v>
      </c>
      <c r="B40" s="1" t="s">
        <v>68</v>
      </c>
      <c r="C40" t="s">
        <v>94</v>
      </c>
      <c r="D40" s="1">
        <v>0.26200000000000001</v>
      </c>
      <c r="E40" s="1">
        <v>-10.747</v>
      </c>
      <c r="F40" s="1">
        <v>454211</v>
      </c>
      <c r="G40" s="1">
        <v>1577</v>
      </c>
      <c r="H40" s="1">
        <v>78</v>
      </c>
      <c r="I40" s="1"/>
      <c r="J40" s="1"/>
      <c r="M40" s="27" t="str">
        <f t="shared" si="0"/>
        <v>Taipan</v>
      </c>
      <c r="N40" s="27" t="str">
        <f t="shared" si="1"/>
        <v>prehypy</v>
      </c>
      <c r="O40" s="28">
        <f>(E40-((G40^3*standards!$B$25+G40^2*standards!$B$26+G40*standards!$B$27+standards!$B$28)+(A40^3*standards!$C$25+standards!$C$26*A40^2+standards!$C$27*A40+standards!$C$28)))*standards!$R$27+standards!$R$26</f>
        <v>-11.622917879909098</v>
      </c>
      <c r="P40" s="28">
        <f>(H40-((J40^3*standards!$B$31+J40^2*standards!$B$32+J40*standards!$B$33+standards!$B$34)+(A40^3*standards!$C$31+standards!$C$32*A40^2+standards!$C$33*A40+standards!$C$34)))*standards!$S$27+standards!$S$26</f>
        <v>12.637720489305057</v>
      </c>
      <c r="Q40" s="35">
        <f>((F40*standards!$R$31+standards!$R$30)*F40)/D40</f>
        <v>64.190329604324333</v>
      </c>
      <c r="R40" s="35">
        <f>((I40*standards!$S$31+standards!$S$30)*I40)/D40</f>
        <v>0</v>
      </c>
      <c r="S40" s="29" t="e">
        <f t="shared" si="2"/>
        <v>#DIV/0!</v>
      </c>
      <c r="T40" s="30">
        <f t="shared" si="3"/>
        <v>0.91376030437539635</v>
      </c>
      <c r="U40" s="30" t="e">
        <f t="shared" si="4"/>
        <v>#DIV/0!</v>
      </c>
    </row>
    <row r="41" spans="1:21" x14ac:dyDescent="0.2">
      <c r="A41" s="1"/>
      <c r="B41" s="1"/>
      <c r="D41" s="1"/>
      <c r="E41" s="1"/>
      <c r="F41" s="1"/>
      <c r="G41" s="1"/>
      <c r="H41" s="1"/>
      <c r="I41" s="1"/>
      <c r="J41" s="1"/>
      <c r="M41" s="27"/>
      <c r="N41" s="27"/>
      <c r="O41" s="28"/>
      <c r="P41" s="28"/>
      <c r="Q41" s="35"/>
      <c r="R41" s="35"/>
      <c r="S41" s="29"/>
      <c r="T41" s="30"/>
      <c r="U41" s="30"/>
    </row>
    <row r="42" spans="1:21" x14ac:dyDescent="0.2">
      <c r="A42" s="1"/>
      <c r="B42" s="1"/>
      <c r="D42" s="1"/>
      <c r="E42" s="1"/>
      <c r="F42" s="1"/>
      <c r="G42" s="1"/>
      <c r="H42" s="1"/>
      <c r="I42" s="1"/>
      <c r="J42" s="1"/>
      <c r="M42" s="27"/>
      <c r="N42" s="27"/>
      <c r="O42" s="28"/>
      <c r="P42" s="28"/>
      <c r="Q42" s="35"/>
      <c r="R42" s="35"/>
      <c r="S42" s="29"/>
      <c r="T42" s="30"/>
      <c r="U42" s="30"/>
    </row>
    <row r="43" spans="1:21" x14ac:dyDescent="0.2">
      <c r="A43" s="1"/>
      <c r="B43" s="1"/>
      <c r="D43" s="1"/>
      <c r="E43" s="1"/>
      <c r="F43" s="1"/>
      <c r="G43" s="1"/>
      <c r="H43" s="1"/>
      <c r="I43" s="1"/>
      <c r="J43" s="1"/>
      <c r="M43" s="27"/>
      <c r="N43" s="27"/>
      <c r="O43" s="28"/>
      <c r="P43" s="28"/>
      <c r="Q43" s="35"/>
      <c r="R43" s="35"/>
      <c r="S43" s="29"/>
      <c r="T43" s="30"/>
      <c r="U43" s="30"/>
    </row>
    <row r="45" spans="1:21" x14ac:dyDescent="0.2">
      <c r="O45" s="9"/>
    </row>
  </sheetData>
  <sortState xmlns:xlrd2="http://schemas.microsoft.com/office/spreadsheetml/2017/richdata2" ref="A51:I92">
    <sortCondition ref="A50"/>
  </sortState>
  <phoneticPr fontId="3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E8"/>
  <sheetViews>
    <sheetView workbookViewId="0">
      <selection activeCell="B3" sqref="B3:E3"/>
    </sheetView>
  </sheetViews>
  <sheetFormatPr defaultColWidth="8.875" defaultRowHeight="12.75" x14ac:dyDescent="0.2"/>
  <sheetData>
    <row r="1" spans="1:5" ht="40.5" x14ac:dyDescent="0.2">
      <c r="B1" s="25" t="s">
        <v>58</v>
      </c>
      <c r="C1" s="25" t="s">
        <v>52</v>
      </c>
      <c r="D1" s="25" t="s">
        <v>60</v>
      </c>
      <c r="E1" s="25" t="s">
        <v>61</v>
      </c>
    </row>
    <row r="2" spans="1:5" x14ac:dyDescent="0.2">
      <c r="A2" t="s">
        <v>64</v>
      </c>
      <c r="B2">
        <v>-27.87</v>
      </c>
      <c r="C2">
        <v>5.15</v>
      </c>
      <c r="D2">
        <v>5.9</v>
      </c>
      <c r="E2">
        <v>0.48</v>
      </c>
    </row>
    <row r="3" spans="1:5" x14ac:dyDescent="0.2">
      <c r="A3" t="s">
        <v>65</v>
      </c>
      <c r="B3">
        <v>-26.54</v>
      </c>
      <c r="C3">
        <v>7.46</v>
      </c>
      <c r="D3">
        <v>1.04</v>
      </c>
      <c r="E3">
        <v>0.12</v>
      </c>
    </row>
    <row r="4" spans="1:5" x14ac:dyDescent="0.2">
      <c r="A4" t="s">
        <v>66</v>
      </c>
      <c r="B4">
        <v>-33.47</v>
      </c>
      <c r="C4">
        <v>3.36</v>
      </c>
      <c r="D4">
        <v>44.08</v>
      </c>
      <c r="E4">
        <v>1.26</v>
      </c>
    </row>
    <row r="5" spans="1:5" x14ac:dyDescent="0.2">
      <c r="A5" t="s">
        <v>67</v>
      </c>
      <c r="B5">
        <v>-26.98</v>
      </c>
      <c r="C5">
        <v>5.94</v>
      </c>
      <c r="D5">
        <v>47.02</v>
      </c>
      <c r="E5">
        <v>13.63</v>
      </c>
    </row>
    <row r="6" spans="1:5" x14ac:dyDescent="0.2">
      <c r="A6" t="s">
        <v>68</v>
      </c>
      <c r="B6">
        <v>-11.63</v>
      </c>
      <c r="C6">
        <v>11.92</v>
      </c>
    </row>
    <row r="7" spans="1:5" x14ac:dyDescent="0.2">
      <c r="A7" t="s">
        <v>69</v>
      </c>
      <c r="B7">
        <v>-19.16</v>
      </c>
      <c r="C7">
        <v>2.2000000000000002</v>
      </c>
      <c r="D7">
        <v>44.71</v>
      </c>
      <c r="E7">
        <v>6.79</v>
      </c>
    </row>
    <row r="8" spans="1:5" x14ac:dyDescent="0.2">
      <c r="A8" t="s">
        <v>70</v>
      </c>
      <c r="B8">
        <v>-26.39</v>
      </c>
      <c r="C8">
        <v>-4.5199999999999996</v>
      </c>
      <c r="D8">
        <v>40.82</v>
      </c>
      <c r="E8">
        <v>9.52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4777AB8D01FF42AD71C9EEABED53BF" ma:contentTypeVersion="11" ma:contentTypeDescription="Create a new document." ma:contentTypeScope="" ma:versionID="260db94839db89808a1aca92a2001300">
  <xsd:schema xmlns:xsd="http://www.w3.org/2001/XMLSchema" xmlns:xs="http://www.w3.org/2001/XMLSchema" xmlns:p="http://schemas.microsoft.com/office/2006/metadata/properties" xmlns:ns3="4ae2a31d-a5cc-48b7-a81a-0913e6d4fc31" xmlns:ns4="35afb980-bec7-4c38-8c8b-a66ecdefcaf4" targetNamespace="http://schemas.microsoft.com/office/2006/metadata/properties" ma:root="true" ma:fieldsID="0f4152dc8b5a55ffc28785dd141d5c10" ns3:_="" ns4:_="">
    <xsd:import namespace="4ae2a31d-a5cc-48b7-a81a-0913e6d4fc31"/>
    <xsd:import namespace="35afb980-bec7-4c38-8c8b-a66ecdefca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2a31d-a5cc-48b7-a81a-0913e6d4fc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fb980-bec7-4c38-8c8b-a66ecdefcaf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5B7EC3-C340-4A81-AB5F-6AB02BCCC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2a31d-a5cc-48b7-a81a-0913e6d4fc31"/>
    <ds:schemaRef ds:uri="35afb980-bec7-4c38-8c8b-a66ecdefca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8D19FB-9A10-47E3-936D-3694FC43C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02E111-F93E-457C-95B1-F911414ED923}">
  <ds:schemaRefs>
    <ds:schemaRef ds:uri="4ae2a31d-a5cc-48b7-a81a-0913e6d4fc31"/>
    <ds:schemaRef ds:uri="http://schemas.microsoft.com/office/2006/documentManagement/types"/>
    <ds:schemaRef ds:uri="http://www.w3.org/XML/1998/namespace"/>
    <ds:schemaRef ds:uri="35afb980-bec7-4c38-8c8b-a66ecdefcaf4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standards</vt:lpstr>
      <vt:lpstr>data reduction</vt:lpstr>
      <vt:lpstr>Standard values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2019-10-14T13:55:44Z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0x010100514777AB8D01FF42AD71C9EEABED53BF</vt:lpwstr>
  </property>
</Properties>
</file>