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ia Jose Rivera\OneDrive - James Cook University\Australia renamed\Sanamere\EA\Runs\"/>
    </mc:Choice>
  </mc:AlternateContent>
  <xr:revisionPtr revIDLastSave="2" documentId="8_{8638757A-81E3-4580-BE4C-D295FE43797F}" xr6:coauthVersionLast="43" xr6:coauthVersionMax="43" xr10:uidLastSave="{EFAA6280-A09B-4B11-864D-791578D4010D}"/>
  <bookViews>
    <workbookView xWindow="-120" yWindow="-120" windowWidth="20730" windowHeight="11160" tabRatio="500" activeTab="2" xr2:uid="{00000000-000D-0000-FFFF-FFFF00000000}"/>
  </bookViews>
  <sheets>
    <sheet name="raw" sheetId="3" r:id="rId1"/>
    <sheet name="standards" sheetId="1" r:id="rId2"/>
    <sheet name="data reduc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2" l="1"/>
  <c r="N44" i="2"/>
  <c r="T44" i="2"/>
  <c r="U44" i="2"/>
  <c r="M45" i="2"/>
  <c r="N45" i="2"/>
  <c r="T45" i="2"/>
  <c r="U45" i="2"/>
  <c r="M46" i="2"/>
  <c r="N46" i="2"/>
  <c r="T46" i="2"/>
  <c r="U46" i="2"/>
  <c r="M47" i="2"/>
  <c r="N47" i="2"/>
  <c r="T47" i="2"/>
  <c r="U47" i="2"/>
  <c r="M48" i="2"/>
  <c r="N48" i="2"/>
  <c r="T48" i="2"/>
  <c r="U48" i="2"/>
  <c r="M49" i="2"/>
  <c r="N49" i="2"/>
  <c r="T49" i="2"/>
  <c r="U49" i="2"/>
  <c r="M50" i="2"/>
  <c r="N50" i="2"/>
  <c r="T50" i="2"/>
  <c r="U50" i="2"/>
  <c r="M3" i="1" l="1"/>
  <c r="M4" i="1"/>
  <c r="M5" i="1"/>
  <c r="M6" i="1"/>
  <c r="H31" i="1" s="1"/>
  <c r="M7" i="1"/>
  <c r="M8" i="1"/>
  <c r="M12" i="1"/>
  <c r="M13" i="1"/>
  <c r="I32" i="1" s="1"/>
  <c r="M14" i="1"/>
  <c r="M18" i="1"/>
  <c r="M19" i="1"/>
  <c r="M20" i="1"/>
  <c r="L3" i="1"/>
  <c r="L4" i="1"/>
  <c r="L5" i="1"/>
  <c r="L6" i="1"/>
  <c r="L7" i="1"/>
  <c r="L8" i="1"/>
  <c r="L12" i="1"/>
  <c r="L13" i="1"/>
  <c r="L14" i="1"/>
  <c r="L18" i="1"/>
  <c r="T2" i="2"/>
  <c r="R3" i="1"/>
  <c r="S3" i="1"/>
  <c r="N31" i="1"/>
  <c r="E33" i="1"/>
  <c r="E32" i="1"/>
  <c r="E31" i="1"/>
  <c r="E27" i="1"/>
  <c r="E26" i="1"/>
  <c r="E25" i="1"/>
  <c r="N27" i="1"/>
  <c r="N25" i="1"/>
  <c r="N33" i="1"/>
  <c r="N32" i="1"/>
  <c r="N26" i="1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62" i="1"/>
  <c r="B62" i="1"/>
  <c r="C62" i="1"/>
  <c r="C55" i="1"/>
  <c r="C56" i="1"/>
  <c r="C57" i="1"/>
  <c r="C58" i="1"/>
  <c r="C59" i="1"/>
  <c r="C60" i="1"/>
  <c r="E60" i="1" s="1"/>
  <c r="C61" i="1"/>
  <c r="E62" i="1"/>
  <c r="B55" i="1"/>
  <c r="E55" i="1" s="1"/>
  <c r="B56" i="1"/>
  <c r="B57" i="1"/>
  <c r="B58" i="1"/>
  <c r="E58" i="1"/>
  <c r="B59" i="1"/>
  <c r="E59" i="1" s="1"/>
  <c r="B60" i="1"/>
  <c r="C40" i="1"/>
  <c r="C41" i="1"/>
  <c r="C42" i="1"/>
  <c r="C43" i="1"/>
  <c r="C44" i="1"/>
  <c r="C45" i="1"/>
  <c r="B40" i="1"/>
  <c r="E40" i="1" s="1"/>
  <c r="B41" i="1"/>
  <c r="B42" i="1"/>
  <c r="B43" i="1"/>
  <c r="B44" i="1"/>
  <c r="E44" i="1" s="1"/>
  <c r="B45" i="1"/>
  <c r="R4" i="1"/>
  <c r="R5" i="1"/>
  <c r="R6" i="1"/>
  <c r="R7" i="1"/>
  <c r="R8" i="1"/>
  <c r="R18" i="1"/>
  <c r="R19" i="1"/>
  <c r="R20" i="1"/>
  <c r="T43" i="2"/>
  <c r="N43" i="2"/>
  <c r="M43" i="2"/>
  <c r="T42" i="2"/>
  <c r="N42" i="2"/>
  <c r="M42" i="2"/>
  <c r="T41" i="2"/>
  <c r="N41" i="2"/>
  <c r="M41" i="2"/>
  <c r="T40" i="2"/>
  <c r="N40" i="2"/>
  <c r="M40" i="2"/>
  <c r="T39" i="2"/>
  <c r="N39" i="2"/>
  <c r="M39" i="2"/>
  <c r="T38" i="2"/>
  <c r="N38" i="2"/>
  <c r="M38" i="2"/>
  <c r="T37" i="2"/>
  <c r="N37" i="2"/>
  <c r="M37" i="2"/>
  <c r="T36" i="2"/>
  <c r="N36" i="2"/>
  <c r="M36" i="2"/>
  <c r="T35" i="2"/>
  <c r="N35" i="2"/>
  <c r="M35" i="2"/>
  <c r="T34" i="2"/>
  <c r="N34" i="2"/>
  <c r="M34" i="2"/>
  <c r="T33" i="2"/>
  <c r="N33" i="2"/>
  <c r="M33" i="2"/>
  <c r="T32" i="2"/>
  <c r="N32" i="2"/>
  <c r="M32" i="2"/>
  <c r="T31" i="2"/>
  <c r="N31" i="2"/>
  <c r="M31" i="2"/>
  <c r="T30" i="2"/>
  <c r="N30" i="2"/>
  <c r="M30" i="2"/>
  <c r="T29" i="2"/>
  <c r="N29" i="2"/>
  <c r="M29" i="2"/>
  <c r="T28" i="2"/>
  <c r="N28" i="2"/>
  <c r="M28" i="2"/>
  <c r="T27" i="2"/>
  <c r="N27" i="2"/>
  <c r="M27" i="2"/>
  <c r="T26" i="2"/>
  <c r="N26" i="2"/>
  <c r="M26" i="2"/>
  <c r="T25" i="2"/>
  <c r="N25" i="2"/>
  <c r="M25" i="2"/>
  <c r="T24" i="2"/>
  <c r="N24" i="2"/>
  <c r="M24" i="2"/>
  <c r="T23" i="2"/>
  <c r="N23" i="2"/>
  <c r="M23" i="2"/>
  <c r="T22" i="2"/>
  <c r="N22" i="2"/>
  <c r="M22" i="2"/>
  <c r="T21" i="2"/>
  <c r="N21" i="2"/>
  <c r="M21" i="2"/>
  <c r="T20" i="2"/>
  <c r="N20" i="2"/>
  <c r="M20" i="2"/>
  <c r="T19" i="2"/>
  <c r="N19" i="2"/>
  <c r="M19" i="2"/>
  <c r="T18" i="2"/>
  <c r="N18" i="2"/>
  <c r="M18" i="2"/>
  <c r="T17" i="2"/>
  <c r="N17" i="2"/>
  <c r="M17" i="2"/>
  <c r="T16" i="2"/>
  <c r="N16" i="2"/>
  <c r="M16" i="2"/>
  <c r="T15" i="2"/>
  <c r="N15" i="2"/>
  <c r="M15" i="2"/>
  <c r="T14" i="2"/>
  <c r="N14" i="2"/>
  <c r="M14" i="2"/>
  <c r="T13" i="2"/>
  <c r="N13" i="2"/>
  <c r="M13" i="2"/>
  <c r="T12" i="2"/>
  <c r="N12" i="2"/>
  <c r="M12" i="2"/>
  <c r="T11" i="2"/>
  <c r="N11" i="2"/>
  <c r="M11" i="2"/>
  <c r="T10" i="2"/>
  <c r="N10" i="2"/>
  <c r="M10" i="2"/>
  <c r="T9" i="2"/>
  <c r="N9" i="2"/>
  <c r="M9" i="2"/>
  <c r="T8" i="2"/>
  <c r="N8" i="2"/>
  <c r="M8" i="2"/>
  <c r="T7" i="2"/>
  <c r="N7" i="2"/>
  <c r="M7" i="2"/>
  <c r="T6" i="2"/>
  <c r="N6" i="2"/>
  <c r="M6" i="2"/>
  <c r="T5" i="2"/>
  <c r="N5" i="2"/>
  <c r="M5" i="2"/>
  <c r="T4" i="2"/>
  <c r="N4" i="2"/>
  <c r="M4" i="2"/>
  <c r="T3" i="2"/>
  <c r="N3" i="2"/>
  <c r="M3" i="2"/>
  <c r="N2" i="2"/>
  <c r="M2" i="2"/>
  <c r="S4" i="1"/>
  <c r="S5" i="1"/>
  <c r="S6" i="1"/>
  <c r="S7" i="1"/>
  <c r="S8" i="1"/>
  <c r="S18" i="1"/>
  <c r="B61" i="1"/>
  <c r="E61" i="1"/>
  <c r="A61" i="1"/>
  <c r="A60" i="1"/>
  <c r="A59" i="1"/>
  <c r="A58" i="1"/>
  <c r="A57" i="1"/>
  <c r="A56" i="1"/>
  <c r="A55" i="1"/>
  <c r="A45" i="1"/>
  <c r="A44" i="1"/>
  <c r="A43" i="1"/>
  <c r="A42" i="1"/>
  <c r="A41" i="1"/>
  <c r="A40" i="1"/>
  <c r="H33" i="1"/>
  <c r="G33" i="1"/>
  <c r="F33" i="1"/>
  <c r="G32" i="1"/>
  <c r="F32" i="1"/>
  <c r="G31" i="1"/>
  <c r="F31" i="1"/>
  <c r="G27" i="1"/>
  <c r="F27" i="1"/>
  <c r="G26" i="1"/>
  <c r="F26" i="1"/>
  <c r="G25" i="1"/>
  <c r="F25" i="1"/>
  <c r="H32" i="1" l="1"/>
  <c r="I33" i="1"/>
  <c r="E45" i="1"/>
  <c r="E41" i="1"/>
  <c r="E43" i="1"/>
  <c r="E57" i="1"/>
  <c r="I27" i="1"/>
  <c r="I26" i="1"/>
  <c r="H26" i="1"/>
  <c r="H25" i="1"/>
  <c r="H27" i="1"/>
  <c r="S27" i="1"/>
  <c r="S26" i="1"/>
  <c r="R27" i="1"/>
  <c r="C67" i="1"/>
  <c r="I31" i="1"/>
  <c r="R30" i="1"/>
  <c r="R31" i="1"/>
  <c r="S31" i="1"/>
  <c r="S30" i="1"/>
  <c r="C51" i="1"/>
  <c r="E42" i="1"/>
  <c r="E56" i="1"/>
  <c r="I25" i="1"/>
  <c r="R26" i="1"/>
  <c r="P14" i="2" l="1"/>
  <c r="P47" i="2"/>
  <c r="P46" i="2"/>
  <c r="P50" i="2"/>
  <c r="P45" i="2"/>
  <c r="P49" i="2"/>
  <c r="P44" i="2"/>
  <c r="P48" i="2"/>
  <c r="E51" i="1"/>
  <c r="Q44" i="2"/>
  <c r="Q48" i="2"/>
  <c r="Q47" i="2"/>
  <c r="Q46" i="2"/>
  <c r="Q50" i="2"/>
  <c r="Q45" i="2"/>
  <c r="Q49" i="2"/>
  <c r="O46" i="2"/>
  <c r="O50" i="2"/>
  <c r="O45" i="2"/>
  <c r="O49" i="2"/>
  <c r="O44" i="2"/>
  <c r="O48" i="2"/>
  <c r="O47" i="2"/>
  <c r="R45" i="2"/>
  <c r="S45" i="2" s="1"/>
  <c r="R46" i="2"/>
  <c r="S46" i="2" s="1"/>
  <c r="R47" i="2"/>
  <c r="R48" i="2"/>
  <c r="S48" i="2" s="1"/>
  <c r="R49" i="2"/>
  <c r="S49" i="2" s="1"/>
  <c r="R44" i="2"/>
  <c r="R50" i="2"/>
  <c r="S50" i="2" s="1"/>
  <c r="P33" i="2"/>
  <c r="W13" i="1"/>
  <c r="P36" i="2"/>
  <c r="P13" i="2"/>
  <c r="P26" i="2"/>
  <c r="P12" i="2"/>
  <c r="W20" i="1"/>
  <c r="W5" i="1"/>
  <c r="P21" i="2"/>
  <c r="P43" i="2"/>
  <c r="W3" i="1"/>
  <c r="P25" i="2"/>
  <c r="W14" i="1"/>
  <c r="P11" i="2"/>
  <c r="P35" i="2"/>
  <c r="P38" i="2"/>
  <c r="P5" i="2"/>
  <c r="P17" i="2"/>
  <c r="P27" i="2"/>
  <c r="P37" i="2"/>
  <c r="W4" i="1"/>
  <c r="W18" i="1"/>
  <c r="J33" i="1" s="1"/>
  <c r="P8" i="2"/>
  <c r="P6" i="2"/>
  <c r="P32" i="2"/>
  <c r="P30" i="2"/>
  <c r="P9" i="2"/>
  <c r="P19" i="2"/>
  <c r="P29" i="2"/>
  <c r="P41" i="2"/>
  <c r="P2" i="2"/>
  <c r="P42" i="2"/>
  <c r="P28" i="2"/>
  <c r="P40" i="2"/>
  <c r="W6" i="1"/>
  <c r="W12" i="1"/>
  <c r="P18" i="2"/>
  <c r="P10" i="2"/>
  <c r="P3" i="2"/>
  <c r="P16" i="2"/>
  <c r="P22" i="2"/>
  <c r="V7" i="1"/>
  <c r="W19" i="1"/>
  <c r="P7" i="2"/>
  <c r="P15" i="2"/>
  <c r="P23" i="2"/>
  <c r="P31" i="2"/>
  <c r="P39" i="2"/>
  <c r="W8" i="1"/>
  <c r="W7" i="1"/>
  <c r="P34" i="2"/>
  <c r="P20" i="2"/>
  <c r="P24" i="2"/>
  <c r="P4" i="2"/>
  <c r="F45" i="1"/>
  <c r="F41" i="1"/>
  <c r="F44" i="1"/>
  <c r="F40" i="1"/>
  <c r="F43" i="1"/>
  <c r="D44" i="1"/>
  <c r="D40" i="1"/>
  <c r="D41" i="1"/>
  <c r="D43" i="1"/>
  <c r="D45" i="1"/>
  <c r="U5" i="1"/>
  <c r="U12" i="1"/>
  <c r="U6" i="1"/>
  <c r="U13" i="1"/>
  <c r="U18" i="1"/>
  <c r="R2" i="2"/>
  <c r="U3" i="1"/>
  <c r="U7" i="1"/>
  <c r="U14" i="1"/>
  <c r="U19" i="1"/>
  <c r="R4" i="2"/>
  <c r="R5" i="2"/>
  <c r="R7" i="2"/>
  <c r="R9" i="2"/>
  <c r="R11" i="2"/>
  <c r="R13" i="2"/>
  <c r="R15" i="2"/>
  <c r="R17" i="2"/>
  <c r="R19" i="2"/>
  <c r="R21" i="2"/>
  <c r="R23" i="2"/>
  <c r="R25" i="2"/>
  <c r="R27" i="2"/>
  <c r="R29" i="2"/>
  <c r="R31" i="2"/>
  <c r="R33" i="2"/>
  <c r="R38" i="2"/>
  <c r="R41" i="2"/>
  <c r="R43" i="2"/>
  <c r="R6" i="2"/>
  <c r="R14" i="2"/>
  <c r="R22" i="2"/>
  <c r="R39" i="2"/>
  <c r="R10" i="2"/>
  <c r="R26" i="2"/>
  <c r="U4" i="1"/>
  <c r="U20" i="1"/>
  <c r="R3" i="2"/>
  <c r="R34" i="2"/>
  <c r="R37" i="2"/>
  <c r="R42" i="2"/>
  <c r="U8" i="1"/>
  <c r="R8" i="2"/>
  <c r="R12" i="2"/>
  <c r="R16" i="2"/>
  <c r="R20" i="2"/>
  <c r="R24" i="2"/>
  <c r="R28" i="2"/>
  <c r="R32" i="2"/>
  <c r="R35" i="2"/>
  <c r="R40" i="2"/>
  <c r="R18" i="2"/>
  <c r="R30" i="2"/>
  <c r="R36" i="2"/>
  <c r="O11" i="2"/>
  <c r="O19" i="2"/>
  <c r="O27" i="2"/>
  <c r="O35" i="2"/>
  <c r="O43" i="2"/>
  <c r="V3" i="1"/>
  <c r="O20" i="2"/>
  <c r="O28" i="2"/>
  <c r="O36" i="2"/>
  <c r="O2" i="2"/>
  <c r="V13" i="1"/>
  <c r="O5" i="2"/>
  <c r="O13" i="2"/>
  <c r="O21" i="2"/>
  <c r="O29" i="2"/>
  <c r="O37" i="2"/>
  <c r="V20" i="1"/>
  <c r="V19" i="1"/>
  <c r="O14" i="2"/>
  <c r="O22" i="2"/>
  <c r="O30" i="2"/>
  <c r="O38" i="2"/>
  <c r="V14" i="1"/>
  <c r="D62" i="1"/>
  <c r="D60" i="1"/>
  <c r="D56" i="1"/>
  <c r="D61" i="1"/>
  <c r="D57" i="1"/>
  <c r="D58" i="1"/>
  <c r="D59" i="1"/>
  <c r="D55" i="1"/>
  <c r="T20" i="1"/>
  <c r="T5" i="1"/>
  <c r="Q2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T12" i="1"/>
  <c r="T6" i="1"/>
  <c r="T13" i="1"/>
  <c r="T18" i="1"/>
  <c r="T3" i="1"/>
  <c r="T7" i="1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T19" i="1"/>
  <c r="T8" i="1"/>
  <c r="Q3" i="2"/>
  <c r="Q13" i="2"/>
  <c r="Q5" i="2"/>
  <c r="Q11" i="2"/>
  <c r="Q9" i="2"/>
  <c r="T14" i="1"/>
  <c r="T4" i="1"/>
  <c r="Q7" i="2"/>
  <c r="O10" i="2"/>
  <c r="O7" i="2"/>
  <c r="O15" i="2"/>
  <c r="O23" i="2"/>
  <c r="O31" i="2"/>
  <c r="O39" i="2"/>
  <c r="V8" i="1"/>
  <c r="O16" i="2"/>
  <c r="O24" i="2"/>
  <c r="O32" i="2"/>
  <c r="O40" i="2"/>
  <c r="O6" i="2"/>
  <c r="O4" i="2"/>
  <c r="V18" i="1"/>
  <c r="V6" i="1"/>
  <c r="O3" i="2"/>
  <c r="O8" i="2"/>
  <c r="O12" i="2"/>
  <c r="F42" i="1"/>
  <c r="E67" i="1"/>
  <c r="O9" i="2"/>
  <c r="O17" i="2"/>
  <c r="O25" i="2"/>
  <c r="O33" i="2"/>
  <c r="O41" i="2"/>
  <c r="V5" i="1"/>
  <c r="V4" i="1"/>
  <c r="O18" i="2"/>
  <c r="O26" i="2"/>
  <c r="O34" i="2"/>
  <c r="O42" i="2"/>
  <c r="V12" i="1"/>
  <c r="D42" i="1"/>
  <c r="J32" i="1" l="1"/>
  <c r="S47" i="2"/>
  <c r="S44" i="2"/>
  <c r="S20" i="2"/>
  <c r="S36" i="2"/>
  <c r="S35" i="2"/>
  <c r="S9" i="2"/>
  <c r="S3" i="2"/>
  <c r="S6" i="2"/>
  <c r="S2" i="2"/>
  <c r="J31" i="1"/>
  <c r="S7" i="2"/>
  <c r="K33" i="1"/>
  <c r="S43" i="2"/>
  <c r="S14" i="2"/>
  <c r="S30" i="2"/>
  <c r="S38" i="2"/>
  <c r="S42" i="2"/>
  <c r="S11" i="2"/>
  <c r="S8" i="2"/>
  <c r="S16" i="2"/>
  <c r="S24" i="2"/>
  <c r="S32" i="2"/>
  <c r="S40" i="2"/>
  <c r="S15" i="2"/>
  <c r="S23" i="2"/>
  <c r="S31" i="2"/>
  <c r="S39" i="2"/>
  <c r="S4" i="2"/>
  <c r="S19" i="2"/>
  <c r="S27" i="2"/>
  <c r="S5" i="2"/>
  <c r="S10" i="2"/>
  <c r="S18" i="2"/>
  <c r="S26" i="2"/>
  <c r="S34" i="2"/>
  <c r="S17" i="2"/>
  <c r="S25" i="2"/>
  <c r="S33" i="2"/>
  <c r="K26" i="1"/>
  <c r="J26" i="1"/>
  <c r="S13" i="2"/>
  <c r="S12" i="2"/>
  <c r="S28" i="2"/>
  <c r="S41" i="2"/>
  <c r="M31" i="1"/>
  <c r="L31" i="1"/>
  <c r="O31" i="1" s="1"/>
  <c r="F62" i="1"/>
  <c r="F61" i="1"/>
  <c r="F57" i="1"/>
  <c r="F58" i="1"/>
  <c r="F55" i="1"/>
  <c r="F59" i="1"/>
  <c r="F60" i="1"/>
  <c r="K32" i="1"/>
  <c r="J27" i="1"/>
  <c r="K27" i="1"/>
  <c r="F56" i="1"/>
  <c r="S22" i="2"/>
  <c r="L25" i="1"/>
  <c r="O25" i="1" s="1"/>
  <c r="M25" i="1"/>
  <c r="J25" i="1"/>
  <c r="K25" i="1"/>
  <c r="L27" i="1"/>
  <c r="O27" i="1" s="1"/>
  <c r="M27" i="1"/>
  <c r="L26" i="1"/>
  <c r="O26" i="1" s="1"/>
  <c r="M26" i="1"/>
  <c r="S21" i="2"/>
  <c r="S29" i="2"/>
  <c r="S37" i="2"/>
  <c r="K31" i="1"/>
  <c r="L33" i="1"/>
  <c r="O33" i="1" s="1"/>
  <c r="M33" i="1"/>
  <c r="M32" i="1"/>
  <c r="L32" i="1"/>
  <c r="O32" i="1" s="1"/>
</calcChain>
</file>

<file path=xl/sharedStrings.xml><?xml version="1.0" encoding="utf-8"?>
<sst xmlns="http://schemas.openxmlformats.org/spreadsheetml/2006/main" count="229" uniqueCount="101">
  <si>
    <t>Line</t>
  </si>
  <si>
    <t>Identifier 1</t>
  </si>
  <si>
    <t>Identifier 2</t>
  </si>
  <si>
    <t>Amount</t>
  </si>
  <si>
    <t>d 13C/12C</t>
  </si>
  <si>
    <t>Area 44</t>
  </si>
  <si>
    <t>Ampl  44</t>
  </si>
  <si>
    <t>d 15N/14N</t>
  </si>
  <si>
    <t>Area 28</t>
  </si>
  <si>
    <t>Ampl  28</t>
  </si>
  <si>
    <t>corr15N</t>
  </si>
  <si>
    <t>kc</t>
  </si>
  <si>
    <t>kn</t>
  </si>
  <si>
    <t>Carbon</t>
  </si>
  <si>
    <t>measured</t>
  </si>
  <si>
    <t>corr</t>
  </si>
  <si>
    <t>standard</t>
  </si>
  <si>
    <t>normalized</t>
  </si>
  <si>
    <t>13C</t>
  </si>
  <si>
    <t>avg</t>
  </si>
  <si>
    <t>N</t>
  </si>
  <si>
    <t>intercept</t>
  </si>
  <si>
    <t>slope</t>
  </si>
  <si>
    <t>15N</t>
  </si>
  <si>
    <t>Nitrogen</t>
  </si>
  <si>
    <t>meas15N</t>
  </si>
  <si>
    <t>%C</t>
  </si>
  <si>
    <t>%N</t>
  </si>
  <si>
    <t>C:N</t>
  </si>
  <si>
    <t>TMc</t>
  </si>
  <si>
    <t>TMn</t>
  </si>
  <si>
    <t>Desired Ampl</t>
  </si>
  <si>
    <t>C Ampl 44</t>
  </si>
  <si>
    <t>Dilution used</t>
  </si>
  <si>
    <t>Lin</t>
    <phoneticPr fontId="3" type="noConversion"/>
  </si>
  <si>
    <t>Drift</t>
    <phoneticPr fontId="3" type="noConversion"/>
  </si>
  <si>
    <t>Nitrogen</t>
    <phoneticPr fontId="3" type="noConversion"/>
  </si>
  <si>
    <t>Carbon</t>
    <phoneticPr fontId="3" type="noConversion"/>
  </si>
  <si>
    <t>%N</t>
    <phoneticPr fontId="3" type="noConversion"/>
  </si>
  <si>
    <t>%C</t>
    <phoneticPr fontId="3" type="noConversion"/>
  </si>
  <si>
    <t>uncorrected</t>
    <phoneticPr fontId="3" type="noConversion"/>
  </si>
  <si>
    <t>CorrL</t>
    <phoneticPr fontId="3" type="noConversion"/>
  </si>
  <si>
    <t>Ampl44</t>
    <phoneticPr fontId="3" type="noConversion"/>
  </si>
  <si>
    <t>CorrL</t>
    <phoneticPr fontId="3" type="noConversion"/>
  </si>
  <si>
    <t>X3</t>
    <phoneticPr fontId="3" type="noConversion"/>
  </si>
  <si>
    <t>X2</t>
    <phoneticPr fontId="3" type="noConversion"/>
  </si>
  <si>
    <t>X</t>
    <phoneticPr fontId="3" type="noConversion"/>
  </si>
  <si>
    <t>I</t>
    <phoneticPr fontId="3" type="noConversion"/>
  </si>
  <si>
    <t>X3</t>
    <phoneticPr fontId="3" type="noConversion"/>
  </si>
  <si>
    <t>accepted</t>
  </si>
  <si>
    <t>±5%</t>
  </si>
  <si>
    <r>
      <t>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</si>
  <si>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r>
      <t>δ</t>
    </r>
    <r>
      <rPr>
        <vertAlign val="superscript"/>
        <sz val="10"/>
        <rFont val="Verdana"/>
      </rPr>
      <t>15</t>
    </r>
    <r>
      <rPr>
        <sz val="10"/>
        <rFont val="Verdana"/>
      </rPr>
      <t>Ν (‰ΑΙR)</t>
    </r>
  </si>
  <si>
    <t>δ13Ccor</t>
  </si>
  <si>
    <t>1σ</t>
  </si>
  <si>
    <t>C</t>
  </si>
  <si>
    <t>isotopes</t>
  </si>
  <si>
    <t>abundances</t>
  </si>
  <si>
    <r>
      <t xml:space="preserve"> 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</si>
  <si>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t>Accepted</t>
  </si>
  <si>
    <t xml:space="preserve"> %C</t>
  </si>
  <si>
    <t xml:space="preserve"> %N</t>
  </si>
  <si>
    <t>Measured</t>
  </si>
  <si>
    <t>Row</t>
  </si>
  <si>
    <t>Flush</t>
  </si>
  <si>
    <t>Taipan</t>
  </si>
  <si>
    <t>LOC</t>
  </si>
  <si>
    <t>HOC</t>
  </si>
  <si>
    <t>73</t>
  </si>
  <si>
    <t>131</t>
  </si>
  <si>
    <t>25</t>
  </si>
  <si>
    <t>53</t>
  </si>
  <si>
    <t>66</t>
  </si>
  <si>
    <t>67</t>
  </si>
  <si>
    <t>130</t>
  </si>
  <si>
    <t>133</t>
  </si>
  <si>
    <t>135</t>
  </si>
  <si>
    <t>136</t>
  </si>
  <si>
    <t>142</t>
  </si>
  <si>
    <t>153</t>
  </si>
  <si>
    <t>154</t>
  </si>
  <si>
    <t>159</t>
  </si>
  <si>
    <t>179</t>
  </si>
  <si>
    <t>180</t>
  </si>
  <si>
    <t>182</t>
  </si>
  <si>
    <t>184</t>
  </si>
  <si>
    <t>197</t>
  </si>
  <si>
    <t>108</t>
  </si>
  <si>
    <t>86</t>
  </si>
  <si>
    <t>72</t>
  </si>
  <si>
    <t>192</t>
  </si>
  <si>
    <t>176</t>
  </si>
  <si>
    <t>132</t>
  </si>
  <si>
    <t>91</t>
  </si>
  <si>
    <t>81</t>
  </si>
  <si>
    <t>106</t>
  </si>
  <si>
    <t>178</t>
  </si>
  <si>
    <t>183</t>
  </si>
  <si>
    <t>83</t>
  </si>
  <si>
    <t>76</t>
  </si>
  <si>
    <t>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</si>
</sst>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2"/>
      <name val="Verdana"/>
    </font>
    <font>
      <b/>
      <sz val="10"/>
      <color indexed="12"/>
      <name val="Verdana"/>
    </font>
    <font>
      <b/>
      <sz val="10"/>
      <color indexed="10"/>
      <name val="Verdana"/>
    </font>
    <font>
      <b/>
      <sz val="10"/>
      <color indexed="61"/>
      <name val="Verdana"/>
    </font>
    <font>
      <sz val="10"/>
      <color indexed="61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vertAlign val="superscript"/>
      <sz val="10"/>
      <name val="Verdana"/>
    </font>
    <font>
      <sz val="10"/>
      <color theme="3" tint="-0.249977111117893"/>
      <name val="Verdana"/>
    </font>
    <font>
      <b/>
      <sz val="10"/>
      <color theme="3" tint="-0.249977111117893"/>
      <name val="Verdana"/>
    </font>
    <font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quotePrefix="1" applyNumberFormat="1"/>
    <xf numFmtId="2" fontId="4" fillId="0" borderId="0" xfId="0" applyNumberFormat="1" applyFont="1"/>
    <xf numFmtId="0" fontId="2" fillId="0" borderId="0" xfId="0" applyFont="1"/>
    <xf numFmtId="0" fontId="4" fillId="0" borderId="0" xfId="0" applyFont="1"/>
    <xf numFmtId="2" fontId="5" fillId="0" borderId="0" xfId="0" applyNumberFormat="1" applyFont="1"/>
    <xf numFmtId="0" fontId="1" fillId="0" borderId="0" xfId="0" applyFont="1"/>
    <xf numFmtId="0" fontId="6" fillId="0" borderId="0" xfId="0" applyFont="1"/>
    <xf numFmtId="0" fontId="4" fillId="0" borderId="0" xfId="0" quotePrefix="1" applyNumberFormat="1" applyFont="1"/>
    <xf numFmtId="164" fontId="0" fillId="0" borderId="0" xfId="0" applyNumberFormat="1"/>
    <xf numFmtId="0" fontId="1" fillId="0" borderId="0" xfId="0" applyNumberFormat="1" applyFon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7" fillId="0" borderId="0" xfId="0" applyFont="1"/>
    <xf numFmtId="11" fontId="8" fillId="0" borderId="0" xfId="0" applyNumberFormat="1" applyFont="1"/>
    <xf numFmtId="0" fontId="8" fillId="0" borderId="0" xfId="0" applyFont="1"/>
    <xf numFmtId="165" fontId="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0" xfId="0" quotePrefix="1" applyNumberFormat="1" applyFont="1"/>
    <xf numFmtId="2" fontId="12" fillId="0" borderId="0" xfId="0" applyNumberFormat="1" applyFont="1"/>
    <xf numFmtId="164" fontId="12" fillId="0" borderId="0" xfId="0" applyNumberFormat="1" applyFont="1" applyAlignment="1">
      <alignment horizontal="center"/>
    </xf>
    <xf numFmtId="0" fontId="12" fillId="0" borderId="0" xfId="0" applyFont="1"/>
    <xf numFmtId="2" fontId="13" fillId="0" borderId="0" xfId="0" applyNumberFormat="1" applyFont="1"/>
    <xf numFmtId="2" fontId="1" fillId="0" borderId="0" xfId="0" applyNumberFormat="1" applyFont="1"/>
    <xf numFmtId="0" fontId="14" fillId="0" borderId="0" xfId="0" quotePrefix="1" applyNumberFormat="1" applyFont="1"/>
    <xf numFmtId="0" fontId="0" fillId="0" borderId="0" xfId="0" applyAlignment="1">
      <alignment horizontal="center"/>
    </xf>
    <xf numFmtId="165" fontId="12" fillId="0" borderId="0" xfId="0" applyNumberFormat="1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6179194561"/>
          <c:y val="6.9148936170212796E-2"/>
          <c:w val="0.74545908633667501"/>
          <c:h val="0.781914893617021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79779751730322"/>
                  <c:y val="-5.9602122826496622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standards!$B$41:$B$44</c:f>
              <c:numCache>
                <c:formatCode>General</c:formatCode>
                <c:ptCount val="4"/>
                <c:pt idx="0">
                  <c:v>3307</c:v>
                </c:pt>
                <c:pt idx="1">
                  <c:v>6557</c:v>
                </c:pt>
                <c:pt idx="2">
                  <c:v>15484</c:v>
                </c:pt>
                <c:pt idx="3">
                  <c:v>24727</c:v>
                </c:pt>
              </c:numCache>
            </c:numRef>
          </c:xVal>
          <c:yVal>
            <c:numRef>
              <c:f>standards!$D$41:$D$44</c:f>
              <c:numCache>
                <c:formatCode>0.00</c:formatCode>
                <c:ptCount val="4"/>
                <c:pt idx="0">
                  <c:v>0.28983333333333405</c:v>
                </c:pt>
                <c:pt idx="1">
                  <c:v>0.17383333333333439</c:v>
                </c:pt>
                <c:pt idx="2">
                  <c:v>0.16183333333333394</c:v>
                </c:pt>
                <c:pt idx="3">
                  <c:v>-0.50316666666666521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D-4E48-B5C7-7DCC6541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26024"/>
        <c:axId val="423921712"/>
      </c:scatterChart>
      <c:valAx>
        <c:axId val="42392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3921712"/>
        <c:crossesAt val="-50000"/>
        <c:crossBetween val="midCat"/>
      </c:valAx>
      <c:valAx>
        <c:axId val="4239217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23926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1834258422599"/>
          <c:y val="6.9149032152231005E-2"/>
          <c:w val="0.75796661417322797"/>
          <c:h val="0.792553191489361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311818240868379"/>
                  <c:y val="7.587497777917202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standards!$A$40:$A$47</c:f>
              <c:numCache>
                <c:formatCode>0.00</c:formatCode>
                <c:ptCount val="8"/>
                <c:pt idx="0">
                  <c:v>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49</c:v>
                </c:pt>
              </c:numCache>
            </c:numRef>
          </c:xVal>
          <c:yVal>
            <c:numRef>
              <c:f>standards!$F$40:$F$47</c:f>
              <c:numCache>
                <c:formatCode>0.00</c:formatCode>
                <c:ptCount val="8"/>
                <c:pt idx="0">
                  <c:v>0.13401885151933612</c:v>
                </c:pt>
                <c:pt idx="1">
                  <c:v>0.17204165055533593</c:v>
                </c:pt>
                <c:pt idx="2">
                  <c:v>1.3012326555333686E-2</c:v>
                </c:pt>
                <c:pt idx="3">
                  <c:v>0.16240759455933329</c:v>
                </c:pt>
                <c:pt idx="4">
                  <c:v>9.647130671533688E-2</c:v>
                </c:pt>
                <c:pt idx="5">
                  <c:v>-0.57795172990466881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9-4BA2-B72F-87B44758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24456"/>
        <c:axId val="423928768"/>
      </c:scatterChart>
      <c:valAx>
        <c:axId val="423924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3928768"/>
        <c:crossesAt val="-50000"/>
        <c:crossBetween val="midCat"/>
      </c:valAx>
      <c:valAx>
        <c:axId val="4239287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23924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94750656167999"/>
          <c:y val="6.5420560747663503E-2"/>
          <c:w val="0.75341353164187796"/>
          <c:h val="0.831775700934578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47294254884806"/>
                  <c:y val="-0.392856354404298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standards!$B$57:$B$60</c:f>
              <c:numCache>
                <c:formatCode>0.00</c:formatCode>
                <c:ptCount val="4"/>
                <c:pt idx="0">
                  <c:v>313</c:v>
                </c:pt>
                <c:pt idx="1">
                  <c:v>767</c:v>
                </c:pt>
                <c:pt idx="2">
                  <c:v>1273</c:v>
                </c:pt>
                <c:pt idx="3">
                  <c:v>393</c:v>
                </c:pt>
              </c:numCache>
            </c:numRef>
          </c:xVal>
          <c:yVal>
            <c:numRef>
              <c:f>standards!$D$57:$D$60</c:f>
              <c:numCache>
                <c:formatCode>0.00</c:formatCode>
                <c:ptCount val="4"/>
                <c:pt idx="0">
                  <c:v>0.89212500000000006</c:v>
                </c:pt>
                <c:pt idx="1">
                  <c:v>1.4301250000000003</c:v>
                </c:pt>
                <c:pt idx="2">
                  <c:v>1.8251249999999999</c:v>
                </c:pt>
                <c:pt idx="3">
                  <c:v>0.58312499999999989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5-43EA-B2E5-DDB6C991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25240"/>
        <c:axId val="423926416"/>
      </c:scatterChart>
      <c:valAx>
        <c:axId val="4239252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3926416"/>
        <c:crossesAt val="-50000"/>
        <c:crossBetween val="midCat"/>
      </c:valAx>
      <c:valAx>
        <c:axId val="4239264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23925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6486381825201"/>
          <c:y val="0.10106382978723399"/>
          <c:w val="0.74791661288240596"/>
          <c:h val="0.776595744680851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89337573906465"/>
                  <c:y val="0.180851063829787"/>
                </c:manualLayout>
              </c:layout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standards!$A$55:$A$62</c:f>
              <c:numCache>
                <c:formatCode>0.00</c:formatCode>
                <c:ptCount val="8"/>
                <c:pt idx="0">
                  <c:v>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standards!$F$55:$F$62</c:f>
              <c:numCache>
                <c:formatCode>0.00</c:formatCode>
                <c:ptCount val="8"/>
                <c:pt idx="0">
                  <c:v>-0.11650000000000027</c:v>
                </c:pt>
                <c:pt idx="1">
                  <c:v>-0.99150000000000027</c:v>
                </c:pt>
                <c:pt idx="2">
                  <c:v>-1.3500000000000068E-2</c:v>
                </c:pt>
                <c:pt idx="3">
                  <c:v>0.52450000000000019</c:v>
                </c:pt>
                <c:pt idx="4">
                  <c:v>0.91949999999999976</c:v>
                </c:pt>
                <c:pt idx="5">
                  <c:v>-0.32250000000000023</c:v>
                </c:pt>
                <c:pt idx="6">
                  <c:v>-3.6225000000000001</c:v>
                </c:pt>
                <c:pt idx="7">
                  <c:v>-3.6225000000000001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051-9959-3D75E096A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27592"/>
        <c:axId val="423927984"/>
      </c:scatterChart>
      <c:valAx>
        <c:axId val="423927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3927984"/>
        <c:crossesAt val="-50000"/>
        <c:crossBetween val="midCat"/>
      </c:valAx>
      <c:valAx>
        <c:axId val="4239279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23927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standards!$L$3:$L$20</c:f>
              <c:numCache>
                <c:formatCode>0.00</c:formatCode>
                <c:ptCount val="18"/>
                <c:pt idx="0">
                  <c:v>-31.990378036608</c:v>
                </c:pt>
                <c:pt idx="1">
                  <c:v>-31.635555237571999</c:v>
                </c:pt>
                <c:pt idx="2">
                  <c:v>-31.776984561572</c:v>
                </c:pt>
                <c:pt idx="3">
                  <c:v>-31.609989293567999</c:v>
                </c:pt>
                <c:pt idx="4">
                  <c:v>-31.658325581411997</c:v>
                </c:pt>
                <c:pt idx="5">
                  <c:v>-31.963148618032001</c:v>
                </c:pt>
                <c:pt idx="9">
                  <c:v>-15.325958996608</c:v>
                </c:pt>
                <c:pt idx="10">
                  <c:v>-15.704317120128</c:v>
                </c:pt>
                <c:pt idx="11">
                  <c:v>-15.836015620352001</c:v>
                </c:pt>
                <c:pt idx="15">
                  <c:v>-29.938108128547999</c:v>
                </c:pt>
              </c:numCache>
            </c:numRef>
          </c:xVal>
          <c:yVal>
            <c:numRef>
              <c:f>standards!$N$3:$N$20</c:f>
              <c:numCache>
                <c:formatCode>General</c:formatCode>
                <c:ptCount val="18"/>
                <c:pt idx="0">
                  <c:v>-27.87</c:v>
                </c:pt>
                <c:pt idx="1">
                  <c:v>-27.87</c:v>
                </c:pt>
                <c:pt idx="2">
                  <c:v>-27.87</c:v>
                </c:pt>
                <c:pt idx="3">
                  <c:v>-27.87</c:v>
                </c:pt>
                <c:pt idx="4">
                  <c:v>-27.87</c:v>
                </c:pt>
                <c:pt idx="5">
                  <c:v>-27.87</c:v>
                </c:pt>
                <c:pt idx="9">
                  <c:v>-11.65</c:v>
                </c:pt>
                <c:pt idx="10">
                  <c:v>-11.65</c:v>
                </c:pt>
                <c:pt idx="11">
                  <c:v>-11.65</c:v>
                </c:pt>
                <c:pt idx="15">
                  <c:v>-26.54</c:v>
                </c:pt>
                <c:pt idx="16">
                  <c:v>-26.54</c:v>
                </c:pt>
                <c:pt idx="17">
                  <c:v>-26.54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B-4137-A6E9-F263B9895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7584"/>
        <c:axId val="424122488"/>
      </c:scatterChart>
      <c:scatterChart>
        <c:scatterStyle val="lineMarker"/>
        <c:varyColors val="0"/>
        <c:ser>
          <c:idx val="0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standards!$M$3:$M$20</c:f>
              <c:numCache>
                <c:formatCode>0.00</c:formatCode>
                <c:ptCount val="18"/>
                <c:pt idx="0">
                  <c:v>3.5059999999999998</c:v>
                </c:pt>
                <c:pt idx="1">
                  <c:v>2.6309999999999998</c:v>
                </c:pt>
                <c:pt idx="2">
                  <c:v>3.609</c:v>
                </c:pt>
                <c:pt idx="3">
                  <c:v>4.1470000000000002</c:v>
                </c:pt>
                <c:pt idx="4">
                  <c:v>4.5419999999999998</c:v>
                </c:pt>
                <c:pt idx="5">
                  <c:v>3.3</c:v>
                </c:pt>
                <c:pt idx="9">
                  <c:v>11.478999999999999</c:v>
                </c:pt>
                <c:pt idx="10">
                  <c:v>11.185</c:v>
                </c:pt>
                <c:pt idx="11">
                  <c:v>11.055</c:v>
                </c:pt>
                <c:pt idx="15">
                  <c:v>6.3319999999999999</c:v>
                </c:pt>
                <c:pt idx="16">
                  <c:v>2.883</c:v>
                </c:pt>
                <c:pt idx="17">
                  <c:v>0</c:v>
                </c:pt>
              </c:numCache>
            </c:numRef>
          </c:xVal>
          <c:yVal>
            <c:numRef>
              <c:f>standards!$O$3:$O$20</c:f>
              <c:numCache>
                <c:formatCode>General</c:formatCode>
                <c:ptCount val="18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  <c:pt idx="3">
                  <c:v>5.15</c:v>
                </c:pt>
                <c:pt idx="4">
                  <c:v>5.15</c:v>
                </c:pt>
                <c:pt idx="5">
                  <c:v>5.15</c:v>
                </c:pt>
                <c:pt idx="9">
                  <c:v>11.79</c:v>
                </c:pt>
                <c:pt idx="10">
                  <c:v>11.79</c:v>
                </c:pt>
                <c:pt idx="11">
                  <c:v>11.79</c:v>
                </c:pt>
                <c:pt idx="15">
                  <c:v>7.46</c:v>
                </c:pt>
                <c:pt idx="16">
                  <c:v>7.46</c:v>
                </c:pt>
                <c:pt idx="17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B-4137-A6E9-F263B9895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4840"/>
        <c:axId val="424123272"/>
      </c:scatterChart>
      <c:valAx>
        <c:axId val="4241275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2488"/>
        <c:crosses val="autoZero"/>
        <c:crossBetween val="midCat"/>
      </c:valAx>
      <c:valAx>
        <c:axId val="4241224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7584"/>
        <c:crosses val="max"/>
        <c:crossBetween val="midCat"/>
      </c:valAx>
      <c:valAx>
        <c:axId val="424123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4840"/>
        <c:crosses val="max"/>
        <c:crossBetween val="midCat"/>
      </c:valAx>
      <c:valAx>
        <c:axId val="4241248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2412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36</xdr:row>
      <xdr:rowOff>114300</xdr:rowOff>
    </xdr:from>
    <xdr:to>
      <xdr:col>11</xdr:col>
      <xdr:colOff>127000</xdr:colOff>
      <xdr:row>51</xdr:row>
      <xdr:rowOff>139700</xdr:rowOff>
    </xdr:to>
    <xdr:graphicFrame macro="">
      <xdr:nvGraphicFramePr>
        <xdr:cNvPr id="2057" name="Chart 2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36</xdr:row>
      <xdr:rowOff>152400</xdr:rowOff>
    </xdr:from>
    <xdr:to>
      <xdr:col>15</xdr:col>
      <xdr:colOff>177800</xdr:colOff>
      <xdr:row>51</xdr:row>
      <xdr:rowOff>114300</xdr:rowOff>
    </xdr:to>
    <xdr:graphicFrame macro="">
      <xdr:nvGraphicFramePr>
        <xdr:cNvPr id="2058" name="Chart 3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52</xdr:row>
      <xdr:rowOff>50800</xdr:rowOff>
    </xdr:from>
    <xdr:to>
      <xdr:col>11</xdr:col>
      <xdr:colOff>127000</xdr:colOff>
      <xdr:row>68</xdr:row>
      <xdr:rowOff>139700</xdr:rowOff>
    </xdr:to>
    <xdr:graphicFrame macro="">
      <xdr:nvGraphicFramePr>
        <xdr:cNvPr id="2059" name="Chart 4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52</xdr:row>
      <xdr:rowOff>25400</xdr:rowOff>
    </xdr:from>
    <xdr:to>
      <xdr:col>15</xdr:col>
      <xdr:colOff>228600</xdr:colOff>
      <xdr:row>68</xdr:row>
      <xdr:rowOff>76200</xdr:rowOff>
    </xdr:to>
    <xdr:graphicFrame macro="">
      <xdr:nvGraphicFramePr>
        <xdr:cNvPr id="2060" name="Chart 5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88900</xdr:colOff>
      <xdr:row>33</xdr:row>
      <xdr:rowOff>114300</xdr:rowOff>
    </xdr:from>
    <xdr:to>
      <xdr:col>21</xdr:col>
      <xdr:colOff>609600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L83"/>
  <sheetViews>
    <sheetView workbookViewId="0">
      <selection activeCell="A2" sqref="A2:J49"/>
    </sheetView>
  </sheetViews>
  <sheetFormatPr defaultColWidth="11" defaultRowHeight="12.75" x14ac:dyDescent="0.2"/>
  <sheetData>
    <row r="1" spans="1:12" x14ac:dyDescent="0.2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</row>
    <row r="2" spans="1:12" x14ac:dyDescent="0.2">
      <c r="A2" s="1">
        <v>1</v>
      </c>
      <c r="B2" s="1" t="s">
        <v>64</v>
      </c>
      <c r="D2" s="1"/>
      <c r="E2" s="1">
        <v>-13.911</v>
      </c>
      <c r="F2" s="1">
        <v>371.89100000000002</v>
      </c>
      <c r="G2" s="1">
        <v>10846</v>
      </c>
      <c r="H2" s="1">
        <v>11.435</v>
      </c>
      <c r="I2" s="1">
        <v>56.173000000000002</v>
      </c>
      <c r="J2" s="1">
        <v>2317</v>
      </c>
      <c r="L2" s="1"/>
    </row>
    <row r="3" spans="1:12" x14ac:dyDescent="0.2">
      <c r="A3" s="1">
        <v>3</v>
      </c>
      <c r="B3" s="1" t="s">
        <v>64</v>
      </c>
      <c r="D3" s="1"/>
      <c r="E3" s="1">
        <v>-14.824999999999999</v>
      </c>
      <c r="F3" s="1">
        <v>574.649</v>
      </c>
      <c r="G3" s="1">
        <v>16751</v>
      </c>
      <c r="H3" s="1">
        <v>11.55</v>
      </c>
      <c r="I3" s="1">
        <v>85.662000000000006</v>
      </c>
      <c r="J3" s="1">
        <v>3591</v>
      </c>
      <c r="L3" s="1"/>
    </row>
    <row r="4" spans="1:12" x14ac:dyDescent="0.2">
      <c r="A4" s="1">
        <v>4</v>
      </c>
      <c r="B4" s="1" t="s">
        <v>64</v>
      </c>
      <c r="D4" s="1"/>
      <c r="E4" s="1">
        <v>-15.853</v>
      </c>
      <c r="F4" s="1">
        <v>894.70899999999995</v>
      </c>
      <c r="G4" s="1">
        <v>26016</v>
      </c>
      <c r="H4" s="1">
        <v>11.787000000000001</v>
      </c>
      <c r="I4" s="1">
        <v>135.239</v>
      </c>
      <c r="J4" s="1">
        <v>5709</v>
      </c>
      <c r="L4" s="1"/>
    </row>
    <row r="5" spans="1:12" x14ac:dyDescent="0.2">
      <c r="A5" s="1">
        <v>5</v>
      </c>
      <c r="B5" s="1" t="s">
        <v>65</v>
      </c>
      <c r="D5" s="1">
        <v>0.24199999999999999</v>
      </c>
      <c r="E5" s="1">
        <v>-15.311</v>
      </c>
      <c r="F5" s="1">
        <v>394.435</v>
      </c>
      <c r="G5" s="1">
        <v>11544</v>
      </c>
      <c r="H5" s="1">
        <v>11.478999999999999</v>
      </c>
      <c r="I5" s="1">
        <v>58.901000000000003</v>
      </c>
      <c r="J5" s="1">
        <v>2460</v>
      </c>
      <c r="L5" s="1"/>
    </row>
    <row r="6" spans="1:12" x14ac:dyDescent="0.2">
      <c r="A6" s="1">
        <v>6</v>
      </c>
      <c r="B6" s="1" t="s">
        <v>66</v>
      </c>
      <c r="D6" s="1">
        <v>7.3639999999999999</v>
      </c>
      <c r="E6" s="1">
        <v>-29.901</v>
      </c>
      <c r="F6" s="1">
        <v>292.40899999999999</v>
      </c>
      <c r="G6" s="1">
        <v>8429</v>
      </c>
      <c r="H6" s="1">
        <v>6.3319999999999999</v>
      </c>
      <c r="I6" s="1">
        <v>12.404999999999999</v>
      </c>
      <c r="J6" s="1">
        <v>489</v>
      </c>
      <c r="L6" s="1"/>
    </row>
    <row r="7" spans="1:12" x14ac:dyDescent="0.2">
      <c r="A7" s="1">
        <v>7</v>
      </c>
      <c r="B7" s="1" t="s">
        <v>67</v>
      </c>
      <c r="D7" s="1">
        <v>1.3360000000000001</v>
      </c>
      <c r="E7" s="1">
        <v>-31.971</v>
      </c>
      <c r="F7" s="1">
        <v>295.33800000000002</v>
      </c>
      <c r="G7" s="1">
        <v>8456</v>
      </c>
      <c r="H7" s="1">
        <v>3.5059999999999998</v>
      </c>
      <c r="I7" s="1">
        <v>10.412000000000001</v>
      </c>
      <c r="J7" s="1">
        <v>405</v>
      </c>
      <c r="L7" s="1"/>
    </row>
    <row r="8" spans="1:12" x14ac:dyDescent="0.2">
      <c r="A8" s="1">
        <v>8</v>
      </c>
      <c r="B8" s="1" t="s">
        <v>68</v>
      </c>
      <c r="D8" s="1">
        <v>2.5659999999999998</v>
      </c>
      <c r="E8" s="1">
        <v>-31.559000000000001</v>
      </c>
      <c r="F8" s="1">
        <v>290.85199999999998</v>
      </c>
      <c r="G8" s="1">
        <v>8357</v>
      </c>
      <c r="H8">
        <v>0.57499999999999996</v>
      </c>
      <c r="I8">
        <v>8.7159999999999993</v>
      </c>
      <c r="J8">
        <v>332</v>
      </c>
      <c r="L8" s="1"/>
    </row>
    <row r="9" spans="1:12" x14ac:dyDescent="0.2">
      <c r="A9" s="1">
        <v>9</v>
      </c>
      <c r="B9" s="1" t="s">
        <v>69</v>
      </c>
      <c r="D9" s="1">
        <v>9.8879999999999999</v>
      </c>
      <c r="E9" s="1">
        <v>-29.274000000000001</v>
      </c>
      <c r="F9" s="1">
        <v>267.44499999999999</v>
      </c>
      <c r="G9" s="1">
        <v>7540</v>
      </c>
      <c r="H9" s="1">
        <v>2.7309999999999999</v>
      </c>
      <c r="I9" s="1">
        <v>19.68</v>
      </c>
      <c r="J9" s="1">
        <v>749</v>
      </c>
      <c r="L9" s="1"/>
    </row>
    <row r="10" spans="1:12" x14ac:dyDescent="0.2">
      <c r="A10" s="1">
        <v>10</v>
      </c>
      <c r="B10" s="1" t="s">
        <v>70</v>
      </c>
      <c r="D10" s="1">
        <v>0.82099999999999995</v>
      </c>
      <c r="E10" s="1">
        <v>-27.532</v>
      </c>
      <c r="F10" s="1">
        <v>517.64499999999998</v>
      </c>
      <c r="G10" s="1">
        <v>15143</v>
      </c>
      <c r="H10" s="1">
        <v>0.112</v>
      </c>
      <c r="I10" s="1">
        <v>18.030999999999999</v>
      </c>
      <c r="J10" s="1">
        <v>734</v>
      </c>
      <c r="L10" s="1"/>
    </row>
    <row r="11" spans="1:12" x14ac:dyDescent="0.2">
      <c r="A11" s="1">
        <v>11</v>
      </c>
      <c r="B11" s="1" t="s">
        <v>71</v>
      </c>
      <c r="D11" s="1">
        <v>0.35299999999999998</v>
      </c>
      <c r="E11" s="1">
        <v>-31.196000000000002</v>
      </c>
      <c r="F11" s="1">
        <v>196.363</v>
      </c>
      <c r="G11" s="1">
        <v>5761</v>
      </c>
      <c r="H11" s="1">
        <v>-4.2519999999999998</v>
      </c>
      <c r="I11" s="1">
        <v>2.3559999999999999</v>
      </c>
      <c r="J11" s="1">
        <v>85</v>
      </c>
      <c r="L11" s="1"/>
    </row>
    <row r="12" spans="1:12" x14ac:dyDescent="0.2">
      <c r="A12" s="1">
        <v>12</v>
      </c>
      <c r="B12" s="1" t="s">
        <v>72</v>
      </c>
      <c r="D12" s="1">
        <v>0.39400000000000002</v>
      </c>
      <c r="E12" s="1">
        <v>-31.401</v>
      </c>
      <c r="F12" s="1">
        <v>656.149</v>
      </c>
      <c r="G12" s="1">
        <v>19224</v>
      </c>
      <c r="H12">
        <v>-1.538</v>
      </c>
      <c r="I12">
        <v>7.9279999999999999</v>
      </c>
      <c r="J12">
        <v>314</v>
      </c>
      <c r="L12" s="1"/>
    </row>
    <row r="13" spans="1:12" x14ac:dyDescent="0.2">
      <c r="A13" s="1">
        <v>13</v>
      </c>
      <c r="B13" s="1" t="s">
        <v>73</v>
      </c>
      <c r="D13" s="1">
        <v>0.34399999999999997</v>
      </c>
      <c r="E13" s="1">
        <v>-31.026</v>
      </c>
      <c r="F13" s="1">
        <v>589.15700000000004</v>
      </c>
      <c r="G13" s="1">
        <v>17288</v>
      </c>
      <c r="H13" s="1">
        <v>-2.0459999999999998</v>
      </c>
      <c r="I13" s="1">
        <v>8.1349999999999998</v>
      </c>
      <c r="J13" s="1">
        <v>321</v>
      </c>
      <c r="L13" s="1"/>
    </row>
    <row r="14" spans="1:12" x14ac:dyDescent="0.2">
      <c r="A14" s="1">
        <v>14</v>
      </c>
      <c r="B14" s="1" t="s">
        <v>74</v>
      </c>
      <c r="D14" s="1">
        <v>11.356</v>
      </c>
      <c r="E14" s="1">
        <v>-30.574000000000002</v>
      </c>
      <c r="F14" s="1">
        <v>295.45699999999999</v>
      </c>
      <c r="G14" s="1">
        <v>8404</v>
      </c>
      <c r="H14">
        <v>2.758</v>
      </c>
      <c r="I14">
        <v>22.654</v>
      </c>
      <c r="J14">
        <v>865</v>
      </c>
      <c r="L14" s="1"/>
    </row>
    <row r="15" spans="1:12" x14ac:dyDescent="0.2">
      <c r="A15" s="1">
        <v>15</v>
      </c>
      <c r="B15" s="1" t="s">
        <v>75</v>
      </c>
      <c r="D15" s="1">
        <v>12.054</v>
      </c>
      <c r="E15" s="1">
        <v>-30.085000000000001</v>
      </c>
      <c r="F15" s="1">
        <v>320.62799999999999</v>
      </c>
      <c r="G15" s="1">
        <v>9022</v>
      </c>
      <c r="H15">
        <v>2.2170000000000001</v>
      </c>
      <c r="I15">
        <v>23.995999999999999</v>
      </c>
      <c r="J15">
        <v>911</v>
      </c>
      <c r="L15" s="1"/>
    </row>
    <row r="16" spans="1:12" x14ac:dyDescent="0.2">
      <c r="A16" s="1">
        <v>16</v>
      </c>
      <c r="B16" s="1" t="s">
        <v>76</v>
      </c>
      <c r="D16" s="1">
        <v>12.093999999999999</v>
      </c>
      <c r="E16" s="1">
        <v>-30.035</v>
      </c>
      <c r="F16" s="1">
        <v>321.851</v>
      </c>
      <c r="G16" s="1">
        <v>9488</v>
      </c>
      <c r="H16" s="1">
        <v>2.65</v>
      </c>
      <c r="I16" s="1">
        <v>25.472999999999999</v>
      </c>
      <c r="J16" s="1">
        <v>1045</v>
      </c>
      <c r="L16" s="1"/>
    </row>
    <row r="17" spans="1:12" x14ac:dyDescent="0.2">
      <c r="A17" s="1">
        <v>17</v>
      </c>
      <c r="B17" s="1" t="s">
        <v>77</v>
      </c>
      <c r="D17" s="1">
        <v>11.071999999999999</v>
      </c>
      <c r="E17" s="1">
        <v>-30.172999999999998</v>
      </c>
      <c r="F17" s="1">
        <v>260.27600000000001</v>
      </c>
      <c r="G17" s="1">
        <v>7439</v>
      </c>
      <c r="H17">
        <v>2.6539999999999999</v>
      </c>
      <c r="I17">
        <v>21.783999999999999</v>
      </c>
      <c r="J17">
        <v>843</v>
      </c>
      <c r="L17" s="1"/>
    </row>
    <row r="18" spans="1:12" x14ac:dyDescent="0.2">
      <c r="A18" s="1">
        <v>18</v>
      </c>
      <c r="B18" s="1" t="s">
        <v>78</v>
      </c>
      <c r="D18" s="1">
        <v>13.542999999999999</v>
      </c>
      <c r="E18" s="1">
        <v>-29.896000000000001</v>
      </c>
      <c r="F18" s="1">
        <v>328.27</v>
      </c>
      <c r="G18" s="1">
        <v>9488</v>
      </c>
      <c r="H18">
        <v>2.867</v>
      </c>
      <c r="I18">
        <v>28.312999999999999</v>
      </c>
      <c r="J18">
        <v>1121</v>
      </c>
      <c r="L18" s="1"/>
    </row>
    <row r="19" spans="1:12" x14ac:dyDescent="0.2">
      <c r="A19" s="1">
        <v>19</v>
      </c>
      <c r="B19" s="1" t="s">
        <v>79</v>
      </c>
      <c r="D19" s="1">
        <v>13.379</v>
      </c>
      <c r="E19" s="1">
        <v>-30.152999999999999</v>
      </c>
      <c r="F19" s="1">
        <v>337.553</v>
      </c>
      <c r="G19" s="1">
        <v>10010</v>
      </c>
      <c r="H19">
        <v>3.2040000000000002</v>
      </c>
      <c r="I19">
        <v>30.463999999999999</v>
      </c>
      <c r="J19">
        <v>1268</v>
      </c>
      <c r="L19" s="1"/>
    </row>
    <row r="20" spans="1:12" x14ac:dyDescent="0.2">
      <c r="A20" s="1">
        <v>20</v>
      </c>
      <c r="B20" s="1" t="s">
        <v>80</v>
      </c>
      <c r="D20" s="1">
        <v>10.997</v>
      </c>
      <c r="E20" s="1">
        <v>-29.847999999999999</v>
      </c>
      <c r="F20" s="1">
        <v>261.99799999999999</v>
      </c>
      <c r="G20" s="1">
        <v>7550</v>
      </c>
      <c r="H20" s="1">
        <v>2.8330000000000002</v>
      </c>
      <c r="I20" s="1">
        <v>22.526</v>
      </c>
      <c r="J20" s="1">
        <v>884</v>
      </c>
      <c r="L20" s="1"/>
    </row>
    <row r="21" spans="1:12" x14ac:dyDescent="0.2">
      <c r="A21" s="1">
        <v>21</v>
      </c>
      <c r="B21" s="1" t="s">
        <v>81</v>
      </c>
      <c r="D21" s="1">
        <v>12.335000000000001</v>
      </c>
      <c r="E21" s="1">
        <v>-29.536999999999999</v>
      </c>
      <c r="F21" s="1">
        <v>290.404</v>
      </c>
      <c r="G21" s="1">
        <v>8594</v>
      </c>
      <c r="H21" s="1">
        <v>2.4870000000000001</v>
      </c>
      <c r="I21" s="1">
        <v>24.774999999999999</v>
      </c>
      <c r="J21" s="1">
        <v>1030</v>
      </c>
      <c r="L21" s="1"/>
    </row>
    <row r="22" spans="1:12" x14ac:dyDescent="0.2">
      <c r="A22" s="1">
        <v>22</v>
      </c>
      <c r="B22" s="1" t="s">
        <v>82</v>
      </c>
      <c r="D22" s="1">
        <v>16.773</v>
      </c>
      <c r="E22" s="1">
        <v>-28.513000000000002</v>
      </c>
      <c r="F22" s="1">
        <v>233.75299999999999</v>
      </c>
      <c r="G22" s="1">
        <v>6827</v>
      </c>
      <c r="H22" s="1">
        <v>3.605</v>
      </c>
      <c r="I22" s="1">
        <v>28.33</v>
      </c>
      <c r="J22" s="1">
        <v>1154</v>
      </c>
      <c r="L22" s="1"/>
    </row>
    <row r="23" spans="1:12" x14ac:dyDescent="0.2">
      <c r="A23" s="1">
        <v>23</v>
      </c>
      <c r="B23" s="1" t="s">
        <v>65</v>
      </c>
      <c r="D23" s="1">
        <v>0.23</v>
      </c>
      <c r="E23" s="1">
        <v>-15.997</v>
      </c>
      <c r="F23" s="1">
        <v>375.16199999999998</v>
      </c>
      <c r="G23" s="1">
        <v>11076</v>
      </c>
      <c r="H23" s="1">
        <v>11.185</v>
      </c>
      <c r="I23" s="1">
        <v>55.713000000000001</v>
      </c>
      <c r="J23" s="1">
        <v>2321</v>
      </c>
      <c r="L23" s="1"/>
    </row>
    <row r="24" spans="1:12" x14ac:dyDescent="0.2">
      <c r="A24" s="1">
        <v>24</v>
      </c>
      <c r="B24" s="1" t="s">
        <v>66</v>
      </c>
      <c r="D24" s="1">
        <v>0.78200000000000003</v>
      </c>
      <c r="E24" s="1">
        <v>-30.042000000000002</v>
      </c>
      <c r="F24" s="1">
        <v>33.981000000000002</v>
      </c>
      <c r="G24" s="1">
        <v>992</v>
      </c>
      <c r="H24">
        <v>2.883</v>
      </c>
      <c r="I24">
        <v>1.621</v>
      </c>
      <c r="J24">
        <v>57</v>
      </c>
      <c r="L24" s="1"/>
    </row>
    <row r="25" spans="1:12" x14ac:dyDescent="0.2">
      <c r="A25" s="1">
        <v>25</v>
      </c>
      <c r="B25" s="1" t="s">
        <v>67</v>
      </c>
      <c r="D25" s="1">
        <v>0.49399999999999999</v>
      </c>
      <c r="E25" s="1">
        <v>-31.975999999999999</v>
      </c>
      <c r="F25" s="1">
        <v>112.809</v>
      </c>
      <c r="G25" s="1">
        <v>3307</v>
      </c>
      <c r="H25">
        <v>2.6309999999999998</v>
      </c>
      <c r="I25">
        <v>4.0419999999999998</v>
      </c>
      <c r="J25">
        <v>151</v>
      </c>
      <c r="L25" s="1"/>
    </row>
    <row r="26" spans="1:12" x14ac:dyDescent="0.2">
      <c r="A26" s="1">
        <v>26</v>
      </c>
      <c r="B26" s="1" t="s">
        <v>67</v>
      </c>
      <c r="D26" s="1">
        <v>1.0620000000000001</v>
      </c>
      <c r="E26" s="1">
        <v>-32.091999999999999</v>
      </c>
      <c r="F26" s="1">
        <v>225.95</v>
      </c>
      <c r="G26" s="1">
        <v>6557</v>
      </c>
      <c r="H26">
        <v>3.609</v>
      </c>
      <c r="I26">
        <v>8.0909999999999993</v>
      </c>
      <c r="J26">
        <v>313</v>
      </c>
      <c r="L26" s="1"/>
    </row>
    <row r="27" spans="1:12" x14ac:dyDescent="0.2">
      <c r="A27" s="1">
        <v>27</v>
      </c>
      <c r="B27" s="1" t="s">
        <v>67</v>
      </c>
      <c r="D27" s="1">
        <v>2.3940000000000001</v>
      </c>
      <c r="E27" s="1">
        <v>-32.103999999999999</v>
      </c>
      <c r="F27" s="1">
        <v>535.04999999999995</v>
      </c>
      <c r="G27" s="1">
        <v>15484</v>
      </c>
      <c r="H27" s="1">
        <v>4.1470000000000002</v>
      </c>
      <c r="I27" s="1">
        <v>18.984000000000002</v>
      </c>
      <c r="J27" s="1">
        <v>767</v>
      </c>
      <c r="L27" s="1"/>
    </row>
    <row r="28" spans="1:12" x14ac:dyDescent="0.2">
      <c r="A28" s="1">
        <v>28</v>
      </c>
      <c r="B28" s="1" t="s">
        <v>67</v>
      </c>
      <c r="D28" s="1">
        <v>3.93</v>
      </c>
      <c r="E28" s="1">
        <v>-32.768999999999998</v>
      </c>
      <c r="F28" s="1">
        <v>855.625</v>
      </c>
      <c r="G28" s="1">
        <v>24727</v>
      </c>
      <c r="H28" s="1">
        <v>4.5419999999999998</v>
      </c>
      <c r="I28" s="1">
        <v>30.808</v>
      </c>
      <c r="J28" s="1">
        <v>1273</v>
      </c>
      <c r="L28" s="1"/>
    </row>
    <row r="29" spans="1:12" x14ac:dyDescent="0.2">
      <c r="A29" s="1">
        <v>29</v>
      </c>
      <c r="B29" s="1" t="s">
        <v>83</v>
      </c>
      <c r="D29" s="1">
        <v>13.89</v>
      </c>
      <c r="E29" s="1">
        <v>-29.276</v>
      </c>
      <c r="F29" s="1">
        <v>272.36900000000003</v>
      </c>
      <c r="G29" s="1">
        <v>7863</v>
      </c>
      <c r="H29" s="1">
        <v>3.306</v>
      </c>
      <c r="I29" s="1">
        <v>29.777000000000001</v>
      </c>
      <c r="J29" s="1">
        <v>1191</v>
      </c>
      <c r="L29" s="1"/>
    </row>
    <row r="30" spans="1:12" x14ac:dyDescent="0.2">
      <c r="A30" s="1">
        <v>30</v>
      </c>
      <c r="B30" s="1" t="s">
        <v>84</v>
      </c>
      <c r="D30" s="1">
        <v>13.468999999999999</v>
      </c>
      <c r="E30" s="1">
        <v>-28.564</v>
      </c>
      <c r="F30" s="1">
        <v>288.06400000000002</v>
      </c>
      <c r="G30" s="1">
        <v>8496</v>
      </c>
      <c r="H30" s="1">
        <v>3.391</v>
      </c>
      <c r="I30" s="1">
        <v>30.279</v>
      </c>
      <c r="J30" s="1">
        <v>1248</v>
      </c>
      <c r="L30" s="1"/>
    </row>
    <row r="31" spans="1:12" x14ac:dyDescent="0.2">
      <c r="A31" s="1">
        <v>31</v>
      </c>
      <c r="B31" s="1" t="s">
        <v>85</v>
      </c>
      <c r="D31" s="1">
        <v>13.321999999999999</v>
      </c>
      <c r="E31" s="1">
        <v>-28.847999999999999</v>
      </c>
      <c r="F31" s="1">
        <v>249.006</v>
      </c>
      <c r="G31" s="1">
        <v>7259</v>
      </c>
      <c r="H31" s="1">
        <v>3.24</v>
      </c>
      <c r="I31" s="1">
        <v>28.268000000000001</v>
      </c>
      <c r="J31" s="1">
        <v>1155</v>
      </c>
      <c r="L31" s="1"/>
    </row>
    <row r="32" spans="1:12" x14ac:dyDescent="0.2">
      <c r="A32" s="1">
        <v>32</v>
      </c>
      <c r="B32" s="1" t="s">
        <v>86</v>
      </c>
      <c r="D32" s="1">
        <v>13.923999999999999</v>
      </c>
      <c r="E32" s="1">
        <v>-29.486999999999998</v>
      </c>
      <c r="F32" s="1">
        <v>283.71800000000002</v>
      </c>
      <c r="G32" s="1">
        <v>8314</v>
      </c>
      <c r="H32" s="1">
        <v>3.1909999999999998</v>
      </c>
      <c r="I32" s="1">
        <v>30.526</v>
      </c>
      <c r="J32" s="1">
        <v>1249</v>
      </c>
      <c r="L32" s="1"/>
    </row>
    <row r="33" spans="1:12" x14ac:dyDescent="0.2">
      <c r="A33" s="1">
        <v>33</v>
      </c>
      <c r="B33" s="1" t="s">
        <v>87</v>
      </c>
      <c r="D33" s="1">
        <v>11.228</v>
      </c>
      <c r="E33" s="1">
        <v>-30.331</v>
      </c>
      <c r="F33" s="1">
        <v>379.70400000000001</v>
      </c>
      <c r="G33" s="1">
        <v>11166</v>
      </c>
      <c r="H33" s="1">
        <v>2.5110000000000001</v>
      </c>
      <c r="I33" s="1">
        <v>23.164999999999999</v>
      </c>
      <c r="J33" s="1">
        <v>939</v>
      </c>
      <c r="L33" s="1"/>
    </row>
    <row r="34" spans="1:12" x14ac:dyDescent="0.2">
      <c r="A34" s="1">
        <v>34</v>
      </c>
      <c r="B34" s="1" t="s">
        <v>88</v>
      </c>
      <c r="D34" s="1">
        <v>5.2160000000000002</v>
      </c>
      <c r="E34" s="1">
        <v>-30.709</v>
      </c>
      <c r="F34" s="1">
        <v>349.74700000000001</v>
      </c>
      <c r="G34" s="1">
        <v>10318</v>
      </c>
      <c r="H34" s="1">
        <v>1.38</v>
      </c>
      <c r="I34" s="1">
        <v>15.185</v>
      </c>
      <c r="J34" s="1">
        <v>605</v>
      </c>
      <c r="L34" s="1"/>
    </row>
    <row r="35" spans="1:12" x14ac:dyDescent="0.2">
      <c r="A35" s="1">
        <v>35</v>
      </c>
      <c r="B35" s="1" t="s">
        <v>89</v>
      </c>
      <c r="D35" s="1">
        <v>2.84</v>
      </c>
      <c r="E35" s="1">
        <v>-31.786000000000001</v>
      </c>
      <c r="F35" s="1">
        <v>343.86</v>
      </c>
      <c r="G35" s="1">
        <v>10049</v>
      </c>
      <c r="H35" s="1">
        <v>1.5029999999999999</v>
      </c>
      <c r="I35" s="1">
        <v>10.951000000000001</v>
      </c>
      <c r="J35" s="1">
        <v>426</v>
      </c>
      <c r="L35" s="1"/>
    </row>
    <row r="36" spans="1:12" x14ac:dyDescent="0.2">
      <c r="A36" s="1">
        <v>36</v>
      </c>
      <c r="B36" s="1" t="s">
        <v>90</v>
      </c>
      <c r="D36" s="1">
        <v>19.324000000000002</v>
      </c>
      <c r="E36" s="1">
        <v>-29.003</v>
      </c>
      <c r="F36" s="1">
        <v>339.97800000000001</v>
      </c>
      <c r="G36" s="1">
        <v>9998</v>
      </c>
      <c r="H36" s="1">
        <v>3.8519999999999999</v>
      </c>
      <c r="I36" s="1">
        <v>42.325000000000003</v>
      </c>
      <c r="J36" s="1">
        <v>1766</v>
      </c>
      <c r="L36" s="1"/>
    </row>
    <row r="37" spans="1:12" x14ac:dyDescent="0.2">
      <c r="A37" s="1">
        <v>37</v>
      </c>
      <c r="B37" s="1" t="s">
        <v>91</v>
      </c>
      <c r="D37" s="1">
        <v>11.35</v>
      </c>
      <c r="E37" s="1">
        <v>-28.797999999999998</v>
      </c>
      <c r="F37" s="1">
        <v>197.78299999999999</v>
      </c>
      <c r="G37" s="1">
        <v>5756</v>
      </c>
      <c r="H37" s="1">
        <v>3.2490000000000001</v>
      </c>
      <c r="I37" s="1">
        <v>24.111000000000001</v>
      </c>
      <c r="J37" s="1">
        <v>971</v>
      </c>
      <c r="L37" s="1"/>
    </row>
    <row r="38" spans="1:12" x14ac:dyDescent="0.2">
      <c r="A38" s="1">
        <v>38</v>
      </c>
      <c r="B38" s="1" t="s">
        <v>92</v>
      </c>
      <c r="D38" s="1">
        <v>14.157999999999999</v>
      </c>
      <c r="E38" s="1">
        <v>-29.564</v>
      </c>
      <c r="F38" s="1">
        <v>344.012</v>
      </c>
      <c r="G38" s="1">
        <v>10020</v>
      </c>
      <c r="H38" s="1">
        <v>2.802</v>
      </c>
      <c r="I38" s="1">
        <v>28.939</v>
      </c>
      <c r="J38" s="1">
        <v>1164</v>
      </c>
      <c r="L38" s="1"/>
    </row>
    <row r="39" spans="1:12" x14ac:dyDescent="0.2">
      <c r="A39" s="1">
        <v>39</v>
      </c>
      <c r="B39" s="1" t="s">
        <v>93</v>
      </c>
      <c r="D39" s="1">
        <v>6.4880000000000004</v>
      </c>
      <c r="E39" s="1">
        <v>-31.146999999999998</v>
      </c>
      <c r="F39" s="1">
        <v>309.42899999999997</v>
      </c>
      <c r="G39" s="1">
        <v>9058</v>
      </c>
      <c r="H39" s="1">
        <v>1.7669999999999999</v>
      </c>
      <c r="I39" s="1">
        <v>16.001000000000001</v>
      </c>
      <c r="J39" s="1">
        <v>636</v>
      </c>
      <c r="L39" s="1"/>
    </row>
    <row r="40" spans="1:12" x14ac:dyDescent="0.2">
      <c r="A40" s="1">
        <v>40</v>
      </c>
      <c r="B40" s="1" t="s">
        <v>94</v>
      </c>
      <c r="D40" s="1">
        <v>4.8209999999999997</v>
      </c>
      <c r="E40" s="1">
        <v>-31.542000000000002</v>
      </c>
      <c r="F40" s="1">
        <v>396.78300000000002</v>
      </c>
      <c r="G40" s="1">
        <v>11208</v>
      </c>
      <c r="H40" s="1">
        <v>1.216</v>
      </c>
      <c r="I40" s="1">
        <v>15.215999999999999</v>
      </c>
      <c r="J40" s="1">
        <v>550</v>
      </c>
      <c r="L40" s="1"/>
    </row>
    <row r="41" spans="1:12" x14ac:dyDescent="0.2">
      <c r="A41" s="1">
        <v>41</v>
      </c>
      <c r="B41" s="1" t="s">
        <v>95</v>
      </c>
      <c r="D41" s="1">
        <v>8.4139999999999997</v>
      </c>
      <c r="E41" s="1">
        <v>-30.439</v>
      </c>
      <c r="F41" s="1">
        <v>330.29199999999997</v>
      </c>
      <c r="G41" s="1">
        <v>9729</v>
      </c>
      <c r="H41" s="1">
        <v>2.4079999999999999</v>
      </c>
      <c r="I41" s="1">
        <v>20.382999999999999</v>
      </c>
      <c r="J41" s="1">
        <v>829</v>
      </c>
      <c r="L41" s="1"/>
    </row>
    <row r="42" spans="1:12" x14ac:dyDescent="0.2">
      <c r="A42" s="1">
        <v>42</v>
      </c>
      <c r="B42" s="1" t="s">
        <v>96</v>
      </c>
      <c r="D42" s="1">
        <v>13.004</v>
      </c>
      <c r="E42" s="1">
        <v>-29.018999999999998</v>
      </c>
      <c r="F42" s="1">
        <v>228.56899999999999</v>
      </c>
      <c r="G42" s="1">
        <v>6566</v>
      </c>
      <c r="H42" s="1">
        <v>3.34</v>
      </c>
      <c r="I42" s="1">
        <v>26.904</v>
      </c>
      <c r="J42" s="1">
        <v>1070</v>
      </c>
      <c r="L42" s="1"/>
    </row>
    <row r="43" spans="1:12" x14ac:dyDescent="0.2">
      <c r="A43" s="1">
        <v>43</v>
      </c>
      <c r="B43" s="1" t="s">
        <v>97</v>
      </c>
      <c r="D43" s="1">
        <v>13.518000000000001</v>
      </c>
      <c r="E43" s="1">
        <v>-29.116</v>
      </c>
      <c r="F43" s="1">
        <v>291.49299999999999</v>
      </c>
      <c r="G43" s="1">
        <v>8465</v>
      </c>
      <c r="H43" s="1">
        <v>3.3610000000000002</v>
      </c>
      <c r="I43" s="1">
        <v>31.678000000000001</v>
      </c>
      <c r="J43" s="1">
        <v>1274</v>
      </c>
      <c r="L43" s="1"/>
    </row>
    <row r="44" spans="1:12" x14ac:dyDescent="0.2">
      <c r="A44" s="1">
        <v>44</v>
      </c>
      <c r="B44" s="1" t="s">
        <v>98</v>
      </c>
      <c r="C44" s="1"/>
      <c r="D44" s="1">
        <v>4.4240000000000004</v>
      </c>
      <c r="E44" s="1">
        <v>-31.291</v>
      </c>
      <c r="F44" s="1">
        <v>284.53199999999998</v>
      </c>
      <c r="G44" s="1">
        <v>8374</v>
      </c>
      <c r="H44" s="1">
        <v>1.5369999999999999</v>
      </c>
      <c r="I44" s="1">
        <v>13.215</v>
      </c>
      <c r="J44" s="1">
        <v>524</v>
      </c>
      <c r="L44" s="1"/>
    </row>
    <row r="45" spans="1:12" x14ac:dyDescent="0.2">
      <c r="A45" s="1">
        <v>45</v>
      </c>
      <c r="B45" s="1" t="s">
        <v>99</v>
      </c>
      <c r="C45" s="1"/>
      <c r="D45" s="1">
        <v>3.056</v>
      </c>
      <c r="E45" s="1">
        <v>-31.420999999999999</v>
      </c>
      <c r="F45" s="1">
        <v>233.22</v>
      </c>
      <c r="G45" s="1">
        <v>6680</v>
      </c>
      <c r="H45">
        <v>1.0309999999999999</v>
      </c>
      <c r="I45">
        <v>8.09</v>
      </c>
      <c r="J45">
        <v>291</v>
      </c>
      <c r="L45" s="1"/>
    </row>
    <row r="46" spans="1:12" x14ac:dyDescent="0.2">
      <c r="A46" s="1">
        <v>46</v>
      </c>
      <c r="B46" s="1" t="s">
        <v>100</v>
      </c>
      <c r="C46" s="1"/>
      <c r="D46" s="1">
        <v>10.929</v>
      </c>
      <c r="E46" s="1">
        <v>-30.780999999999999</v>
      </c>
      <c r="F46" s="1">
        <v>333.86799999999999</v>
      </c>
      <c r="G46" s="1">
        <v>9712</v>
      </c>
      <c r="H46" s="1">
        <v>2.34</v>
      </c>
      <c r="I46" s="1">
        <v>22.76</v>
      </c>
      <c r="J46" s="1">
        <v>902</v>
      </c>
      <c r="L46" s="1"/>
    </row>
    <row r="47" spans="1:12" x14ac:dyDescent="0.2">
      <c r="A47" s="1">
        <v>47</v>
      </c>
      <c r="B47" s="1" t="s">
        <v>65</v>
      </c>
      <c r="C47" s="1"/>
      <c r="D47" s="1">
        <v>0.186</v>
      </c>
      <c r="E47" s="1">
        <v>-16.536000000000001</v>
      </c>
      <c r="F47" s="1">
        <v>342.137</v>
      </c>
      <c r="G47" s="1">
        <v>10128</v>
      </c>
      <c r="H47">
        <v>11.055</v>
      </c>
      <c r="I47">
        <v>51.167000000000002</v>
      </c>
      <c r="J47">
        <v>2121</v>
      </c>
      <c r="L47" s="1"/>
    </row>
    <row r="48" spans="1:12" x14ac:dyDescent="0.2">
      <c r="A48" s="1">
        <v>48</v>
      </c>
      <c r="B48" s="1" t="s">
        <v>66</v>
      </c>
      <c r="C48" s="1"/>
      <c r="D48" s="1">
        <v>0.69399999999999995</v>
      </c>
      <c r="E48" s="1">
        <v>-30.117999999999999</v>
      </c>
      <c r="F48" s="1">
        <v>28.664999999999999</v>
      </c>
      <c r="G48" s="1">
        <v>830</v>
      </c>
      <c r="H48" s="1"/>
      <c r="I48" s="1"/>
      <c r="J48" s="1"/>
      <c r="L48" s="1"/>
    </row>
    <row r="49" spans="1:12" x14ac:dyDescent="0.2">
      <c r="A49" s="1">
        <v>49</v>
      </c>
      <c r="B49" s="1" t="s">
        <v>67</v>
      </c>
      <c r="C49" s="1"/>
      <c r="D49" s="1">
        <v>1.3440000000000001</v>
      </c>
      <c r="E49" s="1">
        <v>-32.683</v>
      </c>
      <c r="F49" s="1">
        <v>294.197</v>
      </c>
      <c r="G49" s="1">
        <v>8462</v>
      </c>
      <c r="H49">
        <v>3.3</v>
      </c>
      <c r="I49">
        <v>10.347</v>
      </c>
      <c r="J49">
        <v>393</v>
      </c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L51" s="1"/>
    </row>
    <row r="52" spans="1:12" x14ac:dyDescent="0.2">
      <c r="A52" s="1"/>
      <c r="B52" s="1"/>
      <c r="D52" s="1"/>
      <c r="E52" s="1"/>
      <c r="F52" s="1"/>
      <c r="G52" s="1"/>
      <c r="L52" s="1"/>
    </row>
    <row r="53" spans="1:1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L53" s="1"/>
    </row>
    <row r="54" spans="1:1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L54" s="1"/>
    </row>
    <row r="55" spans="1:1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L55" s="1"/>
    </row>
    <row r="56" spans="1:1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L56" s="1"/>
    </row>
    <row r="57" spans="1:1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</row>
    <row r="61" spans="1:1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L61" s="1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L62" s="1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L63" s="1"/>
    </row>
    <row r="64" spans="1:1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</row>
    <row r="65" spans="1:1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L65" s="1"/>
    </row>
    <row r="66" spans="1:1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L66" s="1"/>
    </row>
    <row r="67" spans="1:1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L67" s="1"/>
    </row>
    <row r="68" spans="1:1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L68" s="1"/>
    </row>
    <row r="69" spans="1:1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L69" s="1"/>
    </row>
    <row r="70" spans="1:1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L70" s="1"/>
    </row>
    <row r="71" spans="1:1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L71" s="1"/>
    </row>
    <row r="72" spans="1:1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</row>
    <row r="73" spans="1:1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L73" s="1"/>
    </row>
    <row r="74" spans="1:1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L74" s="1"/>
    </row>
    <row r="75" spans="1:1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L75" s="1"/>
    </row>
    <row r="76" spans="1:1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L76" s="1"/>
    </row>
    <row r="77" spans="1:1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L77" s="1"/>
    </row>
    <row r="78" spans="1:1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L78" s="1"/>
    </row>
    <row r="79" spans="1:1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L79" s="1"/>
    </row>
    <row r="80" spans="1:1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L80" s="1"/>
    </row>
    <row r="81" spans="1:1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L81" s="1"/>
    </row>
    <row r="82" spans="1:1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L82" s="1"/>
    </row>
    <row r="83" spans="1:1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L83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W67"/>
  <sheetViews>
    <sheetView workbookViewId="0">
      <selection activeCell="S19" sqref="S19"/>
    </sheetView>
  </sheetViews>
  <sheetFormatPr defaultColWidth="11" defaultRowHeight="12.75" x14ac:dyDescent="0.2"/>
  <cols>
    <col min="1" max="1" width="8.125" customWidth="1"/>
    <col min="2" max="2" width="10.375" customWidth="1"/>
    <col min="3" max="3" width="11.5" customWidth="1"/>
    <col min="6" max="6" width="8.875" customWidth="1"/>
    <col min="7" max="8" width="8.5" customWidth="1"/>
    <col min="9" max="9" width="8.75" bestFit="1" customWidth="1"/>
    <col min="11" max="11" width="9.625" customWidth="1"/>
    <col min="14" max="14" width="12.125" customWidth="1"/>
    <col min="16" max="16" width="9" style="21" customWidth="1"/>
    <col min="17" max="17" width="8.625" customWidth="1"/>
    <col min="18" max="18" width="9.875" customWidth="1"/>
    <col min="19" max="19" width="9.625" customWidth="1"/>
    <col min="20" max="20" width="10.125" customWidth="1"/>
    <col min="21" max="21" width="7" bestFit="1" customWidth="1"/>
    <col min="22" max="22" width="9.875" customWidth="1"/>
    <col min="23" max="23" width="9.375" customWidth="1"/>
  </cols>
  <sheetData>
    <row r="1" spans="1:23" x14ac:dyDescent="0.2">
      <c r="N1" s="34" t="s">
        <v>59</v>
      </c>
      <c r="O1" s="34"/>
      <c r="P1" s="34"/>
      <c r="Q1" s="34"/>
      <c r="R1" s="34" t="s">
        <v>62</v>
      </c>
      <c r="S1" s="34"/>
      <c r="T1" s="34"/>
      <c r="U1" s="34"/>
      <c r="V1" s="34"/>
      <c r="W1" s="34"/>
    </row>
    <row r="2" spans="1:23" ht="27.75" x14ac:dyDescent="0.2">
      <c r="A2" s="23" t="s">
        <v>0</v>
      </c>
      <c r="B2" s="23" t="s">
        <v>1</v>
      </c>
      <c r="C2" s="23" t="s">
        <v>2</v>
      </c>
      <c r="D2" s="23" t="s">
        <v>3</v>
      </c>
      <c r="E2" s="24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L2" s="23" t="s">
        <v>53</v>
      </c>
      <c r="M2" s="23" t="s">
        <v>10</v>
      </c>
      <c r="N2" s="25" t="s">
        <v>58</v>
      </c>
      <c r="O2" s="25" t="s">
        <v>52</v>
      </c>
      <c r="P2" s="25" t="s">
        <v>60</v>
      </c>
      <c r="Q2" s="25" t="s">
        <v>61</v>
      </c>
      <c r="R2" s="23" t="s">
        <v>11</v>
      </c>
      <c r="S2" s="23" t="s">
        <v>12</v>
      </c>
      <c r="T2" s="23" t="s">
        <v>26</v>
      </c>
      <c r="U2" s="23" t="s">
        <v>27</v>
      </c>
      <c r="V2" s="25" t="s">
        <v>51</v>
      </c>
      <c r="W2" s="25" t="s">
        <v>52</v>
      </c>
    </row>
    <row r="3" spans="1:23" x14ac:dyDescent="0.2">
      <c r="A3" s="1">
        <v>7</v>
      </c>
      <c r="B3" s="1" t="s">
        <v>67</v>
      </c>
      <c r="D3" s="1">
        <v>1.3360000000000001</v>
      </c>
      <c r="E3" s="1">
        <v>-31.971</v>
      </c>
      <c r="F3" s="1">
        <v>295.33800000000002</v>
      </c>
      <c r="G3" s="1">
        <v>8456</v>
      </c>
      <c r="H3" s="1">
        <v>3.5059999999999998</v>
      </c>
      <c r="I3" s="1">
        <v>10.412000000000001</v>
      </c>
      <c r="J3" s="1">
        <v>405</v>
      </c>
      <c r="K3" s="2"/>
      <c r="L3" s="28">
        <f>E3-((G3^3*$B$25+G3^2*$B$26+G3*$B$27+$B$28)+(A3^3*$C$25+$C$26*A3^2+$C$27*A3+$C$28))</f>
        <v>-31.990378036608</v>
      </c>
      <c r="M3" s="28">
        <f>H3-((J3^3*$B$31+J3^2*$B$32+J3*$B$33+$B$34)+(A3^3*$C$31+$C$32*A3^2+$C$33*A3+$C$34))</f>
        <v>3.5059999999999998</v>
      </c>
      <c r="N3" s="3">
        <v>-27.87</v>
      </c>
      <c r="O3" s="3">
        <v>5.15</v>
      </c>
      <c r="P3" s="22">
        <v>5.9</v>
      </c>
      <c r="Q3" s="3">
        <v>0.48</v>
      </c>
      <c r="R3" s="20">
        <f>(P3*D3)/F3</f>
        <v>2.6689420257467716E-2</v>
      </c>
      <c r="S3" s="20">
        <f>(Q3*D3)/I3</f>
        <v>6.1590472531694189E-2</v>
      </c>
      <c r="T3" s="12">
        <f>((F3*standards!$R$31+standards!$R$30)*F3)/D3</f>
        <v>5.7960370204073417</v>
      </c>
      <c r="U3" s="12">
        <f>((I3*standards!$S$31+standards!$S$30)*I3)/D3</f>
        <v>0.4886114934045403</v>
      </c>
      <c r="V3" s="9">
        <f>(E3-((G3^3*standards!$B$25+G3^2*standards!$B$26+G3*standards!$B$27+standards!$B$28)+(A3^3*standards!$C$25+standards!$C$26*A3^2+standards!$C$27*A3+standards!$C$28)))*standards!$R$27+standards!$R$26</f>
        <v>-28.153449687658945</v>
      </c>
      <c r="W3" s="9">
        <f>(H3-((J3^3*standards!$B$31+J3^2*standards!$B$32+J3*standards!$B$33+standards!$B$34)+(A3^3*standards!$C$31+standards!$C$32*A3^2+standards!$C$33*A3+standards!$C$34)))*standards!$S$27+standards!$S$26</f>
        <v>6.2044369949698641</v>
      </c>
    </row>
    <row r="4" spans="1:23" x14ac:dyDescent="0.2">
      <c r="A4" s="1">
        <v>25</v>
      </c>
      <c r="B4" s="1" t="s">
        <v>67</v>
      </c>
      <c r="D4" s="1">
        <v>0.49399999999999999</v>
      </c>
      <c r="E4" s="1">
        <v>-31.975999999999999</v>
      </c>
      <c r="F4" s="1">
        <v>112.809</v>
      </c>
      <c r="G4" s="1">
        <v>3307</v>
      </c>
      <c r="H4" s="1">
        <v>2.6309999999999998</v>
      </c>
      <c r="I4" s="1">
        <v>4.0419999999999998</v>
      </c>
      <c r="J4" s="1">
        <v>151</v>
      </c>
      <c r="K4" s="2"/>
      <c r="L4" s="28">
        <f t="shared" ref="L4:L13" si="0">E4-((G4^3*$B$25+G4^2*$B$26+G4*$B$27+$B$28)+(A4^3*$C$25+$C$26*A4^2+$C$27*A4+$C$28))</f>
        <v>-31.635555237571999</v>
      </c>
      <c r="M4" s="28">
        <f t="shared" ref="M4:M13" si="1">H4-((J4^3*$B$31+J4^2*$B$32+J4*$B$33+$B$34)+(A4^3*$C$31+$C$32*A4^2+$C$33*A4+$C$34))</f>
        <v>2.6309999999999998</v>
      </c>
      <c r="N4" s="3">
        <v>-27.87</v>
      </c>
      <c r="O4" s="3">
        <v>5.15</v>
      </c>
      <c r="P4" s="22">
        <v>5.9</v>
      </c>
      <c r="Q4" s="3">
        <v>0.48</v>
      </c>
      <c r="R4" s="20">
        <f t="shared" ref="R4:R8" si="2">(P4*D4)/F4</f>
        <v>2.5836591052132367E-2</v>
      </c>
      <c r="S4" s="20">
        <f t="shared" ref="S4:S8" si="3">(Q4*D4)/I4</f>
        <v>5.8664027709054926E-2</v>
      </c>
      <c r="T4" s="12">
        <f>((F4*standards!$R$31+standards!$R$30)*F4)/D4</f>
        <v>5.8829364165971647</v>
      </c>
      <c r="U4" s="12">
        <f>((I4*standards!$S$31+standards!$S$30)*I4)/D4</f>
        <v>0.5136058031378069</v>
      </c>
      <c r="V4" s="9">
        <f>(E4-((G4^3*standards!$B$25+G4^2*standards!$B$26+G4*standards!$B$27+standards!$B$28)+(A4^3*standards!$C$25+standards!$C$26*A4^2+standards!$C$27*A4+standards!$C$28)))*standards!$R$27+standards!$R$26</f>
        <v>-27.796195591874316</v>
      </c>
      <c r="W4" s="9">
        <f>(H4-((J4^3*standards!$B$31+J4^2*standards!$B$32+J4*standards!$B$33+standards!$B$34)+(A4^3*standards!$C$31+standards!$C$32*A4^2+standards!$C$33*A4+standards!$C$34)))*standards!$S$27+standards!$S$26</f>
        <v>5.6547108564197721</v>
      </c>
    </row>
    <row r="5" spans="1:23" x14ac:dyDescent="0.2">
      <c r="A5" s="1">
        <v>26</v>
      </c>
      <c r="B5" s="1" t="s">
        <v>67</v>
      </c>
      <c r="D5" s="1">
        <v>1.0620000000000001</v>
      </c>
      <c r="E5" s="1">
        <v>-32.091999999999999</v>
      </c>
      <c r="F5" s="1">
        <v>225.95</v>
      </c>
      <c r="G5" s="1">
        <v>6557</v>
      </c>
      <c r="H5" s="1">
        <v>3.609</v>
      </c>
      <c r="I5" s="1">
        <v>8.0909999999999993</v>
      </c>
      <c r="J5" s="1">
        <v>313</v>
      </c>
      <c r="K5" s="2"/>
      <c r="L5" s="28">
        <f t="shared" si="0"/>
        <v>-31.776984561572</v>
      </c>
      <c r="M5" s="28">
        <f t="shared" si="1"/>
        <v>3.609</v>
      </c>
      <c r="N5" s="3">
        <v>-27.87</v>
      </c>
      <c r="O5" s="3">
        <v>5.15</v>
      </c>
      <c r="P5" s="22">
        <v>5.9</v>
      </c>
      <c r="Q5" s="3">
        <v>0.48</v>
      </c>
      <c r="R5" s="20">
        <f t="shared" si="2"/>
        <v>2.7730913919008632E-2</v>
      </c>
      <c r="S5" s="20">
        <f t="shared" si="3"/>
        <v>6.3003337041156848E-2</v>
      </c>
      <c r="T5" s="12">
        <f>((F5*standards!$R$31+standards!$R$30)*F5)/D5</f>
        <v>5.541371202407035</v>
      </c>
      <c r="U5" s="12">
        <f>((I5*standards!$S$31+standards!$S$30)*I5)/D5</f>
        <v>0.47786461706152128</v>
      </c>
      <c r="V5" s="9">
        <f>(E5-((G5^3*standards!$B$25+G5^2*standards!$B$26+G5*standards!$B$27+standards!$B$28)+(A5^3*standards!$C$25+standards!$C$26*A5^2+standards!$C$27*A5+standards!$C$28)))*standards!$R$27+standards!$R$26</f>
        <v>-27.938594009902477</v>
      </c>
      <c r="W5" s="9">
        <f>(H5-((J5^3*standards!$B$31+J5^2*standards!$B$32+J5*standards!$B$33+standards!$B$34)+(A5^3*standards!$C$31+standards!$C$32*A5^2+standards!$C$33*A5+standards!$C$34)))*standards!$S$27+standards!$S$26</f>
        <v>6.2691476147077605</v>
      </c>
    </row>
    <row r="6" spans="1:23" x14ac:dyDescent="0.2">
      <c r="A6" s="1">
        <v>27</v>
      </c>
      <c r="B6" s="1" t="s">
        <v>67</v>
      </c>
      <c r="D6" s="1">
        <v>2.3940000000000001</v>
      </c>
      <c r="E6" s="1">
        <v>-32.103999999999999</v>
      </c>
      <c r="F6" s="1">
        <v>535.04999999999995</v>
      </c>
      <c r="G6" s="1">
        <v>15484</v>
      </c>
      <c r="H6" s="1">
        <v>4.1470000000000002</v>
      </c>
      <c r="I6" s="1">
        <v>18.984000000000002</v>
      </c>
      <c r="J6" s="1">
        <v>767</v>
      </c>
      <c r="K6" s="2"/>
      <c r="L6" s="28">
        <f t="shared" si="0"/>
        <v>-31.609989293567999</v>
      </c>
      <c r="M6" s="28">
        <f t="shared" si="1"/>
        <v>4.1470000000000002</v>
      </c>
      <c r="N6" s="3">
        <v>-27.87</v>
      </c>
      <c r="O6" s="3">
        <v>5.15</v>
      </c>
      <c r="P6" s="22">
        <v>5.9</v>
      </c>
      <c r="Q6" s="3">
        <v>0.48</v>
      </c>
      <c r="R6" s="20">
        <f t="shared" si="2"/>
        <v>2.6398654331370904E-2</v>
      </c>
      <c r="S6" s="20">
        <f t="shared" si="3"/>
        <v>6.0530973451327422E-2</v>
      </c>
      <c r="T6" s="12">
        <f>((F6*standards!$R$31+standards!$R$30)*F6)/D6</f>
        <v>5.9940895869434927</v>
      </c>
      <c r="U6" s="12">
        <f>((I6*standards!$S$31+standards!$S$30)*I6)/D6</f>
        <v>0.49635526183603984</v>
      </c>
      <c r="V6" s="9">
        <f>(E6-((G6^3*standards!$B$25+G6^2*standards!$B$26+G6*standards!$B$27+standards!$B$28)+(A6^3*standards!$C$25+standards!$C$26*A6^2+standards!$C$27*A6+standards!$C$28)))*standards!$R$27+standards!$R$26</f>
        <v>-27.77045446635238</v>
      </c>
      <c r="W6" s="9">
        <f>(H6-((J6^3*standards!$B$31+J6^2*standards!$B$32+J6*standards!$B$33+standards!$B$34)+(A6^3*standards!$C$31+standards!$C$32*A6^2+standards!$C$33*A6+standards!$C$34)))*standards!$S$27+standards!$S$26</f>
        <v>6.6071506576105596</v>
      </c>
    </row>
    <row r="7" spans="1:23" x14ac:dyDescent="0.2">
      <c r="A7" s="1">
        <v>28</v>
      </c>
      <c r="B7" s="1" t="s">
        <v>67</v>
      </c>
      <c r="D7" s="1">
        <v>3.93</v>
      </c>
      <c r="E7" s="1">
        <v>-32.768999999999998</v>
      </c>
      <c r="F7" s="1">
        <v>855.625</v>
      </c>
      <c r="G7" s="1">
        <v>24727</v>
      </c>
      <c r="H7" s="1">
        <v>4.5419999999999998</v>
      </c>
      <c r="I7" s="1">
        <v>30.808</v>
      </c>
      <c r="J7" s="1">
        <v>1273</v>
      </c>
      <c r="K7" s="2"/>
      <c r="L7" s="28">
        <f t="shared" si="0"/>
        <v>-31.658325581411997</v>
      </c>
      <c r="M7" s="28">
        <f t="shared" si="1"/>
        <v>4.5419999999999998</v>
      </c>
      <c r="N7" s="3">
        <v>-27.87</v>
      </c>
      <c r="O7" s="3">
        <v>5.15</v>
      </c>
      <c r="P7" s="22">
        <v>5.9</v>
      </c>
      <c r="Q7" s="3">
        <v>0.48</v>
      </c>
      <c r="R7" s="20">
        <f t="shared" si="2"/>
        <v>2.7099488677867059E-2</v>
      </c>
      <c r="S7" s="20">
        <f t="shared" si="3"/>
        <v>6.1230849130096084E-2</v>
      </c>
      <c r="T7" s="12">
        <f>((F7*standards!$R$31+standards!$R$30)*F7)/D7</f>
        <v>6.013918450918835</v>
      </c>
      <c r="U7" s="12">
        <f>((I7*standards!$S$31+standards!$S$30)*I7)/D7</f>
        <v>0.48957924474834413</v>
      </c>
      <c r="V7" s="9">
        <f>(E7-((G7^3*standards!$B$25+G7^2*standards!$B$26+G7*standards!$B$27+standards!$B$28)+(A7^3*standards!$C$25+standards!$C$26*A7^2+standards!$C$27*A7+standards!$C$28)))*standards!$R$27+standards!$R$26</f>
        <v>-27.819121961378656</v>
      </c>
      <c r="W7" s="9">
        <f>(H7-((J7^3*standards!$B$31+J7^2*standards!$B$32+J7*standards!$B$33+standards!$B$34)+(A7^3*standards!$C$31+standards!$C$32*A7^2+standards!$C$33*A7+standards!$C$34)))*standards!$S$27+standards!$S$26</f>
        <v>6.8553127430131724</v>
      </c>
    </row>
    <row r="8" spans="1:23" x14ac:dyDescent="0.2">
      <c r="A8" s="1">
        <v>49</v>
      </c>
      <c r="B8" s="1" t="s">
        <v>67</v>
      </c>
      <c r="D8" s="1">
        <v>1.3440000000000001</v>
      </c>
      <c r="E8" s="1">
        <v>-32.683</v>
      </c>
      <c r="F8" s="1">
        <v>294.197</v>
      </c>
      <c r="G8" s="1">
        <v>8462</v>
      </c>
      <c r="H8" s="1">
        <v>3.3</v>
      </c>
      <c r="I8" s="1">
        <v>10.347</v>
      </c>
      <c r="J8" s="1">
        <v>393</v>
      </c>
      <c r="K8" s="2"/>
      <c r="L8" s="28">
        <f t="shared" si="0"/>
        <v>-31.963148618032001</v>
      </c>
      <c r="M8" s="28">
        <f t="shared" si="1"/>
        <v>3.3</v>
      </c>
      <c r="N8" s="3">
        <v>-27.87</v>
      </c>
      <c r="O8" s="3">
        <v>5.15</v>
      </c>
      <c r="P8" s="22">
        <v>5.9</v>
      </c>
      <c r="Q8" s="3">
        <v>0.48</v>
      </c>
      <c r="R8" s="20">
        <f t="shared" si="2"/>
        <v>2.6953367981318643E-2</v>
      </c>
      <c r="S8" s="20">
        <f t="shared" si="3"/>
        <v>6.2348506813569154E-2</v>
      </c>
      <c r="T8" s="12">
        <f>((F8*standards!$R$31+standards!$R$30)*F8)/D8</f>
        <v>5.7386521630516185</v>
      </c>
      <c r="U8" s="12">
        <f>((I8*standards!$S$31+standards!$S$30)*I8)/D8</f>
        <v>0.48267689872900149</v>
      </c>
      <c r="V8" s="9">
        <f>(E8-((G8^3*standards!$B$25+G8^2*standards!$B$26+G8*standards!$B$27+standards!$B$28)+(A8^3*standards!$C$25+standards!$C$26*A8^2+standards!$C$27*A8+standards!$C$28)))*standards!$R$27+standards!$R$26</f>
        <v>-28.126033689198476</v>
      </c>
      <c r="W8" s="9">
        <f>(H8-((J8^3*standards!$B$31+J8^2*standards!$B$32+J8*standards!$B$33+standards!$B$34)+(A8^3*standards!$C$31+standards!$C$32*A8^2+standards!$C$33*A8+standards!$C$34)))*standards!$S$27+standards!$S$26</f>
        <v>6.0750157554940714</v>
      </c>
    </row>
    <row r="9" spans="1:23" x14ac:dyDescent="0.2">
      <c r="A9" s="1"/>
      <c r="B9" s="1"/>
      <c r="D9" s="1"/>
      <c r="E9" s="1"/>
      <c r="F9" s="1"/>
      <c r="G9" s="1"/>
      <c r="H9" s="1"/>
      <c r="I9" s="1"/>
      <c r="J9" s="1"/>
      <c r="K9" s="2"/>
      <c r="L9" s="28"/>
      <c r="M9" s="28"/>
      <c r="N9" s="3"/>
      <c r="O9" s="3"/>
      <c r="P9" s="22"/>
      <c r="Q9" s="3"/>
      <c r="R9" s="20"/>
      <c r="S9" s="20"/>
      <c r="T9" s="12"/>
      <c r="U9" s="12"/>
      <c r="V9" s="9"/>
      <c r="W9" s="9"/>
    </row>
    <row r="10" spans="1:23" x14ac:dyDescent="0.2">
      <c r="A10" s="1"/>
      <c r="B10" s="1"/>
      <c r="D10" s="1"/>
      <c r="E10" s="1"/>
      <c r="F10" s="1"/>
      <c r="G10" s="1"/>
      <c r="H10" s="1"/>
      <c r="I10" s="1"/>
      <c r="J10" s="1"/>
      <c r="K10" s="2"/>
      <c r="L10" s="28"/>
      <c r="M10" s="28"/>
      <c r="N10" s="3"/>
      <c r="O10" s="3"/>
      <c r="P10" s="22"/>
      <c r="Q10" s="3"/>
      <c r="R10" s="20"/>
      <c r="S10" s="20"/>
      <c r="T10" s="12"/>
      <c r="U10" s="12"/>
      <c r="V10" s="9"/>
      <c r="W10" s="9"/>
    </row>
    <row r="11" spans="1:23" x14ac:dyDescent="0.2">
      <c r="A11" s="1"/>
      <c r="B11" s="1"/>
      <c r="C11" s="1"/>
      <c r="D11" s="1"/>
      <c r="E11" s="13"/>
      <c r="F11" s="1"/>
      <c r="G11" s="1"/>
      <c r="H11" s="1"/>
      <c r="I11" s="1"/>
      <c r="J11" s="1"/>
      <c r="K11" s="2"/>
      <c r="L11" s="28"/>
      <c r="M11" s="28"/>
      <c r="N11" s="3"/>
      <c r="O11" s="3"/>
      <c r="P11" s="22"/>
      <c r="Q11" s="3"/>
      <c r="R11" s="20"/>
      <c r="S11" s="20"/>
      <c r="T11" s="12"/>
      <c r="U11" s="12"/>
      <c r="V11" s="9"/>
      <c r="W11" s="9"/>
    </row>
    <row r="12" spans="1:23" x14ac:dyDescent="0.2">
      <c r="A12" s="1">
        <v>5</v>
      </c>
      <c r="B12" s="1" t="s">
        <v>65</v>
      </c>
      <c r="D12" s="1">
        <v>0.24199999999999999</v>
      </c>
      <c r="E12" s="1">
        <v>-15.311</v>
      </c>
      <c r="F12" s="1">
        <v>394.435</v>
      </c>
      <c r="G12" s="1">
        <v>11544</v>
      </c>
      <c r="H12" s="1">
        <v>11.478999999999999</v>
      </c>
      <c r="I12" s="1">
        <v>58.901000000000003</v>
      </c>
      <c r="J12" s="1">
        <v>2460</v>
      </c>
      <c r="K12" s="2"/>
      <c r="L12" s="28">
        <f t="shared" si="0"/>
        <v>-15.325958996608</v>
      </c>
      <c r="M12" s="28">
        <f t="shared" si="1"/>
        <v>11.478999999999999</v>
      </c>
      <c r="N12" s="3">
        <v>-11.65</v>
      </c>
      <c r="O12" s="3">
        <v>11.79</v>
      </c>
      <c r="P12" s="22"/>
      <c r="Q12" s="3"/>
      <c r="R12" s="20"/>
      <c r="S12" s="20"/>
      <c r="T12" s="12">
        <f>((F12*standards!$R$31+standards!$R$30)*F12)/D12</f>
        <v>43.139099538737227</v>
      </c>
      <c r="U12" s="12">
        <f>((I12*standards!$S$31+standards!$S$30)*I12)/D12</f>
        <v>15.11921310631514</v>
      </c>
      <c r="V12" s="9">
        <f>(E12-((G12^3*standards!$B$25+G12^2*standards!$B$26+G12*standards!$B$27+standards!$B$28)+(A12^3*standards!$C$25+standards!$C$26*A12^2+standards!$C$27*A12+standards!$C$28)))*standards!$R$27+standards!$R$26</f>
        <v>-11.374843656462691</v>
      </c>
      <c r="W12" s="9">
        <f>(H12-((J12^3*standards!$B$31+J12^2*standards!$B$32+J12*standards!$B$33+standards!$B$34)+(A12^3*standards!$C$31+standards!$C$32*A12^2+standards!$C$33*A12+standards!$C$34)))*standards!$S$27+standards!$S$26</f>
        <v>11.213541569438297</v>
      </c>
    </row>
    <row r="13" spans="1:23" x14ac:dyDescent="0.2">
      <c r="A13" s="1">
        <v>23</v>
      </c>
      <c r="B13" s="1" t="s">
        <v>65</v>
      </c>
      <c r="D13" s="1">
        <v>0.23</v>
      </c>
      <c r="E13" s="1">
        <v>-15.997</v>
      </c>
      <c r="F13" s="1">
        <v>375.16199999999998</v>
      </c>
      <c r="G13" s="1">
        <v>11076</v>
      </c>
      <c r="H13" s="1">
        <v>11.185</v>
      </c>
      <c r="I13" s="1">
        <v>55.713000000000001</v>
      </c>
      <c r="J13" s="1">
        <v>2321</v>
      </c>
      <c r="K13" s="2"/>
      <c r="L13" s="28">
        <f t="shared" si="0"/>
        <v>-15.704317120128</v>
      </c>
      <c r="M13" s="28">
        <f t="shared" si="1"/>
        <v>11.185</v>
      </c>
      <c r="N13" s="3">
        <v>-11.65</v>
      </c>
      <c r="O13" s="3">
        <v>11.79</v>
      </c>
      <c r="P13" s="22"/>
      <c r="Q13" s="3"/>
      <c r="R13" s="20"/>
      <c r="S13" s="20"/>
      <c r="T13" s="12">
        <f>((F13*standards!$R$31+standards!$R$30)*F13)/D13</f>
        <v>43.093229411740097</v>
      </c>
      <c r="U13" s="12">
        <f>((I13*standards!$S$31+standards!$S$30)*I13)/D13</f>
        <v>15.056209580538255</v>
      </c>
      <c r="V13" s="9">
        <f>(E13-((G13^3*standards!$B$25+G13^2*standards!$B$26+G13*standards!$B$27+standards!$B$28)+(A13^3*standards!$C$25+standards!$C$26*A13^2+standards!$C$27*A13+standards!$C$28)))*standards!$R$27+standards!$R$26</f>
        <v>-11.755794344152838</v>
      </c>
      <c r="W13" s="9">
        <f>(H13-((J13^3*standards!$B$31+J13^2*standards!$B$32+J13*standards!$B$33+standards!$B$34)+(A13^3*standards!$C$31+standards!$C$32*A13^2+standards!$C$33*A13+standards!$C$34)))*standards!$S$27+standards!$S$26</f>
        <v>11.028833586885465</v>
      </c>
    </row>
    <row r="14" spans="1:23" x14ac:dyDescent="0.2">
      <c r="A14" s="1">
        <v>47</v>
      </c>
      <c r="B14" s="1" t="s">
        <v>65</v>
      </c>
      <c r="D14" s="1">
        <v>0.186</v>
      </c>
      <c r="E14" s="1">
        <v>-16.536000000000001</v>
      </c>
      <c r="F14" s="1">
        <v>342.137</v>
      </c>
      <c r="G14" s="1">
        <v>10128</v>
      </c>
      <c r="H14" s="1">
        <v>11.055</v>
      </c>
      <c r="I14" s="1">
        <v>51.167000000000002</v>
      </c>
      <c r="J14" s="1">
        <v>2121</v>
      </c>
      <c r="K14" s="15"/>
      <c r="L14" s="28">
        <f t="shared" ref="L14:L18" si="4">E14-((G14^3*$B$25+G14^2*$B$26+G14*$B$27+$B$28)+(A14^3*$C$25+$C$26*A14^2+$C$27*A14+$C$28))</f>
        <v>-15.836015620352001</v>
      </c>
      <c r="M14" s="28">
        <f t="shared" ref="M14:M20" si="5">H14-((J14^3*$B$31+J14^2*$B$32+J14*$B$33+$B$34)+(A14^3*$C$31+$C$32*A14^2+$C$33*A14+$C$34))</f>
        <v>11.055</v>
      </c>
      <c r="N14" s="3">
        <v>-11.65</v>
      </c>
      <c r="O14" s="3">
        <v>11.79</v>
      </c>
      <c r="P14" s="22"/>
      <c r="Q14" s="3"/>
      <c r="R14" s="20"/>
      <c r="S14" s="20"/>
      <c r="T14" s="12">
        <f>((F14*standards!$R$31+standards!$R$30)*F14)/D14</f>
        <v>48.444333946571156</v>
      </c>
      <c r="U14" s="12">
        <f>((I14*standards!$S$31+standards!$S$30)*I14)/D14</f>
        <v>17.113610227653862</v>
      </c>
      <c r="V14" s="9">
        <f>(E14-((G14^3*standards!$B$25+G14^2*standards!$B$26+G14*standards!$B$27+standards!$B$28)+(A14^3*standards!$C$25+standards!$C$26*A14^2+standards!$C$27*A14+standards!$C$28)))*standards!$R$27+standards!$R$26</f>
        <v>-11.888395261403771</v>
      </c>
      <c r="W14" s="9">
        <f>(H14-((J14^3*standards!$B$31+J14^2*standards!$B$32+J14*standards!$B$33+standards!$B$34)+(A14^3*standards!$C$31+standards!$C$32*A14^2+standards!$C$33*A14+standards!$C$34)))*standards!$S$27+standards!$S$26</f>
        <v>10.947159989158024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5"/>
      <c r="L15" s="28"/>
      <c r="M15" s="28"/>
      <c r="N15" s="3"/>
      <c r="O15" s="3"/>
      <c r="P15" s="22"/>
      <c r="Q15" s="3"/>
      <c r="R15" s="20"/>
      <c r="S15" s="20"/>
      <c r="T15" s="12"/>
      <c r="U15" s="12"/>
      <c r="V15" s="9"/>
      <c r="W15" s="9"/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8"/>
      <c r="M16" s="28"/>
      <c r="N16" s="3"/>
      <c r="O16" s="3"/>
      <c r="P16" s="22"/>
      <c r="Q16" s="3"/>
      <c r="R16" s="20"/>
      <c r="S16" s="20"/>
      <c r="T16" s="12"/>
      <c r="U16" s="12"/>
      <c r="V16" s="9"/>
      <c r="W16" s="9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8"/>
      <c r="M17" s="28"/>
      <c r="N17" s="3"/>
      <c r="O17" s="3"/>
      <c r="P17" s="22"/>
      <c r="Q17" s="3"/>
      <c r="R17" s="20"/>
      <c r="S17" s="20"/>
      <c r="T17" s="12"/>
      <c r="U17" s="12"/>
      <c r="V17" s="9"/>
      <c r="W17" s="9"/>
    </row>
    <row r="18" spans="1:23" x14ac:dyDescent="0.2">
      <c r="A18" s="1">
        <v>6</v>
      </c>
      <c r="B18" s="1" t="s">
        <v>66</v>
      </c>
      <c r="D18" s="1">
        <v>7.3639999999999999</v>
      </c>
      <c r="E18" s="1">
        <v>-29.901</v>
      </c>
      <c r="F18" s="1">
        <v>292.40899999999999</v>
      </c>
      <c r="G18" s="1">
        <v>8429</v>
      </c>
      <c r="H18" s="1">
        <v>6.3319999999999999</v>
      </c>
      <c r="I18" s="1">
        <v>12.404999999999999</v>
      </c>
      <c r="J18" s="1">
        <v>489</v>
      </c>
      <c r="K18" s="2"/>
      <c r="L18" s="28">
        <f t="shared" si="4"/>
        <v>-29.938108128547999</v>
      </c>
      <c r="M18" s="28">
        <f t="shared" si="5"/>
        <v>6.3319999999999999</v>
      </c>
      <c r="N18" s="3">
        <v>-26.54</v>
      </c>
      <c r="O18" s="3">
        <v>7.46</v>
      </c>
      <c r="P18" s="22">
        <v>1.04</v>
      </c>
      <c r="Q18" s="3">
        <v>0.12</v>
      </c>
      <c r="R18" s="20">
        <f>(P18*D18)/F18</f>
        <v>2.6191259502956477E-2</v>
      </c>
      <c r="S18" s="20">
        <f>(Q18*D18)/I18</f>
        <v>7.123579201934703E-2</v>
      </c>
      <c r="T18" s="12">
        <f>((F18*standards!$R$31+standards!$R$30)*F18)/D18</f>
        <v>1.0408153251050898</v>
      </c>
      <c r="U18" s="12">
        <f>((I18*standards!$S$31+standards!$S$30)*I18)/D18</f>
        <v>0.10557344841850511</v>
      </c>
      <c r="V18" s="9">
        <f>(E18-((G18^3*standards!$B$25+G18^2*standards!$B$26+G18*standards!$B$27+standards!$B$28)+(A18^3*standards!$C$25+standards!$C$26*A18^2+standards!$C$27*A18+standards!$C$28)))*standards!$R$27+standards!$R$26</f>
        <v>-26.08711733161552</v>
      </c>
      <c r="W18" s="9">
        <f>(H18-((J18^3*standards!$B$31+J18^2*standards!$B$32+J18*standards!$B$33+standards!$B$34)+(A18^3*standards!$C$31+standards!$C$32*A18^2+standards!$C$33*A18+standards!$C$34)))*standards!$S$27+standards!$S$26</f>
        <v>7.9798953578756446</v>
      </c>
    </row>
    <row r="19" spans="1:23" x14ac:dyDescent="0.2">
      <c r="A19" s="1">
        <v>24</v>
      </c>
      <c r="B19" s="1" t="s">
        <v>66</v>
      </c>
      <c r="D19" s="1">
        <v>0.78200000000000003</v>
      </c>
      <c r="E19" s="1">
        <v>-30.042000000000002</v>
      </c>
      <c r="F19" s="1">
        <v>33.981000000000002</v>
      </c>
      <c r="G19" s="1">
        <v>992</v>
      </c>
      <c r="H19" s="1">
        <v>2.883</v>
      </c>
      <c r="I19" s="1">
        <v>1.621</v>
      </c>
      <c r="J19" s="1">
        <v>57</v>
      </c>
      <c r="K19" s="15"/>
      <c r="L19" s="28"/>
      <c r="M19" s="28">
        <f t="shared" si="5"/>
        <v>2.883</v>
      </c>
      <c r="N19" s="3">
        <v>-26.54</v>
      </c>
      <c r="O19" s="3">
        <v>7.46</v>
      </c>
      <c r="P19" s="22">
        <v>1.04</v>
      </c>
      <c r="Q19" s="3">
        <v>0.12</v>
      </c>
      <c r="R19" s="20">
        <f t="shared" ref="R19:R20" si="6">(P19*D19)/F19</f>
        <v>2.3933374532827168E-2</v>
      </c>
      <c r="S19" s="20"/>
      <c r="T19" s="12">
        <f>((F19*standards!$R$31+standards!$R$30)*F19)/D19</f>
        <v>1.1108741957197263</v>
      </c>
      <c r="U19" s="12">
        <f>((I19*standards!$S$31+standards!$S$30)*I19)/D19</f>
        <v>0.13017753172206345</v>
      </c>
      <c r="V19" s="9">
        <f>(E19-((G19^3*standards!$B$25+G19^2*standards!$B$26+G19*standards!$B$27+standards!$B$28)+(A19^3*standards!$C$25+standards!$C$26*A19^2+standards!$C$27*A19+standards!$C$28)))*standards!$R$27+standards!$R$26</f>
        <v>-25.802441948955643</v>
      </c>
      <c r="W19" s="9">
        <f>(H19-((J19^3*standards!$B$31+J19^2*standards!$B$32+J19*standards!$B$33+standards!$B$34)+(A19^3*standards!$C$31+standards!$C$32*A19^2+standards!$C$33*A19+standards!$C$34)))*standards!$S$27+standards!$S$26</f>
        <v>5.8130319843221994</v>
      </c>
    </row>
    <row r="20" spans="1:23" x14ac:dyDescent="0.2">
      <c r="A20" s="1">
        <v>48</v>
      </c>
      <c r="B20" s="1" t="s">
        <v>66</v>
      </c>
      <c r="D20" s="1">
        <v>0.69399999999999995</v>
      </c>
      <c r="E20" s="1">
        <v>-30.117999999999999</v>
      </c>
      <c r="F20" s="1">
        <v>28.664999999999999</v>
      </c>
      <c r="G20" s="1">
        <v>830</v>
      </c>
      <c r="H20" s="1"/>
      <c r="I20" s="1"/>
      <c r="J20" s="1"/>
      <c r="K20" s="15"/>
      <c r="L20" s="28"/>
      <c r="M20" s="28">
        <f t="shared" si="5"/>
        <v>0</v>
      </c>
      <c r="N20" s="3">
        <v>-26.54</v>
      </c>
      <c r="O20" s="3">
        <v>7.46</v>
      </c>
      <c r="P20" s="22">
        <v>1.04</v>
      </c>
      <c r="Q20" s="3">
        <v>0.12</v>
      </c>
      <c r="R20" s="20">
        <f t="shared" si="6"/>
        <v>2.5179138321995465E-2</v>
      </c>
      <c r="S20" s="20"/>
      <c r="T20" s="12">
        <f>((F20*standards!$R$31+standards!$R$30)*F20)/D20</f>
        <v>1.055362490574494</v>
      </c>
      <c r="U20" s="12">
        <f>((I20*standards!$S$31+standards!$S$30)*I20)/D20</f>
        <v>0</v>
      </c>
      <c r="V20" s="9">
        <f>(E20-((G20^3*standards!$B$25+G20^2*standards!$B$26+G20*standards!$B$27+standards!$B$28)+(A20^3*standards!$C$25+standards!$C$26*A20^2+standards!$C$27*A20+standards!$C$28)))*standards!$R$27+standards!$R$26</f>
        <v>-25.448135051204222</v>
      </c>
      <c r="W20" s="9">
        <f>(H20-((J20^3*standards!$B$31+J20^2*standards!$B$32+J20*standards!$B$33+standards!$B$34)+(A20^3*standards!$C$31+standards!$C$32*A20^2+standards!$C$33*A20+standards!$C$34)))*standards!$S$27+standards!$S$26</f>
        <v>4.0017628901051552</v>
      </c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5"/>
      <c r="M21" s="15"/>
      <c r="N21" s="3"/>
      <c r="O21" s="3"/>
      <c r="P21" s="22"/>
      <c r="Q21" s="3"/>
      <c r="R21" s="4"/>
      <c r="S21" s="4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15"/>
      <c r="M22" s="15"/>
      <c r="N22" s="3"/>
      <c r="O22" s="3"/>
      <c r="P22" s="22"/>
      <c r="Q22" s="3"/>
      <c r="R22" s="4"/>
      <c r="S22" s="4"/>
    </row>
    <row r="23" spans="1:23" ht="27.75" x14ac:dyDescent="0.2">
      <c r="B23" s="10" t="s">
        <v>34</v>
      </c>
      <c r="C23" s="10" t="s">
        <v>35</v>
      </c>
      <c r="F23" t="s">
        <v>14</v>
      </c>
      <c r="H23" t="s">
        <v>15</v>
      </c>
      <c r="J23" s="25" t="s">
        <v>51</v>
      </c>
      <c r="L23" t="s">
        <v>26</v>
      </c>
    </row>
    <row r="24" spans="1:23" x14ac:dyDescent="0.2">
      <c r="A24" s="6" t="s">
        <v>37</v>
      </c>
      <c r="E24" t="s">
        <v>18</v>
      </c>
      <c r="F24" t="s">
        <v>19</v>
      </c>
      <c r="G24" t="s">
        <v>54</v>
      </c>
      <c r="H24" t="s">
        <v>19</v>
      </c>
      <c r="I24" t="s">
        <v>54</v>
      </c>
      <c r="J24" t="s">
        <v>19</v>
      </c>
      <c r="K24" t="s">
        <v>54</v>
      </c>
      <c r="L24" t="s">
        <v>19</v>
      </c>
      <c r="M24" t="s">
        <v>54</v>
      </c>
      <c r="N24" t="s">
        <v>49</v>
      </c>
      <c r="O24" t="s">
        <v>50</v>
      </c>
      <c r="R24" t="s">
        <v>56</v>
      </c>
    </row>
    <row r="25" spans="1:23" x14ac:dyDescent="0.2">
      <c r="A25" s="17" t="s">
        <v>48</v>
      </c>
      <c r="B25" s="18"/>
      <c r="C25" s="19"/>
      <c r="E25" t="str">
        <f>B3</f>
        <v>HOC</v>
      </c>
      <c r="F25" s="31">
        <f>AVERAGE(E3:E11)</f>
        <v>-32.265833333333333</v>
      </c>
      <c r="G25" s="31">
        <f>STDEV(E3:E11)</f>
        <v>0.36181288902783237</v>
      </c>
      <c r="H25" s="31">
        <f>AVERAGE(L3:L11)</f>
        <v>-31.772396888127329</v>
      </c>
      <c r="I25" s="31">
        <f>STDEV(L3:L11)</f>
        <v>0.16854505475700565</v>
      </c>
      <c r="J25" s="31">
        <f>AVERAGE(V3:V11)</f>
        <v>-27.933974901060875</v>
      </c>
      <c r="K25" s="31">
        <f>STDEV(V3:V11)</f>
        <v>0.1696999496643832</v>
      </c>
      <c r="L25" s="31">
        <f>AVERAGE(T3:T10)</f>
        <v>5.8278341400542475</v>
      </c>
      <c r="M25" s="31">
        <f>STDEV(T3:T10)</f>
        <v>0.1768219453212248</v>
      </c>
      <c r="N25" s="6">
        <f>P3</f>
        <v>5.9</v>
      </c>
      <c r="O25" s="32">
        <f>L25*0.05</f>
        <v>0.29139170700271239</v>
      </c>
      <c r="R25" t="s">
        <v>55</v>
      </c>
      <c r="S25" t="s">
        <v>20</v>
      </c>
    </row>
    <row r="26" spans="1:23" x14ac:dyDescent="0.2">
      <c r="A26" s="17" t="s">
        <v>45</v>
      </c>
      <c r="B26" s="18">
        <v>-2.5719999999999998E-9</v>
      </c>
      <c r="C26" s="19"/>
      <c r="E26" t="str">
        <f>B12</f>
        <v>Taipan</v>
      </c>
      <c r="F26" s="31">
        <f>AVERAGE(E12:E17)</f>
        <v>-15.948</v>
      </c>
      <c r="G26" s="31">
        <f>STDEV(E12:E17)</f>
        <v>0.61396824022094243</v>
      </c>
      <c r="H26" s="31">
        <f>AVERAGE(L12:L17)</f>
        <v>-15.622097245695999</v>
      </c>
      <c r="I26" s="31">
        <f>STDEV(L12:L17)</f>
        <v>0.26478202482418001</v>
      </c>
      <c r="J26" s="31">
        <f>AVERAGE(V12:V17)</f>
        <v>-11.673011087339766</v>
      </c>
      <c r="K26" s="31">
        <f>STDEV(V12:V17)</f>
        <v>0.26659634926387116</v>
      </c>
      <c r="L26" s="31">
        <f>AVERAGE(T12:T17)</f>
        <v>44.892220965682831</v>
      </c>
      <c r="M26" s="31">
        <f>STDEV(T12:T17)</f>
        <v>3.0763055746925096</v>
      </c>
      <c r="N26" s="6">
        <f>P12</f>
        <v>0</v>
      </c>
      <c r="O26" s="32">
        <f t="shared" ref="O26:O33" si="7">L26*0.05</f>
        <v>2.2446110482841415</v>
      </c>
      <c r="Q26" t="s">
        <v>21</v>
      </c>
      <c r="R26" s="5">
        <f>INTERCEPT(N3:N22,L3:L22)</f>
        <v>4.0561310110078317</v>
      </c>
      <c r="S26" s="5">
        <f>INTERCEPT(O3:O22,M3:M22)</f>
        <v>4.0017628901051552</v>
      </c>
    </row>
    <row r="27" spans="1:23" x14ac:dyDescent="0.2">
      <c r="A27" s="17" t="s">
        <v>46</v>
      </c>
      <c r="B27" s="18">
        <v>3.8609999999999998E-5</v>
      </c>
      <c r="C27" s="19">
        <v>-1.7600000000000001E-2</v>
      </c>
      <c r="E27" t="str">
        <f>B18</f>
        <v>LOC</v>
      </c>
      <c r="F27" s="31">
        <f>AVERAGE(E18:E22)</f>
        <v>-30.02033333333333</v>
      </c>
      <c r="G27" s="31">
        <f>STDEV(E18:E22)</f>
        <v>0.11011055050871942</v>
      </c>
      <c r="H27" s="31">
        <f>AVERAGE(L18:L22)</f>
        <v>-29.938108128547999</v>
      </c>
      <c r="I27" s="31" t="e">
        <f>STDEV(L18:L22)</f>
        <v>#DIV/0!</v>
      </c>
      <c r="J27" s="31">
        <f>AVERAGE(V18:V22)</f>
        <v>-25.779231443925127</v>
      </c>
      <c r="K27" s="31">
        <f>STDEV(V18:V22)</f>
        <v>0.32012284255850032</v>
      </c>
      <c r="L27" s="31">
        <f>AVERAGE(T18:T22)</f>
        <v>1.0690173371331035</v>
      </c>
      <c r="M27" s="31">
        <f>STDEV(T18:T22)</f>
        <v>3.6971644051272193E-2</v>
      </c>
      <c r="N27" s="6">
        <f>P18</f>
        <v>1.04</v>
      </c>
      <c r="O27" s="32">
        <f t="shared" si="7"/>
        <v>5.3450866856655177E-2</v>
      </c>
      <c r="Q27" t="s">
        <v>22</v>
      </c>
      <c r="R27" s="5">
        <f>SLOPE(N3:N22,L3:L22)</f>
        <v>1.0068521435354072</v>
      </c>
      <c r="S27" s="5">
        <f>SLOPE(O3:O22,M3:M22)</f>
        <v>0.62825844405724729</v>
      </c>
    </row>
    <row r="28" spans="1:23" x14ac:dyDescent="0.2">
      <c r="A28" s="17" t="s">
        <v>47</v>
      </c>
      <c r="B28" s="18"/>
      <c r="C28" s="19"/>
      <c r="M28" s="12"/>
      <c r="N28" s="6"/>
      <c r="O28" s="32"/>
      <c r="R28" t="s">
        <v>57</v>
      </c>
    </row>
    <row r="29" spans="1:23" ht="27.75" x14ac:dyDescent="0.2">
      <c r="B29" s="19"/>
      <c r="C29" s="19"/>
      <c r="F29" t="s">
        <v>14</v>
      </c>
      <c r="H29" t="s">
        <v>15</v>
      </c>
      <c r="J29" s="25" t="s">
        <v>52</v>
      </c>
      <c r="L29" t="s">
        <v>27</v>
      </c>
      <c r="M29" s="12"/>
      <c r="N29" s="6"/>
      <c r="O29" s="32"/>
      <c r="R29" t="s">
        <v>55</v>
      </c>
      <c r="S29" t="s">
        <v>20</v>
      </c>
    </row>
    <row r="30" spans="1:23" x14ac:dyDescent="0.2">
      <c r="A30" s="6" t="s">
        <v>36</v>
      </c>
      <c r="B30" s="19"/>
      <c r="C30" s="19"/>
      <c r="E30" t="s">
        <v>23</v>
      </c>
      <c r="F30" t="s">
        <v>19</v>
      </c>
      <c r="G30" t="s">
        <v>54</v>
      </c>
      <c r="H30" t="s">
        <v>19</v>
      </c>
      <c r="I30" t="s">
        <v>54</v>
      </c>
      <c r="J30" t="s">
        <v>19</v>
      </c>
      <c r="K30" t="s">
        <v>54</v>
      </c>
      <c r="L30" t="s">
        <v>19</v>
      </c>
      <c r="M30" t="s">
        <v>54</v>
      </c>
      <c r="N30" s="6"/>
      <c r="O30" s="32"/>
      <c r="Q30" t="s">
        <v>21</v>
      </c>
      <c r="R30" s="5">
        <f>INTERCEPT(R3:R22,F3:F22)</f>
        <v>2.5479265091022298E-2</v>
      </c>
      <c r="S30" s="5">
        <f>INTERCEPT(S3:S22,I3:I22)</f>
        <v>6.2819301323501345E-2</v>
      </c>
    </row>
    <row r="31" spans="1:23" x14ac:dyDescent="0.2">
      <c r="A31" s="17" t="s">
        <v>44</v>
      </c>
      <c r="B31" s="18"/>
      <c r="C31" s="19"/>
      <c r="E31" t="str">
        <f>B3</f>
        <v>HOC</v>
      </c>
      <c r="F31" s="31">
        <f>AVERAGE(H3:H11)</f>
        <v>3.6225000000000001</v>
      </c>
      <c r="G31" s="31">
        <f>STDEV(H3:H11)</f>
        <v>0.66654534729454251</v>
      </c>
      <c r="H31" s="31">
        <f>AVERAGE(M3:M11)</f>
        <v>3.6225000000000001</v>
      </c>
      <c r="I31" s="31">
        <f>STDEV(M3:M11)</f>
        <v>0.66654534729454251</v>
      </c>
      <c r="J31" s="31">
        <f>AVERAGE(W3:W11)</f>
        <v>6.2776291037025338</v>
      </c>
      <c r="K31" s="31">
        <f>STDEV(V9:V17)</f>
        <v>0.26659634926387116</v>
      </c>
      <c r="L31" s="31">
        <f>AVERAGE(U3:U11)</f>
        <v>0.49144888648620899</v>
      </c>
      <c r="M31" s="31">
        <f>STDEV(U3:U11)</f>
        <v>1.2554106733035657E-2</v>
      </c>
      <c r="N31" s="6">
        <f>Q3</f>
        <v>0.48</v>
      </c>
      <c r="O31" s="32">
        <f t="shared" si="7"/>
        <v>2.4572444324310452E-2</v>
      </c>
      <c r="Q31" t="s">
        <v>22</v>
      </c>
      <c r="R31" s="5">
        <f>SLOPE(R3:R22,F3:F22)</f>
        <v>2.5051468340387939E-6</v>
      </c>
      <c r="S31" s="5">
        <f>SLOPE(S3:S22,I3:I22)</f>
        <v>-1.189570369089746E-5</v>
      </c>
    </row>
    <row r="32" spans="1:23" x14ac:dyDescent="0.2">
      <c r="A32" s="17" t="s">
        <v>45</v>
      </c>
      <c r="B32" s="18"/>
      <c r="C32" s="19"/>
      <c r="E32" t="str">
        <f>B12</f>
        <v>Taipan</v>
      </c>
      <c r="F32" s="31">
        <f>AVERAGE(H12:H17)</f>
        <v>11.239666666666666</v>
      </c>
      <c r="G32" s="31">
        <f>STDEV(H12:H17)</f>
        <v>0.21722185279877615</v>
      </c>
      <c r="H32" s="31">
        <f>AVERAGE(M12:M17)</f>
        <v>11.239666666666666</v>
      </c>
      <c r="I32" s="31">
        <f>STDEV(M12:M17)</f>
        <v>0.21722185279877615</v>
      </c>
      <c r="J32" s="31">
        <f>AVERAGE(W12:W17)</f>
        <v>11.063178381827262</v>
      </c>
      <c r="K32" s="31">
        <f>STDEV(V18:V23)</f>
        <v>0.32012284255850032</v>
      </c>
      <c r="L32" s="31">
        <f>AVERAGE(U12:U16)</f>
        <v>15.763010971502419</v>
      </c>
      <c r="M32" s="31">
        <f>STDEV(U12:U17)</f>
        <v>1.1700774009024799</v>
      </c>
      <c r="N32" s="6">
        <f>Q12</f>
        <v>0</v>
      </c>
      <c r="O32" s="32">
        <f t="shared" si="7"/>
        <v>0.78815054857512101</v>
      </c>
    </row>
    <row r="33" spans="1:15" x14ac:dyDescent="0.2">
      <c r="A33" s="17" t="s">
        <v>46</v>
      </c>
      <c r="B33" s="18"/>
      <c r="C33" s="19"/>
      <c r="E33" t="str">
        <f>B18</f>
        <v>LOC</v>
      </c>
      <c r="F33" s="31">
        <f>AVERAGE(H18:H22)</f>
        <v>4.6074999999999999</v>
      </c>
      <c r="G33" s="31">
        <f>STDEV(H18:H22)</f>
        <v>2.4388112883124022</v>
      </c>
      <c r="H33" s="31">
        <f>AVERAGE(M18:M22)</f>
        <v>3.0716666666666668</v>
      </c>
      <c r="I33" s="31">
        <f>STDEV(M18:M22)</f>
        <v>3.1702132946117887</v>
      </c>
      <c r="J33" s="31">
        <f>AVERAGE(W18:W22)</f>
        <v>5.9315634107676658</v>
      </c>
      <c r="K33" s="31">
        <f>STDEV(W18:W22)</f>
        <v>1.9917132718024051</v>
      </c>
      <c r="L33" s="31">
        <f>AVERAGE(U18:U22)</f>
        <v>7.8583660046856185E-2</v>
      </c>
      <c r="M33" s="31">
        <f>STDEV(U18:U22)</f>
        <v>6.915839752750208E-2</v>
      </c>
      <c r="N33" s="6">
        <f>Q18</f>
        <v>0.12</v>
      </c>
      <c r="O33" s="32">
        <f t="shared" si="7"/>
        <v>3.9291830023428093E-3</v>
      </c>
    </row>
    <row r="34" spans="1:15" x14ac:dyDescent="0.2">
      <c r="A34" s="17" t="s">
        <v>47</v>
      </c>
      <c r="B34" s="19"/>
      <c r="C34" s="19"/>
    </row>
    <row r="38" spans="1:15" x14ac:dyDescent="0.2">
      <c r="A38" s="16" t="s">
        <v>13</v>
      </c>
      <c r="B38" s="16"/>
      <c r="C38" s="16"/>
      <c r="D38" s="16"/>
      <c r="E38" s="14"/>
      <c r="F38" s="16"/>
    </row>
    <row r="39" spans="1:15" x14ac:dyDescent="0.2">
      <c r="A39" s="16" t="s">
        <v>0</v>
      </c>
      <c r="B39" s="16" t="s">
        <v>42</v>
      </c>
      <c r="C39" s="16" t="s">
        <v>16</v>
      </c>
      <c r="D39" s="16" t="s">
        <v>17</v>
      </c>
      <c r="E39" s="14" t="s">
        <v>43</v>
      </c>
      <c r="F39" s="16"/>
    </row>
    <row r="40" spans="1:15" x14ac:dyDescent="0.2">
      <c r="A40" s="2">
        <f t="shared" ref="A40:A45" si="8">A3</f>
        <v>7</v>
      </c>
      <c r="B40" s="8">
        <f t="shared" ref="B40:B45" si="9">G3</f>
        <v>8456</v>
      </c>
      <c r="C40" s="2">
        <f t="shared" ref="C40:C45" si="10">E3</f>
        <v>-31.971</v>
      </c>
      <c r="D40" s="2">
        <f t="shared" ref="D40:D45" si="11">C40-$C$51</f>
        <v>0.29483333333333306</v>
      </c>
      <c r="E40" s="15">
        <f t="shared" ref="E40:E45" si="12">C40-(B40^3*$B$25+B40^2*$B$26+B40*$B$27+$B$28)</f>
        <v>-32.113578036607997</v>
      </c>
      <c r="F40" s="2">
        <f t="shared" ref="F40:F45" si="13">E40-$E$51</f>
        <v>0.13401885151933612</v>
      </c>
    </row>
    <row r="41" spans="1:15" x14ac:dyDescent="0.2">
      <c r="A41" s="2">
        <f t="shared" si="8"/>
        <v>25</v>
      </c>
      <c r="B41" s="8">
        <f t="shared" si="9"/>
        <v>3307</v>
      </c>
      <c r="C41" s="2">
        <f t="shared" si="10"/>
        <v>-31.975999999999999</v>
      </c>
      <c r="D41" s="2">
        <f t="shared" si="11"/>
        <v>0.28983333333333405</v>
      </c>
      <c r="E41" s="15">
        <f t="shared" si="12"/>
        <v>-32.075555237571997</v>
      </c>
      <c r="F41" s="2">
        <f t="shared" si="13"/>
        <v>0.17204165055533593</v>
      </c>
    </row>
    <row r="42" spans="1:15" x14ac:dyDescent="0.2">
      <c r="A42" s="2">
        <f t="shared" si="8"/>
        <v>26</v>
      </c>
      <c r="B42" s="8">
        <f t="shared" si="9"/>
        <v>6557</v>
      </c>
      <c r="C42" s="2">
        <f t="shared" si="10"/>
        <v>-32.091999999999999</v>
      </c>
      <c r="D42" s="2">
        <f t="shared" si="11"/>
        <v>0.17383333333333439</v>
      </c>
      <c r="E42" s="15">
        <f t="shared" si="12"/>
        <v>-32.234584561571999</v>
      </c>
      <c r="F42" s="2">
        <f t="shared" si="13"/>
        <v>1.3012326555333686E-2</v>
      </c>
    </row>
    <row r="43" spans="1:15" x14ac:dyDescent="0.2">
      <c r="A43" s="2">
        <f t="shared" si="8"/>
        <v>27</v>
      </c>
      <c r="B43" s="8">
        <f t="shared" si="9"/>
        <v>15484</v>
      </c>
      <c r="C43" s="2">
        <f t="shared" si="10"/>
        <v>-32.103999999999999</v>
      </c>
      <c r="D43" s="2">
        <f t="shared" si="11"/>
        <v>0.16183333333333394</v>
      </c>
      <c r="E43" s="15">
        <f t="shared" si="12"/>
        <v>-32.085189293568</v>
      </c>
      <c r="F43" s="2">
        <f t="shared" si="13"/>
        <v>0.16240759455933329</v>
      </c>
    </row>
    <row r="44" spans="1:15" x14ac:dyDescent="0.2">
      <c r="A44" s="2">
        <f t="shared" si="8"/>
        <v>28</v>
      </c>
      <c r="B44" s="8">
        <f t="shared" si="9"/>
        <v>24727</v>
      </c>
      <c r="C44" s="2">
        <f t="shared" si="10"/>
        <v>-32.768999999999998</v>
      </c>
      <c r="D44" s="2">
        <f t="shared" si="11"/>
        <v>-0.50316666666666521</v>
      </c>
      <c r="E44" s="15">
        <f t="shared" si="12"/>
        <v>-32.151125581411996</v>
      </c>
      <c r="F44" s="2">
        <f t="shared" si="13"/>
        <v>9.647130671533688E-2</v>
      </c>
    </row>
    <row r="45" spans="1:15" x14ac:dyDescent="0.2">
      <c r="A45" s="2">
        <f t="shared" si="8"/>
        <v>49</v>
      </c>
      <c r="B45" s="8">
        <f t="shared" si="9"/>
        <v>8462</v>
      </c>
      <c r="C45" s="2">
        <f t="shared" si="10"/>
        <v>-32.683</v>
      </c>
      <c r="D45" s="2">
        <f t="shared" si="11"/>
        <v>-0.41716666666666669</v>
      </c>
      <c r="E45" s="15">
        <f t="shared" si="12"/>
        <v>-32.825548618032002</v>
      </c>
      <c r="F45" s="2">
        <f t="shared" si="13"/>
        <v>-0.57795172990466881</v>
      </c>
    </row>
    <row r="46" spans="1:15" x14ac:dyDescent="0.2">
      <c r="A46" s="15"/>
      <c r="B46" s="8"/>
      <c r="C46" s="15"/>
      <c r="D46" s="15"/>
      <c r="E46" s="15"/>
      <c r="F46" s="15"/>
    </row>
    <row r="47" spans="1:15" x14ac:dyDescent="0.2">
      <c r="A47" s="15"/>
      <c r="B47" s="8"/>
      <c r="C47" s="15"/>
      <c r="D47" s="15"/>
      <c r="E47" s="15"/>
      <c r="F47" s="15"/>
    </row>
    <row r="48" spans="1:15" x14ac:dyDescent="0.2">
      <c r="A48" s="2"/>
      <c r="B48" s="2"/>
      <c r="C48" s="5"/>
      <c r="D48" s="2"/>
    </row>
    <row r="49" spans="1:6" x14ac:dyDescent="0.2">
      <c r="A49" s="2"/>
      <c r="B49" s="2"/>
      <c r="C49" s="5"/>
      <c r="D49" s="2"/>
    </row>
    <row r="50" spans="1:6" x14ac:dyDescent="0.2">
      <c r="A50" s="2"/>
      <c r="B50" s="2"/>
      <c r="C50" s="5"/>
      <c r="D50" s="2"/>
    </row>
    <row r="51" spans="1:6" x14ac:dyDescent="0.2">
      <c r="A51" s="2"/>
      <c r="B51" s="2"/>
      <c r="C51" s="5">
        <f>AVERAGE(C40:C50)</f>
        <v>-32.265833333333333</v>
      </c>
      <c r="D51" s="5"/>
      <c r="E51" s="14">
        <f>AVERAGE(E40:E50)</f>
        <v>-32.247596888127333</v>
      </c>
    </row>
    <row r="52" spans="1:6" x14ac:dyDescent="0.2">
      <c r="A52" s="2"/>
      <c r="B52" s="2"/>
      <c r="C52" s="5"/>
      <c r="D52" s="2"/>
    </row>
    <row r="53" spans="1:6" x14ac:dyDescent="0.2">
      <c r="A53" s="16" t="s">
        <v>24</v>
      </c>
      <c r="B53" s="16"/>
      <c r="C53" s="16" t="s">
        <v>40</v>
      </c>
      <c r="D53" s="16"/>
      <c r="E53" s="14" t="s">
        <v>41</v>
      </c>
    </row>
    <row r="54" spans="1:6" x14ac:dyDescent="0.2">
      <c r="A54" s="16" t="s">
        <v>0</v>
      </c>
      <c r="B54" s="16" t="s">
        <v>42</v>
      </c>
      <c r="C54" s="16" t="s">
        <v>25</v>
      </c>
      <c r="D54" s="16" t="s">
        <v>17</v>
      </c>
      <c r="E54" s="14"/>
    </row>
    <row r="55" spans="1:6" x14ac:dyDescent="0.2">
      <c r="A55" s="2">
        <f t="shared" ref="A55:A62" si="14">A3</f>
        <v>7</v>
      </c>
      <c r="B55" s="2">
        <f t="shared" ref="B55:B60" si="15">J3</f>
        <v>405</v>
      </c>
      <c r="C55" s="2">
        <f t="shared" ref="C55:C60" si="16">H3</f>
        <v>3.5059999999999998</v>
      </c>
      <c r="D55" s="2">
        <f t="shared" ref="D55:D60" si="17">C55-$C$67</f>
        <v>0.78912499999999985</v>
      </c>
      <c r="E55" s="12">
        <f t="shared" ref="E55:E60" si="18">C55-(B55^3*$B$31+B55^2*$B$32+B55*$B$33+$B$34)</f>
        <v>3.5059999999999998</v>
      </c>
      <c r="F55" s="11">
        <f t="shared" ref="F55:F60" si="19">E55-$E$67</f>
        <v>-0.11650000000000027</v>
      </c>
    </row>
    <row r="56" spans="1:6" x14ac:dyDescent="0.2">
      <c r="A56" s="2">
        <f t="shared" si="14"/>
        <v>25</v>
      </c>
      <c r="B56" s="2">
        <f t="shared" si="15"/>
        <v>151</v>
      </c>
      <c r="C56" s="2">
        <f t="shared" si="16"/>
        <v>2.6309999999999998</v>
      </c>
      <c r="D56" s="2">
        <f t="shared" si="17"/>
        <v>-8.5875000000000146E-2</v>
      </c>
      <c r="E56" s="12">
        <f t="shared" si="18"/>
        <v>2.6309999999999998</v>
      </c>
      <c r="F56" s="11">
        <f t="shared" si="19"/>
        <v>-0.99150000000000027</v>
      </c>
    </row>
    <row r="57" spans="1:6" x14ac:dyDescent="0.2">
      <c r="A57" s="2">
        <f t="shared" si="14"/>
        <v>26</v>
      </c>
      <c r="B57" s="2">
        <f t="shared" si="15"/>
        <v>313</v>
      </c>
      <c r="C57" s="2">
        <f t="shared" si="16"/>
        <v>3.609</v>
      </c>
      <c r="D57" s="2">
        <f t="shared" si="17"/>
        <v>0.89212500000000006</v>
      </c>
      <c r="E57" s="12">
        <f t="shared" si="18"/>
        <v>3.609</v>
      </c>
      <c r="F57" s="11">
        <f t="shared" si="19"/>
        <v>-1.3500000000000068E-2</v>
      </c>
    </row>
    <row r="58" spans="1:6" x14ac:dyDescent="0.2">
      <c r="A58" s="2">
        <f t="shared" si="14"/>
        <v>27</v>
      </c>
      <c r="B58" s="2">
        <f t="shared" si="15"/>
        <v>767</v>
      </c>
      <c r="C58" s="2">
        <f t="shared" si="16"/>
        <v>4.1470000000000002</v>
      </c>
      <c r="D58" s="2">
        <f t="shared" si="17"/>
        <v>1.4301250000000003</v>
      </c>
      <c r="E58" s="12">
        <f t="shared" si="18"/>
        <v>4.1470000000000002</v>
      </c>
      <c r="F58" s="11">
        <f t="shared" si="19"/>
        <v>0.52450000000000019</v>
      </c>
    </row>
    <row r="59" spans="1:6" x14ac:dyDescent="0.2">
      <c r="A59" s="2">
        <f t="shared" si="14"/>
        <v>28</v>
      </c>
      <c r="B59" s="2">
        <f t="shared" si="15"/>
        <v>1273</v>
      </c>
      <c r="C59" s="2">
        <f t="shared" si="16"/>
        <v>4.5419999999999998</v>
      </c>
      <c r="D59" s="2">
        <f t="shared" si="17"/>
        <v>1.8251249999999999</v>
      </c>
      <c r="E59" s="12">
        <f t="shared" si="18"/>
        <v>4.5419999999999998</v>
      </c>
      <c r="F59" s="11">
        <f t="shared" si="19"/>
        <v>0.91949999999999976</v>
      </c>
    </row>
    <row r="60" spans="1:6" x14ac:dyDescent="0.2">
      <c r="A60" s="2">
        <f t="shared" si="14"/>
        <v>49</v>
      </c>
      <c r="B60" s="2">
        <f t="shared" si="15"/>
        <v>393</v>
      </c>
      <c r="C60" s="2">
        <f t="shared" si="16"/>
        <v>3.3</v>
      </c>
      <c r="D60" s="2">
        <f t="shared" si="17"/>
        <v>0.58312499999999989</v>
      </c>
      <c r="E60" s="12">
        <f t="shared" si="18"/>
        <v>3.3</v>
      </c>
      <c r="F60" s="11">
        <f t="shared" si="19"/>
        <v>-0.32250000000000023</v>
      </c>
    </row>
    <row r="61" spans="1:6" x14ac:dyDescent="0.2">
      <c r="A61" s="15">
        <f t="shared" si="14"/>
        <v>0</v>
      </c>
      <c r="B61" s="15">
        <f t="shared" ref="B61" si="20">J9</f>
        <v>0</v>
      </c>
      <c r="C61" s="15">
        <f t="shared" ref="C61" si="21">H9</f>
        <v>0</v>
      </c>
      <c r="D61" s="15">
        <f t="shared" ref="D61" si="22">C61-$C$67</f>
        <v>-2.7168749999999999</v>
      </c>
      <c r="E61" s="12">
        <f t="shared" ref="E61" si="23">C61-(B61^3*$B$31+B61^2*$B$32+B61*$B$33+$B$34)</f>
        <v>0</v>
      </c>
      <c r="F61" s="12">
        <f t="shared" ref="F61" si="24">E61-$E$67</f>
        <v>-3.6225000000000001</v>
      </c>
    </row>
    <row r="62" spans="1:6" x14ac:dyDescent="0.2">
      <c r="A62" s="15">
        <f t="shared" si="14"/>
        <v>0</v>
      </c>
      <c r="B62" s="15">
        <f t="shared" ref="B62" si="25">J10</f>
        <v>0</v>
      </c>
      <c r="C62" s="15">
        <f t="shared" ref="C62" si="26">H10</f>
        <v>0</v>
      </c>
      <c r="D62" s="15">
        <f t="shared" ref="D62" si="27">C62-$C$67</f>
        <v>-2.7168749999999999</v>
      </c>
      <c r="E62" s="12">
        <f t="shared" ref="E62" si="28">C62-(B62^3*$B$31+B62^2*$B$32+B62*$B$33+$B$34)</f>
        <v>0</v>
      </c>
      <c r="F62" s="12">
        <f t="shared" ref="F62" si="29">E62-$E$67</f>
        <v>-3.6225000000000001</v>
      </c>
    </row>
    <row r="63" spans="1:6" x14ac:dyDescent="0.2">
      <c r="A63" s="2"/>
      <c r="B63" s="2"/>
      <c r="C63" s="5"/>
      <c r="D63" s="2"/>
    </row>
    <row r="64" spans="1:6" x14ac:dyDescent="0.2">
      <c r="A64" s="2"/>
      <c r="B64" s="2"/>
      <c r="C64" s="5"/>
      <c r="D64" s="2"/>
    </row>
    <row r="65" spans="1:5" x14ac:dyDescent="0.2">
      <c r="A65" s="2"/>
      <c r="B65" s="2"/>
      <c r="C65" s="5"/>
      <c r="D65" s="2"/>
    </row>
    <row r="66" spans="1:5" x14ac:dyDescent="0.2">
      <c r="A66" s="2"/>
      <c r="B66" s="2"/>
      <c r="C66" s="5"/>
      <c r="D66" s="2"/>
    </row>
    <row r="67" spans="1:5" x14ac:dyDescent="0.2">
      <c r="A67" s="2"/>
      <c r="B67" s="2"/>
      <c r="C67" s="5">
        <f>AVERAGE(C55:C65)</f>
        <v>2.7168749999999999</v>
      </c>
      <c r="D67" s="2"/>
      <c r="E67" s="12">
        <f>AVERAGE(E55:E60)</f>
        <v>3.6225000000000001</v>
      </c>
    </row>
  </sheetData>
  <mergeCells count="2">
    <mergeCell ref="N1:Q1"/>
    <mergeCell ref="R1:W1"/>
  </mergeCells>
  <phoneticPr fontId="3" type="noConversion"/>
  <pageMargins left="0.75" right="0.75" top="1" bottom="1" header="0.5" footer="0.5"/>
  <pageSetup paperSize="0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W50"/>
  <sheetViews>
    <sheetView tabSelected="1" topLeftCell="H1" workbookViewId="0">
      <selection activeCell="R5" sqref="R5:R50"/>
    </sheetView>
  </sheetViews>
  <sheetFormatPr defaultColWidth="11" defaultRowHeight="12.75" x14ac:dyDescent="0.2"/>
  <cols>
    <col min="1" max="1" width="6" customWidth="1"/>
    <col min="11" max="11" width="5.875" customWidth="1"/>
    <col min="12" max="12" width="7" customWidth="1"/>
    <col min="13" max="13" width="19.5" customWidth="1"/>
    <col min="14" max="14" width="15" customWidth="1"/>
  </cols>
  <sheetData>
    <row r="1" spans="1:23" ht="27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39</v>
      </c>
      <c r="M1" s="26" t="s">
        <v>1</v>
      </c>
      <c r="N1" s="26" t="s">
        <v>2</v>
      </c>
      <c r="O1" s="25" t="s">
        <v>51</v>
      </c>
      <c r="P1" s="25" t="s">
        <v>52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6" t="s">
        <v>31</v>
      </c>
    </row>
    <row r="2" spans="1:23" x14ac:dyDescent="0.2">
      <c r="A2" s="1">
        <v>1</v>
      </c>
      <c r="B2" s="1" t="s">
        <v>64</v>
      </c>
      <c r="D2" s="1"/>
      <c r="E2" s="1">
        <v>-13.911</v>
      </c>
      <c r="F2" s="1">
        <v>371.89100000000002</v>
      </c>
      <c r="G2" s="1">
        <v>10846</v>
      </c>
      <c r="H2" s="1">
        <v>11.435</v>
      </c>
      <c r="I2" s="1">
        <v>56.173000000000002</v>
      </c>
      <c r="J2" s="1">
        <v>2317</v>
      </c>
      <c r="M2" s="27" t="str">
        <f t="shared" ref="M2:M43" si="0">B2</f>
        <v>Flush</v>
      </c>
      <c r="N2" s="27">
        <f t="shared" ref="N2:N43" si="1">C2</f>
        <v>0</v>
      </c>
      <c r="O2" s="28">
        <f>(E2-((G2^3*standards!$B$25+G2^2*standards!$B$26+G2*standards!$B$27+standards!$B$28)+(A2^3*standards!$C$25+standards!$C$26*A2^2+standards!$C$27*A2+standards!$C$28)))*standards!$R$27+standards!$R$26</f>
        <v>-10.049469811763892</v>
      </c>
      <c r="P2" s="28">
        <f>(H2-((J2^3*standards!$B$31+J2^2*standards!$B$32+J2*standards!$B$33+standards!$B$34)+(A2^3*standards!$C$31+standards!$C$32*A2^2+standards!$C$33*A2+standards!$C$34)))*standards!$S$27+standards!$S$26</f>
        <v>11.185898197899778</v>
      </c>
      <c r="Q2" s="29" t="e">
        <f>((F2*standards!$R$31+standards!$R$30)*F2)/D2</f>
        <v>#DIV/0!</v>
      </c>
      <c r="R2" s="29" t="e">
        <f>((I2*standards!$S$31+standards!$S$30)*I2)/D2</f>
        <v>#DIV/0!</v>
      </c>
      <c r="S2" s="29" t="e">
        <f t="shared" ref="S2:S43" si="2">Q2/R2</f>
        <v>#DIV/0!</v>
      </c>
      <c r="T2" s="30">
        <f>($V$2*D2)/G2</f>
        <v>0</v>
      </c>
      <c r="U2" s="30">
        <f>($V$3*D2)/J2</f>
        <v>0</v>
      </c>
      <c r="V2" s="7">
        <v>5500</v>
      </c>
      <c r="W2" s="30" t="s">
        <v>32</v>
      </c>
    </row>
    <row r="3" spans="1:23" x14ac:dyDescent="0.2">
      <c r="A3" s="1">
        <v>3</v>
      </c>
      <c r="B3" s="1" t="s">
        <v>64</v>
      </c>
      <c r="D3" s="1"/>
      <c r="E3" s="1">
        <v>-14.824999999999999</v>
      </c>
      <c r="F3" s="1">
        <v>574.649</v>
      </c>
      <c r="G3" s="1">
        <v>16751</v>
      </c>
      <c r="H3" s="1">
        <v>11.55</v>
      </c>
      <c r="I3" s="1">
        <v>85.662000000000006</v>
      </c>
      <c r="J3" s="1">
        <v>3591</v>
      </c>
      <c r="M3" s="27" t="str">
        <f t="shared" si="0"/>
        <v>Flush</v>
      </c>
      <c r="N3" s="27">
        <f t="shared" si="1"/>
        <v>0</v>
      </c>
      <c r="O3" s="28">
        <f>(E3-((G3^3*standards!$B$25+G3^2*standards!$B$26+G3*standards!$B$27+standards!$B$28)+(A3^3*standards!$C$25+standards!$C$26*A3^2+standards!$C$27*A3+standards!$C$28)))*standards!$R$27+standards!$R$26</f>
        <v>-10.741839941412897</v>
      </c>
      <c r="P3" s="28">
        <f>(H3-((J3^3*standards!$B$31+J3^2*standards!$B$32+J3*standards!$B$33+standards!$B$34)+(A3^3*standards!$C$31+standards!$C$32*A3^2+standards!$C$33*A3+standards!$C$34)))*standards!$S$27+standards!$S$26</f>
        <v>11.258147918966362</v>
      </c>
      <c r="Q3" s="29" t="e">
        <f>((F3*standards!$R$31+standards!$R$30)*F3)/D3</f>
        <v>#DIV/0!</v>
      </c>
      <c r="R3" s="29" t="e">
        <f>((I3*standards!$S$31+standards!$S$30)*I3)/D3</f>
        <v>#DIV/0!</v>
      </c>
      <c r="S3" s="29" t="e">
        <f t="shared" si="2"/>
        <v>#DIV/0!</v>
      </c>
      <c r="T3" s="30">
        <f t="shared" ref="T3:T43" si="3">($V$2*D3)/G3</f>
        <v>0</v>
      </c>
      <c r="U3" s="30">
        <f t="shared" ref="U3:U43" si="4">($V$3*D3)/J3</f>
        <v>0</v>
      </c>
      <c r="V3" s="7">
        <v>2000</v>
      </c>
      <c r="W3" s="30" t="s">
        <v>33</v>
      </c>
    </row>
    <row r="4" spans="1:23" x14ac:dyDescent="0.2">
      <c r="A4" s="1">
        <v>4</v>
      </c>
      <c r="B4" s="1" t="s">
        <v>64</v>
      </c>
      <c r="D4" s="1"/>
      <c r="E4" s="1">
        <v>-15.853</v>
      </c>
      <c r="F4" s="1">
        <v>894.70899999999995</v>
      </c>
      <c r="G4" s="1">
        <v>26016</v>
      </c>
      <c r="H4" s="1">
        <v>11.787000000000001</v>
      </c>
      <c r="I4" s="1">
        <v>135.239</v>
      </c>
      <c r="J4" s="1">
        <v>5709</v>
      </c>
      <c r="M4" s="27" t="str">
        <f t="shared" si="0"/>
        <v>Flush</v>
      </c>
      <c r="N4" s="27">
        <f t="shared" si="1"/>
        <v>0</v>
      </c>
      <c r="O4" s="28">
        <f>(E4-((G4^3*standards!$B$25+G4^2*standards!$B$26+G4*standards!$B$27+standards!$B$28)+(A4^3*standards!$C$25+standards!$C$26*A4^2+standards!$C$27*A4+standards!$C$28)))*standards!$R$27+standards!$R$26</f>
        <v>-11.093233355365706</v>
      </c>
      <c r="P4" s="28">
        <f>(H4-((J4^3*standards!$B$31+J4^2*standards!$B$32+J4*standards!$B$33+standards!$B$34)+(A4^3*standards!$C$31+standards!$C$32*A4^2+standards!$C$33*A4+standards!$C$34)))*standards!$S$27+standards!$S$26</f>
        <v>11.40704517020793</v>
      </c>
      <c r="Q4" s="29" t="e">
        <f>((F4*standards!$R$31+standards!$R$30)*F4)/D4</f>
        <v>#DIV/0!</v>
      </c>
      <c r="R4" s="29" t="e">
        <f>((I4*standards!$S$31+standards!$S$30)*I4)/D4</f>
        <v>#DIV/0!</v>
      </c>
      <c r="S4" s="29" t="e">
        <f t="shared" si="2"/>
        <v>#DIV/0!</v>
      </c>
      <c r="T4" s="30">
        <f t="shared" si="3"/>
        <v>0</v>
      </c>
      <c r="U4" s="30">
        <f t="shared" si="4"/>
        <v>0</v>
      </c>
    </row>
    <row r="5" spans="1:23" x14ac:dyDescent="0.2">
      <c r="A5" s="1">
        <v>5</v>
      </c>
      <c r="B5" s="1" t="s">
        <v>65</v>
      </c>
      <c r="D5" s="1">
        <v>0.24199999999999999</v>
      </c>
      <c r="E5" s="1">
        <v>-15.311</v>
      </c>
      <c r="F5" s="1">
        <v>394.435</v>
      </c>
      <c r="G5" s="1">
        <v>11544</v>
      </c>
      <c r="H5" s="1">
        <v>11.478999999999999</v>
      </c>
      <c r="I5" s="1">
        <v>58.901000000000003</v>
      </c>
      <c r="J5" s="1">
        <v>2460</v>
      </c>
      <c r="M5" s="27" t="str">
        <f t="shared" si="0"/>
        <v>Taipan</v>
      </c>
      <c r="N5" s="27">
        <f t="shared" si="1"/>
        <v>0</v>
      </c>
      <c r="O5" s="28">
        <f>(E5-((G5^3*standards!$B$25+G5^2*standards!$B$26+G5*standards!$B$27+standards!$B$28)+(A5^3*standards!$C$25+standards!$C$26*A5^2+standards!$C$27*A5+standards!$C$28)))*standards!$R$27+standards!$R$26</f>
        <v>-11.374843656462691</v>
      </c>
      <c r="P5" s="28">
        <f>(H5-((J5^3*standards!$B$31+J5^2*standards!$B$32+J5*standards!$B$33+standards!$B$34)+(A5^3*standards!$C$31+standards!$C$32*A5^2+standards!$C$33*A5+standards!$C$34)))*standards!$S$27+standards!$S$26</f>
        <v>11.213541569438297</v>
      </c>
      <c r="Q5" s="29">
        <f>((F5*standards!$R$31+standards!$R$30)*F5)/D5</f>
        <v>43.139099538737227</v>
      </c>
      <c r="R5" s="35">
        <f>((I5*standards!$S$31+standards!$S$30)*I5)/D5</f>
        <v>15.11921310631514</v>
      </c>
      <c r="S5" s="29">
        <f t="shared" si="2"/>
        <v>2.8532635419179631</v>
      </c>
      <c r="T5" s="30">
        <f t="shared" si="3"/>
        <v>0.1152979902979903</v>
      </c>
      <c r="U5" s="30">
        <f t="shared" si="4"/>
        <v>0.1967479674796748</v>
      </c>
    </row>
    <row r="6" spans="1:23" x14ac:dyDescent="0.2">
      <c r="A6" s="1">
        <v>6</v>
      </c>
      <c r="B6" s="1" t="s">
        <v>66</v>
      </c>
      <c r="D6" s="1">
        <v>7.3639999999999999</v>
      </c>
      <c r="E6" s="1">
        <v>-29.901</v>
      </c>
      <c r="F6" s="1">
        <v>292.40899999999999</v>
      </c>
      <c r="G6" s="1">
        <v>8429</v>
      </c>
      <c r="H6" s="1">
        <v>6.3319999999999999</v>
      </c>
      <c r="I6" s="1">
        <v>12.404999999999999</v>
      </c>
      <c r="J6" s="1">
        <v>489</v>
      </c>
      <c r="M6" s="27" t="str">
        <f t="shared" si="0"/>
        <v>LOC</v>
      </c>
      <c r="N6" s="27">
        <f t="shared" si="1"/>
        <v>0</v>
      </c>
      <c r="O6" s="28">
        <f>(E6-((G6^3*standards!$B$25+G6^2*standards!$B$26+G6*standards!$B$27+standards!$B$28)+(A6^3*standards!$C$25+standards!$C$26*A6^2+standards!$C$27*A6+standards!$C$28)))*standards!$R$27+standards!$R$26</f>
        <v>-26.08711733161552</v>
      </c>
      <c r="P6" s="28">
        <f>(H6-((J6^3*standards!$B$31+J6^2*standards!$B$32+J6*standards!$B$33+standards!$B$34)+(A6^3*standards!$C$31+standards!$C$32*A6^2+standards!$C$33*A6+standards!$C$34)))*standards!$S$27+standards!$S$26</f>
        <v>7.9798953578756446</v>
      </c>
      <c r="Q6" s="29">
        <f>((F6*standards!$R$31+standards!$R$30)*F6)/D6</f>
        <v>1.0408153251050898</v>
      </c>
      <c r="R6" s="35">
        <f>((I6*standards!$S$31+standards!$S$30)*I6)/D6</f>
        <v>0.10557344841850511</v>
      </c>
      <c r="S6" s="29">
        <f t="shared" si="2"/>
        <v>9.8586845527597049</v>
      </c>
      <c r="T6" s="30">
        <f t="shared" si="3"/>
        <v>4.8050777079131572</v>
      </c>
      <c r="U6" s="30">
        <f t="shared" si="4"/>
        <v>30.118609406952967</v>
      </c>
    </row>
    <row r="7" spans="1:23" x14ac:dyDescent="0.2">
      <c r="A7" s="1">
        <v>7</v>
      </c>
      <c r="B7" s="1" t="s">
        <v>67</v>
      </c>
      <c r="D7" s="1">
        <v>1.3360000000000001</v>
      </c>
      <c r="E7" s="1">
        <v>-31.971</v>
      </c>
      <c r="F7" s="1">
        <v>295.33800000000002</v>
      </c>
      <c r="G7" s="1">
        <v>8456</v>
      </c>
      <c r="H7" s="1">
        <v>3.5059999999999998</v>
      </c>
      <c r="I7" s="1">
        <v>10.412000000000001</v>
      </c>
      <c r="J7" s="1">
        <v>405</v>
      </c>
      <c r="M7" s="27" t="str">
        <f t="shared" si="0"/>
        <v>HOC</v>
      </c>
      <c r="N7" s="27">
        <f t="shared" si="1"/>
        <v>0</v>
      </c>
      <c r="O7" s="28">
        <f>(E7-((G7^3*standards!$B$25+G7^2*standards!$B$26+G7*standards!$B$27+standards!$B$28)+(A7^3*standards!$C$25+standards!$C$26*A7^2+standards!$C$27*A7+standards!$C$28)))*standards!$R$27+standards!$R$26</f>
        <v>-28.153449687658945</v>
      </c>
      <c r="P7" s="28">
        <f>(H7-((J7^3*standards!$B$31+J7^2*standards!$B$32+J7*standards!$B$33+standards!$B$34)+(A7^3*standards!$C$31+standards!$C$32*A7^2+standards!$C$33*A7+standards!$C$34)))*standards!$S$27+standards!$S$26</f>
        <v>6.2044369949698641</v>
      </c>
      <c r="Q7" s="29">
        <f>((F7*standards!$R$31+standards!$R$30)*F7)/D7</f>
        <v>5.7960370204073417</v>
      </c>
      <c r="R7" s="35">
        <f>((I7*standards!$S$31+standards!$S$30)*I7)/D7</f>
        <v>0.4886114934045403</v>
      </c>
      <c r="S7" s="29">
        <f t="shared" si="2"/>
        <v>11.86226091412995</v>
      </c>
      <c r="T7" s="30">
        <f t="shared" si="3"/>
        <v>0.868968779564806</v>
      </c>
      <c r="U7" s="30">
        <f t="shared" si="4"/>
        <v>6.5975308641975312</v>
      </c>
    </row>
    <row r="8" spans="1:23" x14ac:dyDescent="0.2">
      <c r="A8" s="1">
        <v>8</v>
      </c>
      <c r="B8" s="1" t="s">
        <v>68</v>
      </c>
      <c r="D8" s="1">
        <v>2.5659999999999998</v>
      </c>
      <c r="E8" s="1">
        <v>-31.559000000000001</v>
      </c>
      <c r="F8" s="1">
        <v>290.85199999999998</v>
      </c>
      <c r="G8" s="1">
        <v>8357</v>
      </c>
      <c r="H8">
        <v>0.57499999999999996</v>
      </c>
      <c r="I8">
        <v>8.7159999999999993</v>
      </c>
      <c r="J8">
        <v>332</v>
      </c>
      <c r="M8" s="27" t="str">
        <f t="shared" si="0"/>
        <v>73</v>
      </c>
      <c r="N8" s="27">
        <f t="shared" si="1"/>
        <v>0</v>
      </c>
      <c r="O8" s="28">
        <f>(E8-((G8^3*standards!$B$25+G8^2*standards!$B$26+G8*standards!$B$27+standards!$B$28)+(A8^3*standards!$C$25+standards!$C$26*A8^2+standards!$C$27*A8+standards!$C$28)))*standards!$R$27+standards!$R$26</f>
        <v>-27.721367820236672</v>
      </c>
      <c r="P8" s="28">
        <f>(H8-((J8^3*standards!$B$31+J8^2*standards!$B$32+J8*standards!$B$33+standards!$B$34)+(A8^3*standards!$C$31+standards!$C$32*A8^2+standards!$C$33*A8+standards!$C$34)))*standards!$S$27+standards!$S$26</f>
        <v>4.3630114954380721</v>
      </c>
      <c r="Q8" s="29">
        <f>((F8*standards!$R$31+standards!$R$30)*F8)/D8</f>
        <v>2.970622689342282</v>
      </c>
      <c r="R8" s="35">
        <f>((I8*standards!$S$31+standards!$S$30)*I8)/D8</f>
        <v>0.21302779801795246</v>
      </c>
      <c r="S8" s="29">
        <f t="shared" si="2"/>
        <v>13.9447655046969</v>
      </c>
      <c r="T8" s="30">
        <f t="shared" si="3"/>
        <v>1.6887639104941965</v>
      </c>
      <c r="U8" s="30">
        <f t="shared" si="4"/>
        <v>15.457831325301205</v>
      </c>
    </row>
    <row r="9" spans="1:23" x14ac:dyDescent="0.2">
      <c r="A9" s="1">
        <v>9</v>
      </c>
      <c r="B9" s="1" t="s">
        <v>69</v>
      </c>
      <c r="D9" s="1">
        <v>9.8879999999999999</v>
      </c>
      <c r="E9" s="1">
        <v>-29.274000000000001</v>
      </c>
      <c r="F9" s="1">
        <v>267.44499999999999</v>
      </c>
      <c r="G9" s="1">
        <v>7540</v>
      </c>
      <c r="H9" s="1">
        <v>2.7309999999999999</v>
      </c>
      <c r="I9" s="1">
        <v>19.68</v>
      </c>
      <c r="J9" s="1">
        <v>749</v>
      </c>
      <c r="M9" s="27" t="str">
        <f t="shared" si="0"/>
        <v>131</v>
      </c>
      <c r="N9" s="27">
        <f t="shared" si="1"/>
        <v>0</v>
      </c>
      <c r="O9" s="28">
        <f>(E9-((G9^3*standards!$B$25+G9^2*standards!$B$26+G9*standards!$B$27+standards!$B$28)+(A9^3*standards!$C$25+standards!$C$26*A9^2+standards!$C$27*A9+standards!$C$28)))*standards!$R$27+standards!$R$26</f>
        <v>-25.404863199734582</v>
      </c>
      <c r="P9" s="28">
        <f>(H9-((J9^3*standards!$B$31+J9^2*standards!$B$32+J9*standards!$B$33+standards!$B$34)+(A9^3*standards!$C$31+standards!$C$32*A9^2+standards!$C$33*A9+standards!$C$34)))*standards!$S$27+standards!$S$26</f>
        <v>5.7175367008254971</v>
      </c>
      <c r="Q9" s="29">
        <f>((F9*standards!$R$31+standards!$R$30)*F9)/D9</f>
        <v>0.70727015160235895</v>
      </c>
      <c r="R9" s="35">
        <f>((I9*standards!$S$31+standards!$S$30)*I9)/D9</f>
        <v>0.12456276450822544</v>
      </c>
      <c r="S9" s="29">
        <f t="shared" si="2"/>
        <v>5.6780222757151053</v>
      </c>
      <c r="T9" s="30">
        <f t="shared" si="3"/>
        <v>7.2127320954907166</v>
      </c>
      <c r="U9" s="30">
        <f t="shared" si="4"/>
        <v>26.403204272363151</v>
      </c>
    </row>
    <row r="10" spans="1:23" x14ac:dyDescent="0.2">
      <c r="A10" s="1">
        <v>10</v>
      </c>
      <c r="B10" s="1" t="s">
        <v>70</v>
      </c>
      <c r="D10" s="1">
        <v>0.82099999999999995</v>
      </c>
      <c r="E10" s="1">
        <v>-27.532</v>
      </c>
      <c r="F10" s="1">
        <v>517.64499999999998</v>
      </c>
      <c r="G10" s="1">
        <v>15143</v>
      </c>
      <c r="H10" s="1">
        <v>0.112</v>
      </c>
      <c r="I10" s="1">
        <v>18.030999999999999</v>
      </c>
      <c r="J10" s="1">
        <v>734</v>
      </c>
      <c r="M10" s="27" t="str">
        <f t="shared" si="0"/>
        <v>25</v>
      </c>
      <c r="N10" s="27">
        <f t="shared" si="1"/>
        <v>0</v>
      </c>
      <c r="O10" s="28">
        <f>(E10-((G10^3*standards!$B$25+G10^2*standards!$B$26+G10*standards!$B$27+standards!$B$28)+(A10^3*standards!$C$25+standards!$C$26*A10^2+standards!$C$27*A10+standards!$C$28)))*standards!$R$27+standards!$R$26</f>
        <v>-23.482165932326989</v>
      </c>
      <c r="P10" s="28">
        <f>(H10-((J10^3*standards!$B$31+J10^2*standards!$B$32+J10*standards!$B$33+standards!$B$34)+(A10^3*standards!$C$31+standards!$C$32*A10^2+standards!$C$33*A10+standards!$C$34)))*standards!$S$27+standards!$S$26</f>
        <v>4.0721278358395665</v>
      </c>
      <c r="Q10" s="29">
        <f>((F10*standards!$R$31+standards!$R$30)*F10)/D10</f>
        <v>16.882441132700816</v>
      </c>
      <c r="R10" s="35">
        <f>((I10*standards!$S$31+standards!$S$30)*I10)/D10</f>
        <v>1.3749419331682236</v>
      </c>
      <c r="S10" s="29">
        <f t="shared" si="2"/>
        <v>12.278657538503669</v>
      </c>
      <c r="T10" s="30">
        <f t="shared" si="3"/>
        <v>0.29819058310770652</v>
      </c>
      <c r="U10" s="30">
        <f t="shared" si="4"/>
        <v>2.2370572207084467</v>
      </c>
    </row>
    <row r="11" spans="1:23" x14ac:dyDescent="0.2">
      <c r="A11" s="1">
        <v>11</v>
      </c>
      <c r="B11" s="1" t="s">
        <v>71</v>
      </c>
      <c r="D11" s="1">
        <v>0.35299999999999998</v>
      </c>
      <c r="E11" s="1">
        <v>-31.196000000000002</v>
      </c>
      <c r="F11" s="1">
        <v>196.363</v>
      </c>
      <c r="G11" s="1">
        <v>5761</v>
      </c>
      <c r="H11" s="1">
        <v>-4.2519999999999998</v>
      </c>
      <c r="I11" s="1">
        <v>2.3559999999999999</v>
      </c>
      <c r="J11" s="33">
        <v>85</v>
      </c>
      <c r="M11" s="27" t="str">
        <f t="shared" si="0"/>
        <v>53</v>
      </c>
      <c r="N11" s="27">
        <f t="shared" si="1"/>
        <v>0</v>
      </c>
      <c r="O11" s="28">
        <f>(E11-((G11^3*standards!$B$25+G11^2*standards!$B$26+G11*standards!$B$27+standards!$B$28)+(A11^3*standards!$C$25+standards!$C$26*A11^2+standards!$C$27*A11+standards!$C$28)))*standards!$R$27+standards!$R$26</f>
        <v>-27.296710896403127</v>
      </c>
      <c r="P11" s="28">
        <f>(H11-((J11^3*standards!$B$31+J11^2*standards!$B$32+J11*standards!$B$33+standards!$B$34)+(A11^3*standards!$C$31+standards!$C$32*A11^2+standards!$C$33*A11+standards!$C$34)))*standards!$S$27+standards!$S$26</f>
        <v>1.3304079859737397</v>
      </c>
      <c r="Q11" s="29">
        <f>((F11*standards!$R$31+standards!$R$30)*F11)/D11</f>
        <v>14.446967292689621</v>
      </c>
      <c r="R11" s="35">
        <f>((I11*standards!$S$31+standards!$S$30)*I11)/D11</f>
        <v>0.41908284421373032</v>
      </c>
      <c r="S11" s="29">
        <f t="shared" si="2"/>
        <v>34.472819615879416</v>
      </c>
      <c r="T11" s="30">
        <f t="shared" si="3"/>
        <v>0.33700746398194759</v>
      </c>
      <c r="U11" s="30">
        <f t="shared" si="4"/>
        <v>8.3058823529411772</v>
      </c>
    </row>
    <row r="12" spans="1:23" x14ac:dyDescent="0.2">
      <c r="A12" s="1">
        <v>12</v>
      </c>
      <c r="B12" s="1" t="s">
        <v>72</v>
      </c>
      <c r="D12" s="1">
        <v>0.39400000000000002</v>
      </c>
      <c r="E12" s="1">
        <v>-31.401</v>
      </c>
      <c r="F12" s="1">
        <v>656.149</v>
      </c>
      <c r="G12" s="1">
        <v>19224</v>
      </c>
      <c r="H12">
        <v>-1.538</v>
      </c>
      <c r="I12">
        <v>7.9279999999999999</v>
      </c>
      <c r="J12">
        <v>314</v>
      </c>
      <c r="M12" s="27" t="str">
        <f t="shared" si="0"/>
        <v>66</v>
      </c>
      <c r="N12" s="27">
        <f t="shared" si="1"/>
        <v>0</v>
      </c>
      <c r="O12" s="28">
        <f>(E12-((G12^3*standards!$B$25+G12^2*standards!$B$26+G12*standards!$B$27+standards!$B$28)+(A12^3*standards!$C$25+standards!$C$26*A12^2+standards!$C$27*A12+standards!$C$28)))*standards!$R$27+standards!$R$26</f>
        <v>-27.13768356667018</v>
      </c>
      <c r="P12" s="28">
        <f>(H12-((J12^3*standards!$B$31+J12^2*standards!$B$32+J12*standards!$B$33+standards!$B$34)+(A12^3*standards!$C$31+standards!$C$32*A12^2+standards!$C$33*A12+standards!$C$34)))*standards!$S$27+standards!$S$26</f>
        <v>3.0355014031451089</v>
      </c>
      <c r="Q12" s="29">
        <f>((F12*standards!$R$31+standards!$R$30)*F12)/D12</f>
        <v>45.169388223206006</v>
      </c>
      <c r="R12" s="35">
        <f>((I12*standards!$S$31+standards!$S$30)*I12)/D12</f>
        <v>1.2621414671061553</v>
      </c>
      <c r="S12" s="29">
        <f t="shared" si="2"/>
        <v>35.787896523810936</v>
      </c>
      <c r="T12" s="30">
        <f t="shared" si="3"/>
        <v>0.11272367873491469</v>
      </c>
      <c r="U12" s="30">
        <f t="shared" si="4"/>
        <v>2.5095541401273884</v>
      </c>
    </row>
    <row r="13" spans="1:23" x14ac:dyDescent="0.2">
      <c r="A13" s="1">
        <v>13</v>
      </c>
      <c r="B13" s="1" t="s">
        <v>73</v>
      </c>
      <c r="D13" s="1">
        <v>0.34399999999999997</v>
      </c>
      <c r="E13" s="1">
        <v>-31.026</v>
      </c>
      <c r="F13" s="1">
        <v>589.15700000000004</v>
      </c>
      <c r="G13" s="1">
        <v>17288</v>
      </c>
      <c r="H13" s="1">
        <v>-2.0459999999999998</v>
      </c>
      <c r="I13" s="1">
        <v>8.1349999999999998</v>
      </c>
      <c r="J13" s="1">
        <v>321</v>
      </c>
      <c r="M13" s="27" t="str">
        <f t="shared" si="0"/>
        <v>67</v>
      </c>
      <c r="N13" s="27">
        <f t="shared" si="1"/>
        <v>0</v>
      </c>
      <c r="O13" s="28">
        <f>(E13-((G13^3*standards!$B$25+G13^2*standards!$B$26+G13*standards!$B$27+standards!$B$28)+(A13^3*standards!$C$25+standards!$C$26*A13^2+standards!$C$27*A13+standards!$C$28)))*standards!$R$27+standards!$R$26</f>
        <v>-26.850185596720902</v>
      </c>
      <c r="P13" s="28">
        <f>(H13-((J13^3*standards!$B$31+J13^2*standards!$B$32+J13*standards!$B$33+standards!$B$34)+(A13^3*standards!$C$31+standards!$C$32*A13^2+standards!$C$33*A13+standards!$C$34)))*standards!$S$27+standards!$S$26</f>
        <v>2.7163461135640272</v>
      </c>
      <c r="Q13" s="29">
        <f>((F13*standards!$R$31+standards!$R$30)*F13)/D13</f>
        <v>46.165229089182361</v>
      </c>
      <c r="R13" s="35">
        <f>((I13*standards!$S$31+standards!$S$30)*I13)/D13</f>
        <v>1.4832784293932963</v>
      </c>
      <c r="S13" s="29">
        <f t="shared" si="2"/>
        <v>31.123778364433758</v>
      </c>
      <c r="T13" s="30">
        <f t="shared" si="3"/>
        <v>0.10944007403979637</v>
      </c>
      <c r="U13" s="30">
        <f t="shared" si="4"/>
        <v>2.143302180685358</v>
      </c>
    </row>
    <row r="14" spans="1:23" x14ac:dyDescent="0.2">
      <c r="A14" s="1">
        <v>14</v>
      </c>
      <c r="B14" s="1" t="s">
        <v>74</v>
      </c>
      <c r="D14" s="1">
        <v>11.356</v>
      </c>
      <c r="E14" s="1">
        <v>-30.574000000000002</v>
      </c>
      <c r="F14" s="1">
        <v>295.45699999999999</v>
      </c>
      <c r="G14" s="1">
        <v>8404</v>
      </c>
      <c r="H14">
        <v>2.758</v>
      </c>
      <c r="I14">
        <v>22.654</v>
      </c>
      <c r="J14">
        <v>865</v>
      </c>
      <c r="M14" s="27" t="str">
        <f t="shared" si="0"/>
        <v>130</v>
      </c>
      <c r="N14" s="27">
        <f t="shared" si="1"/>
        <v>0</v>
      </c>
      <c r="O14" s="28">
        <f>(E14-((G14^3*standards!$B$25+G14^2*standards!$B$26+G14*standards!$B$27+standards!$B$28)+(A14^3*standards!$C$25+standards!$C$26*A14^2+standards!$C$27*A14+standards!$C$28)))*standards!$R$27+standards!$R$26</f>
        <v>-26.623081956772612</v>
      </c>
      <c r="P14" s="28">
        <f>(H14-((J14^3*standards!$B$31+J14^2*standards!$B$32+J14*standards!$B$33+standards!$B$34)+(A14^3*standards!$C$31+standards!$C$32*A14^2+standards!$C$33*A14+standards!$C$34)))*standards!$S$27+standards!$S$26</f>
        <v>5.7344996788150429</v>
      </c>
      <c r="Q14" s="29">
        <f>((F14*standards!$R$31+standards!$R$30)*F14)/D14</f>
        <v>0.68216921584789314</v>
      </c>
      <c r="R14" s="35">
        <f>((I14*standards!$S$31+standards!$S$30)*I14)/D14</f>
        <v>0.12478016315991512</v>
      </c>
      <c r="S14" s="29">
        <f t="shared" si="2"/>
        <v>5.466968455343677</v>
      </c>
      <c r="T14" s="30">
        <f t="shared" si="3"/>
        <v>7.4319371727748695</v>
      </c>
      <c r="U14" s="30">
        <f t="shared" si="4"/>
        <v>26.256647398843931</v>
      </c>
    </row>
    <row r="15" spans="1:23" x14ac:dyDescent="0.2">
      <c r="A15" s="1">
        <v>15</v>
      </c>
      <c r="B15" s="1" t="s">
        <v>75</v>
      </c>
      <c r="D15" s="1">
        <v>12.054</v>
      </c>
      <c r="E15" s="1">
        <v>-30.085000000000001</v>
      </c>
      <c r="F15" s="1">
        <v>320.62799999999999</v>
      </c>
      <c r="G15" s="1">
        <v>9022</v>
      </c>
      <c r="H15">
        <v>2.2170000000000001</v>
      </c>
      <c r="I15">
        <v>23.995999999999999</v>
      </c>
      <c r="J15">
        <v>911</v>
      </c>
      <c r="M15" s="27" t="str">
        <f t="shared" si="0"/>
        <v>133</v>
      </c>
      <c r="N15" s="27">
        <f t="shared" si="1"/>
        <v>0</v>
      </c>
      <c r="O15" s="28">
        <f>(E15-((G15^3*standards!$B$25+G15^2*standards!$B$26+G15*standards!$B$27+standards!$B$28)+(A15^3*standards!$C$25+standards!$C$26*A15^2+standards!$C$27*A15+standards!$C$28)))*standards!$R$27+standards!$R$26</f>
        <v>-26.109146787931117</v>
      </c>
      <c r="P15" s="28">
        <f>(H15-((J15^3*standards!$B$31+J15^2*standards!$B$32+J15*standards!$B$33+standards!$B$34)+(A15^3*standards!$C$31+standards!$C$32*A15^2+standards!$C$33*A15+standards!$C$34)))*standards!$S$27+standards!$S$26</f>
        <v>5.3946118605800724</v>
      </c>
      <c r="Q15" s="29">
        <f>((F15*standards!$R$31+standards!$R$30)*F15)/D15</f>
        <v>0.69909579392859089</v>
      </c>
      <c r="R15" s="35">
        <f>((I15*standards!$S$31+standards!$S$30)*I15)/D15</f>
        <v>0.12448666940580376</v>
      </c>
      <c r="S15" s="29">
        <f t="shared" si="2"/>
        <v>5.6158285643394201</v>
      </c>
      <c r="T15" s="30">
        <f t="shared" si="3"/>
        <v>7.3483706495233871</v>
      </c>
      <c r="U15" s="30">
        <f t="shared" si="4"/>
        <v>26.463227222832053</v>
      </c>
    </row>
    <row r="16" spans="1:23" x14ac:dyDescent="0.2">
      <c r="A16" s="1">
        <v>16</v>
      </c>
      <c r="B16" s="1" t="s">
        <v>76</v>
      </c>
      <c r="D16" s="1">
        <v>12.093999999999999</v>
      </c>
      <c r="E16" s="1">
        <v>-30.035</v>
      </c>
      <c r="F16" s="1">
        <v>321.851</v>
      </c>
      <c r="G16" s="1">
        <v>9488</v>
      </c>
      <c r="H16" s="1">
        <v>2.65</v>
      </c>
      <c r="I16" s="1">
        <v>25.472999999999999</v>
      </c>
      <c r="J16" s="1">
        <v>1045</v>
      </c>
      <c r="M16" s="27" t="str">
        <f t="shared" si="0"/>
        <v>135</v>
      </c>
      <c r="N16" s="27">
        <f t="shared" si="1"/>
        <v>0</v>
      </c>
      <c r="O16" s="28">
        <f>(E16-((G16^3*standards!$B$25+G16^2*standards!$B$26+G16*standards!$B$27+standards!$B$28)+(A16^3*standards!$C$25+standards!$C$26*A16^2+standards!$C$27*A16+standards!$C$28)))*standards!$R$27+standards!$R$26</f>
        <v>-26.036861914898399</v>
      </c>
      <c r="P16" s="28">
        <f>(H16-((J16^3*standards!$B$31+J16^2*standards!$B$32+J16*standards!$B$33+standards!$B$34)+(A16^3*standards!$C$31+standards!$C$32*A16^2+standards!$C$33*A16+standards!$C$34)))*standards!$S$27+standards!$S$26</f>
        <v>5.66664776685686</v>
      </c>
      <c r="Q16" s="29">
        <f>((F16*standards!$R$31+standards!$R$30)*F16)/D16</f>
        <v>0.69952292582257769</v>
      </c>
      <c r="R16" s="35">
        <f>((I16*standards!$S$31+standards!$S$30)*I16)/D16</f>
        <v>0.13167498371097719</v>
      </c>
      <c r="S16" s="29">
        <f t="shared" si="2"/>
        <v>5.3124967712774538</v>
      </c>
      <c r="T16" s="30">
        <f t="shared" si="3"/>
        <v>7.0106450252951094</v>
      </c>
      <c r="U16" s="30">
        <f t="shared" si="4"/>
        <v>23.146411483253587</v>
      </c>
    </row>
    <row r="17" spans="1:21" x14ac:dyDescent="0.2">
      <c r="A17" s="1">
        <v>17</v>
      </c>
      <c r="B17" s="1" t="s">
        <v>77</v>
      </c>
      <c r="D17" s="1">
        <v>11.071999999999999</v>
      </c>
      <c r="E17" s="1">
        <v>-30.172999999999998</v>
      </c>
      <c r="F17" s="1">
        <v>260.27600000000001</v>
      </c>
      <c r="G17" s="1">
        <v>7439</v>
      </c>
      <c r="H17">
        <v>2.6539999999999999</v>
      </c>
      <c r="I17">
        <v>21.783999999999999</v>
      </c>
      <c r="J17">
        <v>843</v>
      </c>
      <c r="M17" s="27" t="str">
        <f t="shared" si="0"/>
        <v>136</v>
      </c>
      <c r="N17" s="27">
        <f t="shared" si="1"/>
        <v>0</v>
      </c>
      <c r="O17" s="28">
        <f>(E17-((G17^3*standards!$B$25+G17^2*standards!$B$26+G17*standards!$B$27+standards!$B$28)+(A17^3*standards!$C$25+standards!$C$26*A17^2+standards!$C$27*A17+standards!$C$28)))*standards!$R$27+standards!$R$26</f>
        <v>-26.168249951609237</v>
      </c>
      <c r="P17" s="28">
        <f>(H17-((J17^3*standards!$B$31+J17^2*standards!$B$32+J17*standards!$B$33+standards!$B$34)+(A17^3*standards!$C$31+standards!$C$32*A17^2+standards!$C$33*A17+standards!$C$34)))*standards!$S$27+standards!$S$26</f>
        <v>5.6691608006330894</v>
      </c>
      <c r="Q17" s="29">
        <f>((F17*standards!$R$31+standards!$R$30)*F17)/D17</f>
        <v>0.61428367560672237</v>
      </c>
      <c r="R17" s="35">
        <f>((I17*standards!$S$31+standards!$S$30)*I17)/D17</f>
        <v>0.12308622120725125</v>
      </c>
      <c r="S17" s="29">
        <f t="shared" si="2"/>
        <v>4.9906778320247405</v>
      </c>
      <c r="T17" s="30">
        <f t="shared" si="3"/>
        <v>8.1860465116279055</v>
      </c>
      <c r="U17" s="30">
        <f t="shared" si="4"/>
        <v>26.268090154211151</v>
      </c>
    </row>
    <row r="18" spans="1:21" x14ac:dyDescent="0.2">
      <c r="A18" s="1">
        <v>18</v>
      </c>
      <c r="B18" s="1" t="s">
        <v>78</v>
      </c>
      <c r="D18" s="1">
        <v>13.542999999999999</v>
      </c>
      <c r="E18" s="1">
        <v>-29.896000000000001</v>
      </c>
      <c r="F18" s="1">
        <v>328.27</v>
      </c>
      <c r="G18" s="1">
        <v>9488</v>
      </c>
      <c r="H18">
        <v>2.867</v>
      </c>
      <c r="I18">
        <v>28.312999999999999</v>
      </c>
      <c r="J18">
        <v>1121</v>
      </c>
      <c r="M18" s="27" t="str">
        <f t="shared" si="0"/>
        <v>142</v>
      </c>
      <c r="N18" s="27">
        <f t="shared" si="1"/>
        <v>0</v>
      </c>
      <c r="O18" s="28">
        <f>(E18-((G18^3*standards!$B$25+G18^2*standards!$B$26+G18*standards!$B$27+standards!$B$28)+(A18^3*standards!$C$25+standards!$C$26*A18^2+standards!$C$27*A18+standards!$C$28)))*standards!$R$27+standards!$R$26</f>
        <v>-25.861468271494534</v>
      </c>
      <c r="P18" s="28">
        <f>(H18-((J18^3*standards!$B$31+J18^2*standards!$B$32+J18*standards!$B$33+standards!$B$34)+(A18^3*standards!$C$31+standards!$C$32*A18^2+standards!$C$33*A18+standards!$C$34)))*standards!$S$27+standards!$S$26</f>
        <v>5.8029798492172828</v>
      </c>
      <c r="Q18" s="29">
        <f>((F18*standards!$R$31+standards!$R$30)*F18)/D18</f>
        <v>0.63752757606553712</v>
      </c>
      <c r="R18" s="35">
        <f>((I18*standards!$S$31+standards!$S$30)*I18)/D18</f>
        <v>0.1306259302498812</v>
      </c>
      <c r="S18" s="29">
        <f t="shared" si="2"/>
        <v>4.8805591267061379</v>
      </c>
      <c r="T18" s="30">
        <f t="shared" si="3"/>
        <v>7.8506007588532887</v>
      </c>
      <c r="U18" s="30">
        <f t="shared" si="4"/>
        <v>24.162355040142728</v>
      </c>
    </row>
    <row r="19" spans="1:21" x14ac:dyDescent="0.2">
      <c r="A19" s="1">
        <v>19</v>
      </c>
      <c r="B19" s="1" t="s">
        <v>79</v>
      </c>
      <c r="D19" s="1">
        <v>13.379</v>
      </c>
      <c r="E19" s="1">
        <v>-30.152999999999999</v>
      </c>
      <c r="F19" s="1">
        <v>337.553</v>
      </c>
      <c r="G19" s="1">
        <v>10010</v>
      </c>
      <c r="H19">
        <v>3.2040000000000002</v>
      </c>
      <c r="I19">
        <v>30.463999999999999</v>
      </c>
      <c r="J19">
        <v>1268</v>
      </c>
      <c r="M19" s="27" t="str">
        <f t="shared" si="0"/>
        <v>153</v>
      </c>
      <c r="N19" s="27">
        <f t="shared" si="1"/>
        <v>0</v>
      </c>
      <c r="O19" s="28">
        <f>(E19-((G19^3*standards!$B$25+G19^2*standards!$B$26+G19*standards!$B$27+standards!$B$28)+(A19^3*standards!$C$25+standards!$C$26*A19^2+standards!$C$27*A19+standards!$C$28)))*standards!$R$27+standards!$R$26</f>
        <v>-26.096444119426387</v>
      </c>
      <c r="P19" s="28">
        <f>(H19-((J19^3*standards!$B$31+J19^2*standards!$B$32+J19*standards!$B$33+standards!$B$34)+(A19^3*standards!$C$31+standards!$C$32*A19^2+standards!$C$33*A19+standards!$C$34)))*standards!$S$27+standards!$S$26</f>
        <v>6.0147029448645757</v>
      </c>
      <c r="Q19" s="29">
        <f>((F19*standards!$R$31+standards!$R$30)*F19)/D19</f>
        <v>0.66417847966959609</v>
      </c>
      <c r="R19" s="35">
        <f>((I19*standards!$S$31+standards!$S$30)*I19)/D19</f>
        <v>0.14221446481120867</v>
      </c>
      <c r="S19" s="29">
        <f t="shared" si="2"/>
        <v>4.6702596712036337</v>
      </c>
      <c r="T19" s="30">
        <f t="shared" si="3"/>
        <v>7.3510989010989007</v>
      </c>
      <c r="U19" s="30">
        <f t="shared" si="4"/>
        <v>21.102523659305994</v>
      </c>
    </row>
    <row r="20" spans="1:21" x14ac:dyDescent="0.2">
      <c r="A20" s="1">
        <v>20</v>
      </c>
      <c r="B20" s="1" t="s">
        <v>80</v>
      </c>
      <c r="D20" s="1">
        <v>10.997</v>
      </c>
      <c r="E20" s="1">
        <v>-29.847999999999999</v>
      </c>
      <c r="F20" s="1">
        <v>261.99799999999999</v>
      </c>
      <c r="G20" s="1">
        <v>7550</v>
      </c>
      <c r="H20" s="1">
        <v>2.8330000000000002</v>
      </c>
      <c r="I20" s="1">
        <v>22.526</v>
      </c>
      <c r="J20" s="1">
        <v>884</v>
      </c>
      <c r="M20" s="27" t="str">
        <f t="shared" si="0"/>
        <v>154</v>
      </c>
      <c r="N20" s="27">
        <f t="shared" si="1"/>
        <v>0</v>
      </c>
      <c r="O20" s="28">
        <f>(E20-((G20^3*standards!$B$25+G20^2*standards!$B$26+G20*standards!$B$27+standards!$B$28)+(A20^3*standards!$C$25+standards!$C$26*A20^2+standards!$C$27*A20+standards!$C$28)))*standards!$R$27+standards!$R$26</f>
        <v>-25.78786772652975</v>
      </c>
      <c r="P20" s="28">
        <f>(H20-((J20^3*standards!$B$31+J20^2*standards!$B$32+J20*standards!$B$33+standards!$B$34)+(A20^3*standards!$C$31+standards!$C$32*A20^2+standards!$C$33*A20+standards!$C$34)))*standards!$S$27+standards!$S$26</f>
        <v>5.7816190621193364</v>
      </c>
      <c r="Q20" s="29">
        <f>((F20*standards!$R$31+standards!$R$30)*F20)/D20</f>
        <v>0.62266774294894589</v>
      </c>
      <c r="R20" s="35">
        <f>((I20*standards!$S$31+standards!$S$30)*I20)/D20</f>
        <v>0.12812871288577435</v>
      </c>
      <c r="S20" s="29">
        <f t="shared" si="2"/>
        <v>4.8597049710789557</v>
      </c>
      <c r="T20" s="30">
        <f t="shared" si="3"/>
        <v>8.0110596026490057</v>
      </c>
      <c r="U20" s="30">
        <f t="shared" si="4"/>
        <v>24.880090497737555</v>
      </c>
    </row>
    <row r="21" spans="1:21" x14ac:dyDescent="0.2">
      <c r="A21" s="1">
        <v>21</v>
      </c>
      <c r="B21" s="1" t="s">
        <v>81</v>
      </c>
      <c r="D21" s="1">
        <v>12.335000000000001</v>
      </c>
      <c r="E21" s="1">
        <v>-29.536999999999999</v>
      </c>
      <c r="F21" s="1">
        <v>290.404</v>
      </c>
      <c r="G21" s="1">
        <v>8594</v>
      </c>
      <c r="H21" s="1">
        <v>2.4870000000000001</v>
      </c>
      <c r="I21" s="1">
        <v>24.774999999999999</v>
      </c>
      <c r="J21" s="1">
        <v>1030</v>
      </c>
      <c r="M21" s="27" t="str">
        <f t="shared" si="0"/>
        <v>159</v>
      </c>
      <c r="N21" s="27">
        <f t="shared" si="1"/>
        <v>0</v>
      </c>
      <c r="O21" s="28">
        <f>(E21-((G21^3*standards!$B$25+G21^2*standards!$B$26+G21*standards!$B$27+standards!$B$28)+(A21^3*standards!$C$25+standards!$C$26*A21^2+standards!$C$27*A21+standards!$C$28)))*standards!$R$27+standards!$R$26</f>
        <v>-25.453954765946055</v>
      </c>
      <c r="P21" s="28">
        <f>(H21-((J21^3*standards!$B$31+J21^2*standards!$B$32+J21*standards!$B$33+standards!$B$34)+(A21^3*standards!$C$31+standards!$C$32*A21^2+standards!$C$33*A21+standards!$C$34)))*standards!$S$27+standards!$S$26</f>
        <v>5.5642416404755295</v>
      </c>
      <c r="Q21" s="29">
        <f>((F21*standards!$R$31+standards!$R$30)*F21)/D21</f>
        <v>0.61698830669818394</v>
      </c>
      <c r="R21" s="35">
        <f>((I21*standards!$S$31+standards!$S$30)*I21)/D21</f>
        <v>0.12558140250745503</v>
      </c>
      <c r="S21" s="29">
        <f t="shared" si="2"/>
        <v>4.9130547547560397</v>
      </c>
      <c r="T21" s="30">
        <f t="shared" si="3"/>
        <v>7.8941703514079586</v>
      </c>
      <c r="U21" s="30">
        <f t="shared" si="4"/>
        <v>23.95145631067961</v>
      </c>
    </row>
    <row r="22" spans="1:21" x14ac:dyDescent="0.2">
      <c r="A22" s="1">
        <v>22</v>
      </c>
      <c r="B22" s="1" t="s">
        <v>82</v>
      </c>
      <c r="D22" s="1">
        <v>16.773</v>
      </c>
      <c r="E22" s="1">
        <v>-28.513000000000002</v>
      </c>
      <c r="F22" s="1">
        <v>233.75299999999999</v>
      </c>
      <c r="G22" s="1">
        <v>6827</v>
      </c>
      <c r="H22" s="1">
        <v>3.605</v>
      </c>
      <c r="I22" s="1">
        <v>28.33</v>
      </c>
      <c r="J22" s="1">
        <v>1154</v>
      </c>
      <c r="M22" s="27" t="str">
        <f t="shared" si="0"/>
        <v>179</v>
      </c>
      <c r="N22" s="27">
        <f t="shared" si="1"/>
        <v>0</v>
      </c>
      <c r="O22" s="28">
        <f>(E22-((G22^3*standards!$B$25+G22^2*standards!$B$26+G22*standards!$B$27+standards!$B$28)+(A22^3*standards!$C$25+standards!$C$26*A22^2+standards!$C$27*A22+standards!$C$28)))*standards!$R$27+standards!$R$26</f>
        <v>-24.407090639215042</v>
      </c>
      <c r="P22" s="28">
        <f>(H22-((J22^3*standards!$B$31+J22^2*standards!$B$32+J22*standards!$B$33+standards!$B$34)+(A22^3*standards!$C$31+standards!$C$32*A22^2+standards!$C$33*A22+standards!$C$34)))*standards!$S$27+standards!$S$26</f>
        <v>6.266634580931532</v>
      </c>
      <c r="Q22" s="29">
        <f>((F22*standards!$R$31+standards!$R$30)*F22)/D22</f>
        <v>0.36324670844508672</v>
      </c>
      <c r="R22" s="35">
        <f>((I22*standards!$S$31+standards!$S$30)*I22)/D22</f>
        <v>0.10553409925205924</v>
      </c>
      <c r="S22" s="29">
        <f t="shared" si="2"/>
        <v>3.4419842593008991</v>
      </c>
      <c r="T22" s="30">
        <f t="shared" si="3"/>
        <v>13.512743518382891</v>
      </c>
      <c r="U22" s="30">
        <f t="shared" si="4"/>
        <v>29.069324090121317</v>
      </c>
    </row>
    <row r="23" spans="1:21" x14ac:dyDescent="0.2">
      <c r="A23" s="1">
        <v>23</v>
      </c>
      <c r="B23" s="1" t="s">
        <v>65</v>
      </c>
      <c r="D23" s="1">
        <v>0.23</v>
      </c>
      <c r="E23" s="1">
        <v>-15.997</v>
      </c>
      <c r="F23" s="1">
        <v>375.16199999999998</v>
      </c>
      <c r="G23" s="1">
        <v>11076</v>
      </c>
      <c r="H23" s="1">
        <v>11.185</v>
      </c>
      <c r="I23" s="1">
        <v>55.713000000000001</v>
      </c>
      <c r="J23" s="1">
        <v>2321</v>
      </c>
      <c r="M23" s="27" t="str">
        <f t="shared" si="0"/>
        <v>Taipan</v>
      </c>
      <c r="N23" s="27">
        <f t="shared" si="1"/>
        <v>0</v>
      </c>
      <c r="O23" s="28">
        <f>(E23-((G23^3*standards!$B$25+G23^2*standards!$B$26+G23*standards!$B$27+standards!$B$28)+(A23^3*standards!$C$25+standards!$C$26*A23^2+standards!$C$27*A23+standards!$C$28)))*standards!$R$27+standards!$R$26</f>
        <v>-11.755794344152838</v>
      </c>
      <c r="P23" s="28">
        <f>(H23-((J23^3*standards!$B$31+J23^2*standards!$B$32+J23*standards!$B$33+standards!$B$34)+(A23^3*standards!$C$31+standards!$C$32*A23^2+standards!$C$33*A23+standards!$C$34)))*standards!$S$27+standards!$S$26</f>
        <v>11.028833586885465</v>
      </c>
      <c r="Q23" s="29">
        <f>((F23*standards!$R$31+standards!$R$30)*F23)/D23</f>
        <v>43.093229411740097</v>
      </c>
      <c r="R23" s="35">
        <f>((I23*standards!$S$31+standards!$S$30)*I23)/D23</f>
        <v>15.056209580538255</v>
      </c>
      <c r="S23" s="29">
        <f t="shared" si="2"/>
        <v>2.8621565860402649</v>
      </c>
      <c r="T23" s="30">
        <f t="shared" si="3"/>
        <v>0.11421090646442759</v>
      </c>
      <c r="U23" s="30">
        <f t="shared" si="4"/>
        <v>0.19819043515725981</v>
      </c>
    </row>
    <row r="24" spans="1:21" x14ac:dyDescent="0.2">
      <c r="A24" s="1">
        <v>24</v>
      </c>
      <c r="B24" s="1" t="s">
        <v>66</v>
      </c>
      <c r="D24" s="1">
        <v>0.78200000000000003</v>
      </c>
      <c r="E24" s="1">
        <v>-30.042000000000002</v>
      </c>
      <c r="F24" s="1">
        <v>33.981000000000002</v>
      </c>
      <c r="G24" s="1">
        <v>992</v>
      </c>
      <c r="H24">
        <v>2.883</v>
      </c>
      <c r="I24">
        <v>1.621</v>
      </c>
      <c r="J24">
        <v>57</v>
      </c>
      <c r="M24" s="27" t="str">
        <f t="shared" si="0"/>
        <v>LOC</v>
      </c>
      <c r="N24" s="27">
        <f t="shared" si="1"/>
        <v>0</v>
      </c>
      <c r="O24" s="28">
        <f>(E24-((G24^3*standards!$B$25+G24^2*standards!$B$26+G24*standards!$B$27+standards!$B$28)+(A24^3*standards!$C$25+standards!$C$26*A24^2+standards!$C$27*A24+standards!$C$28)))*standards!$R$27+standards!$R$26</f>
        <v>-25.802441948955643</v>
      </c>
      <c r="P24" s="28">
        <f>(H24-((J24^3*standards!$B$31+J24^2*standards!$B$32+J24*standards!$B$33+standards!$B$34)+(A24^3*standards!$C$31+standards!$C$32*A24^2+standards!$C$33*A24+standards!$C$34)))*standards!$S$27+standards!$S$26</f>
        <v>5.8130319843221994</v>
      </c>
      <c r="Q24" s="29">
        <f>((F24*standards!$R$31+standards!$R$30)*F24)/D24</f>
        <v>1.1108741957197263</v>
      </c>
      <c r="R24" s="35">
        <f>((I24*standards!$S$31+standards!$S$30)*I24)/D24</f>
        <v>0.13017753172206345</v>
      </c>
      <c r="S24" s="29">
        <f t="shared" si="2"/>
        <v>8.5335324846341916</v>
      </c>
      <c r="T24" s="30">
        <f t="shared" si="3"/>
        <v>4.335685483870968</v>
      </c>
      <c r="U24" s="30">
        <f t="shared" si="4"/>
        <v>27.438596491228068</v>
      </c>
    </row>
    <row r="25" spans="1:21" x14ac:dyDescent="0.2">
      <c r="A25" s="1">
        <v>25</v>
      </c>
      <c r="B25" s="1" t="s">
        <v>67</v>
      </c>
      <c r="D25" s="1">
        <v>0.49399999999999999</v>
      </c>
      <c r="E25" s="1">
        <v>-31.975999999999999</v>
      </c>
      <c r="F25" s="1">
        <v>112.809</v>
      </c>
      <c r="G25" s="1">
        <v>3307</v>
      </c>
      <c r="H25">
        <v>2.6309999999999998</v>
      </c>
      <c r="I25">
        <v>4.0419999999999998</v>
      </c>
      <c r="J25">
        <v>151</v>
      </c>
      <c r="M25" s="27" t="str">
        <f t="shared" si="0"/>
        <v>HOC</v>
      </c>
      <c r="N25" s="27">
        <f t="shared" si="1"/>
        <v>0</v>
      </c>
      <c r="O25" s="28">
        <f>(E25-((G25^3*standards!$B$25+G25^2*standards!$B$26+G25*standards!$B$27+standards!$B$28)+(A25^3*standards!$C$25+standards!$C$26*A25^2+standards!$C$27*A25+standards!$C$28)))*standards!$R$27+standards!$R$26</f>
        <v>-27.796195591874316</v>
      </c>
      <c r="P25" s="28">
        <f>(H25-((J25^3*standards!$B$31+J25^2*standards!$B$32+J25*standards!$B$33+standards!$B$34)+(A25^3*standards!$C$31+standards!$C$32*A25^2+standards!$C$33*A25+standards!$C$34)))*standards!$S$27+standards!$S$26</f>
        <v>5.6547108564197721</v>
      </c>
      <c r="Q25" s="29">
        <f>((F25*standards!$R$31+standards!$R$30)*F25)/D25</f>
        <v>5.8829364165971647</v>
      </c>
      <c r="R25" s="35">
        <f>((I25*standards!$S$31+standards!$S$30)*I25)/D25</f>
        <v>0.5136058031378069</v>
      </c>
      <c r="S25" s="29">
        <f t="shared" si="2"/>
        <v>11.454186032665794</v>
      </c>
      <c r="T25" s="30">
        <f t="shared" si="3"/>
        <v>0.82159056546719078</v>
      </c>
      <c r="U25" s="30">
        <f t="shared" si="4"/>
        <v>6.5430463576158937</v>
      </c>
    </row>
    <row r="26" spans="1:21" x14ac:dyDescent="0.2">
      <c r="A26" s="1">
        <v>26</v>
      </c>
      <c r="B26" s="1" t="s">
        <v>67</v>
      </c>
      <c r="D26" s="1">
        <v>1.0620000000000001</v>
      </c>
      <c r="E26" s="1">
        <v>-32.091999999999999</v>
      </c>
      <c r="F26" s="1">
        <v>225.95</v>
      </c>
      <c r="G26" s="1">
        <v>6557</v>
      </c>
      <c r="H26">
        <v>3.609</v>
      </c>
      <c r="I26">
        <v>8.0909999999999993</v>
      </c>
      <c r="J26">
        <v>313</v>
      </c>
      <c r="M26" s="27" t="str">
        <f t="shared" si="0"/>
        <v>HOC</v>
      </c>
      <c r="N26" s="27">
        <f t="shared" si="1"/>
        <v>0</v>
      </c>
      <c r="O26" s="28">
        <f>(E26-((G26^3*standards!$B$25+G26^2*standards!$B$26+G26*standards!$B$27+standards!$B$28)+(A26^3*standards!$C$25+standards!$C$26*A26^2+standards!$C$27*A26+standards!$C$28)))*standards!$R$27+standards!$R$26</f>
        <v>-27.938594009902477</v>
      </c>
      <c r="P26" s="28">
        <f>(H26-((J26^3*standards!$B$31+J26^2*standards!$B$32+J26*standards!$B$33+standards!$B$34)+(A26^3*standards!$C$31+standards!$C$32*A26^2+standards!$C$33*A26+standards!$C$34)))*standards!$S$27+standards!$S$26</f>
        <v>6.2691476147077605</v>
      </c>
      <c r="Q26" s="29">
        <f>((F26*standards!$R$31+standards!$R$30)*F26)/D26</f>
        <v>5.541371202407035</v>
      </c>
      <c r="R26" s="35">
        <f>((I26*standards!$S$31+standards!$S$30)*I26)/D26</f>
        <v>0.47786461706152128</v>
      </c>
      <c r="S26" s="29">
        <f t="shared" si="2"/>
        <v>11.596111125535849</v>
      </c>
      <c r="T26" s="30">
        <f t="shared" si="3"/>
        <v>0.89080372121396978</v>
      </c>
      <c r="U26" s="30">
        <f t="shared" si="4"/>
        <v>6.7859424920127793</v>
      </c>
    </row>
    <row r="27" spans="1:21" x14ac:dyDescent="0.2">
      <c r="A27" s="1">
        <v>27</v>
      </c>
      <c r="B27" s="1" t="s">
        <v>67</v>
      </c>
      <c r="D27" s="1">
        <v>2.3940000000000001</v>
      </c>
      <c r="E27" s="1">
        <v>-32.103999999999999</v>
      </c>
      <c r="F27" s="1">
        <v>535.04999999999995</v>
      </c>
      <c r="G27" s="1">
        <v>15484</v>
      </c>
      <c r="H27" s="1">
        <v>4.1470000000000002</v>
      </c>
      <c r="I27" s="1">
        <v>18.984000000000002</v>
      </c>
      <c r="J27" s="1">
        <v>767</v>
      </c>
      <c r="M27" s="27" t="str">
        <f t="shared" si="0"/>
        <v>HOC</v>
      </c>
      <c r="N27" s="27">
        <f t="shared" si="1"/>
        <v>0</v>
      </c>
      <c r="O27" s="28">
        <f>(E27-((G27^3*standards!$B$25+G27^2*standards!$B$26+G27*standards!$B$27+standards!$B$28)+(A27^3*standards!$C$25+standards!$C$26*A27^2+standards!$C$27*A27+standards!$C$28)))*standards!$R$27+standards!$R$26</f>
        <v>-27.77045446635238</v>
      </c>
      <c r="P27" s="28">
        <f>(H27-((J27^3*standards!$B$31+J27^2*standards!$B$32+J27*standards!$B$33+standards!$B$34)+(A27^3*standards!$C$31+standards!$C$32*A27^2+standards!$C$33*A27+standards!$C$34)))*standards!$S$27+standards!$S$26</f>
        <v>6.6071506576105596</v>
      </c>
      <c r="Q27" s="29">
        <f>((F27*standards!$R$31+standards!$R$30)*F27)/D27</f>
        <v>5.9940895869434927</v>
      </c>
      <c r="R27" s="35">
        <f>((I27*standards!$S$31+standards!$S$30)*I27)/D27</f>
        <v>0.49635526183603984</v>
      </c>
      <c r="S27" s="29">
        <f t="shared" si="2"/>
        <v>12.076208409217005</v>
      </c>
      <c r="T27" s="30">
        <f t="shared" si="3"/>
        <v>0.85036166365280286</v>
      </c>
      <c r="U27" s="30">
        <f t="shared" si="4"/>
        <v>6.2425032594524117</v>
      </c>
    </row>
    <row r="28" spans="1:21" x14ac:dyDescent="0.2">
      <c r="A28" s="1">
        <v>28</v>
      </c>
      <c r="B28" s="1" t="s">
        <v>67</v>
      </c>
      <c r="D28" s="1">
        <v>3.93</v>
      </c>
      <c r="E28" s="1">
        <v>-32.768999999999998</v>
      </c>
      <c r="F28" s="1">
        <v>855.625</v>
      </c>
      <c r="G28" s="1">
        <v>24727</v>
      </c>
      <c r="H28" s="1">
        <v>4.5419999999999998</v>
      </c>
      <c r="I28" s="1">
        <v>30.808</v>
      </c>
      <c r="J28" s="1">
        <v>1273</v>
      </c>
      <c r="M28" s="27" t="str">
        <f t="shared" si="0"/>
        <v>HOC</v>
      </c>
      <c r="N28" s="27">
        <f t="shared" si="1"/>
        <v>0</v>
      </c>
      <c r="O28" s="28">
        <f>(E28-((G28^3*standards!$B$25+G28^2*standards!$B$26+G28*standards!$B$27+standards!$B$28)+(A28^3*standards!$C$25+standards!$C$26*A28^2+standards!$C$27*A28+standards!$C$28)))*standards!$R$27+standards!$R$26</f>
        <v>-27.819121961378656</v>
      </c>
      <c r="P28" s="28">
        <f>(H28-((J28^3*standards!$B$31+J28^2*standards!$B$32+J28*standards!$B$33+standards!$B$34)+(A28^3*standards!$C$31+standards!$C$32*A28^2+standards!$C$33*A28+standards!$C$34)))*standards!$S$27+standards!$S$26</f>
        <v>6.8553127430131724</v>
      </c>
      <c r="Q28" s="29">
        <f>((F28*standards!$R$31+standards!$R$30)*F28)/D28</f>
        <v>6.013918450918835</v>
      </c>
      <c r="R28" s="35">
        <f>((I28*standards!$S$31+standards!$S$30)*I28)/D28</f>
        <v>0.48957924474834413</v>
      </c>
      <c r="S28" s="29">
        <f t="shared" si="2"/>
        <v>12.283850909591028</v>
      </c>
      <c r="T28" s="30">
        <f t="shared" si="3"/>
        <v>0.87414567072430949</v>
      </c>
      <c r="U28" s="30">
        <f t="shared" si="4"/>
        <v>6.1743912018853102</v>
      </c>
    </row>
    <row r="29" spans="1:21" x14ac:dyDescent="0.2">
      <c r="A29" s="1">
        <v>29</v>
      </c>
      <c r="B29" s="1" t="s">
        <v>83</v>
      </c>
      <c r="D29" s="1">
        <v>13.89</v>
      </c>
      <c r="E29" s="1">
        <v>-29.276</v>
      </c>
      <c r="F29" s="1">
        <v>272.36900000000003</v>
      </c>
      <c r="G29" s="1">
        <v>7863</v>
      </c>
      <c r="H29" s="1">
        <v>3.306</v>
      </c>
      <c r="I29" s="1">
        <v>29.777000000000001</v>
      </c>
      <c r="J29" s="1">
        <v>1191</v>
      </c>
      <c r="M29" s="27" t="str">
        <f t="shared" si="0"/>
        <v>180</v>
      </c>
      <c r="N29" s="27">
        <f t="shared" si="1"/>
        <v>0</v>
      </c>
      <c r="O29" s="28">
        <f>(E29-((G29^3*standards!$B$25+G29^2*standards!$B$26+G29*standards!$B$27+standards!$B$28)+(A29^3*standards!$C$25+standards!$C$26*A29^2+standards!$C$27*A29+standards!$C$28)))*standards!$R$27+standards!$R$26</f>
        <v>-25.052137617165339</v>
      </c>
      <c r="P29" s="28">
        <f>(H29-((J29^3*standards!$B$31+J29^2*standards!$B$32+J29*standards!$B$33+standards!$B$34)+(A29^3*standards!$C$31+standards!$C$32*A29^2+standards!$C$33*A29+standards!$C$34)))*standards!$S$27+standards!$S$26</f>
        <v>6.0787853061584149</v>
      </c>
      <c r="Q29" s="29">
        <f>((F29*standards!$R$31+standards!$R$30)*F29)/D29</f>
        <v>0.51300258827965117</v>
      </c>
      <c r="R29" s="35">
        <f>((I29*standards!$S$31+standards!$S$30)*I29)/D29</f>
        <v>0.13391092693607107</v>
      </c>
      <c r="S29" s="29">
        <f t="shared" si="2"/>
        <v>3.8309240329921548</v>
      </c>
      <c r="T29" s="30">
        <f t="shared" si="3"/>
        <v>9.7157573445249898</v>
      </c>
      <c r="U29" s="30">
        <f t="shared" si="4"/>
        <v>23.324937027707808</v>
      </c>
    </row>
    <row r="30" spans="1:21" x14ac:dyDescent="0.2">
      <c r="A30" s="1">
        <v>30</v>
      </c>
      <c r="B30" s="1" t="s">
        <v>84</v>
      </c>
      <c r="D30" s="1">
        <v>13.468999999999999</v>
      </c>
      <c r="E30" s="1">
        <v>-28.564</v>
      </c>
      <c r="F30" s="1">
        <v>288.06400000000002</v>
      </c>
      <c r="G30" s="1">
        <v>8496</v>
      </c>
      <c r="H30" s="1">
        <v>3.391</v>
      </c>
      <c r="I30" s="1">
        <v>30.279</v>
      </c>
      <c r="J30" s="1">
        <v>1248</v>
      </c>
      <c r="M30" s="27" t="str">
        <f t="shared" si="0"/>
        <v>182</v>
      </c>
      <c r="N30" s="27">
        <f t="shared" si="1"/>
        <v>0</v>
      </c>
      <c r="O30" s="28">
        <f>(E30-((G30^3*standards!$B$25+G30^2*standards!$B$26+G30*standards!$B$27+standards!$B$28)+(A30^3*standards!$C$25+standards!$C$26*A30^2+standards!$C$27*A30+standards!$C$28)))*standards!$R$27+standards!$R$26</f>
        <v>-24.315329697333727</v>
      </c>
      <c r="P30" s="28">
        <f>(H30-((J30^3*standards!$B$31+J30^2*standards!$B$32+J30*standards!$B$33+standards!$B$34)+(A30^3*standards!$C$31+standards!$C$32*A30^2+standards!$C$33*A30+standards!$C$34)))*standards!$S$27+standards!$S$26</f>
        <v>6.1321872739032806</v>
      </c>
      <c r="Q30" s="29">
        <f>((F30*standards!$R$31+standards!$R$30)*F30)/D30</f>
        <v>0.5603636705157572</v>
      </c>
      <c r="R30" s="35">
        <f>((I30*standards!$S$31+standards!$S$30)*I30)/D30</f>
        <v>0.14041127265567102</v>
      </c>
      <c r="S30" s="29">
        <f t="shared" si="2"/>
        <v>3.9908738088994515</v>
      </c>
      <c r="T30" s="30">
        <f t="shared" si="3"/>
        <v>8.7193385122410554</v>
      </c>
      <c r="U30" s="30">
        <f t="shared" si="4"/>
        <v>21.584935897435898</v>
      </c>
    </row>
    <row r="31" spans="1:21" x14ac:dyDescent="0.2">
      <c r="A31" s="1">
        <v>31</v>
      </c>
      <c r="B31" s="1" t="s">
        <v>85</v>
      </c>
      <c r="D31" s="1">
        <v>13.321999999999999</v>
      </c>
      <c r="E31" s="1">
        <v>-28.847999999999999</v>
      </c>
      <c r="F31" s="1">
        <v>249.006</v>
      </c>
      <c r="G31" s="1">
        <v>7259</v>
      </c>
      <c r="H31" s="1">
        <v>3.24</v>
      </c>
      <c r="I31" s="1">
        <v>28.268000000000001</v>
      </c>
      <c r="J31" s="1">
        <v>1155</v>
      </c>
      <c r="M31" s="27" t="str">
        <f t="shared" si="0"/>
        <v>184</v>
      </c>
      <c r="N31" s="27">
        <f t="shared" si="1"/>
        <v>0</v>
      </c>
      <c r="O31" s="28">
        <f>(E31-((G31^3*standards!$B$25+G31^2*standards!$B$26+G31*standards!$B$27+standards!$B$28)+(A31^3*standards!$C$25+standards!$C$26*A31^2+standards!$C$27*A31+standards!$C$28)))*standards!$R$27+standards!$R$26</f>
        <v>-24.585936284311074</v>
      </c>
      <c r="P31" s="28">
        <f>(H31-((J31^3*standards!$B$31+J31^2*standards!$B$32+J31*standards!$B$33+standards!$B$34)+(A31^3*standards!$C$31+standards!$C$32*A31^2+standards!$C$33*A31+standards!$C$34)))*standards!$S$27+standards!$S$26</f>
        <v>6.0373202488506363</v>
      </c>
      <c r="Q31" s="29">
        <f>((F31*standards!$R$31+standards!$R$30)*F31)/D31</f>
        <v>0.48790113928698864</v>
      </c>
      <c r="R31" s="35">
        <f>((I31*standards!$S$31+standards!$S$30)*I31)/D31</f>
        <v>0.13258297500383259</v>
      </c>
      <c r="S31" s="29">
        <f t="shared" si="2"/>
        <v>3.6799682559007656</v>
      </c>
      <c r="T31" s="30">
        <f t="shared" si="3"/>
        <v>10.093814575010333</v>
      </c>
      <c r="U31" s="30">
        <f t="shared" si="4"/>
        <v>23.068398268398269</v>
      </c>
    </row>
    <row r="32" spans="1:21" x14ac:dyDescent="0.2">
      <c r="A32" s="1">
        <v>32</v>
      </c>
      <c r="B32" s="1" t="s">
        <v>86</v>
      </c>
      <c r="D32" s="1">
        <v>13.923999999999999</v>
      </c>
      <c r="E32" s="1">
        <v>-29.486999999999998</v>
      </c>
      <c r="F32" s="1">
        <v>283.71800000000002</v>
      </c>
      <c r="G32" s="1">
        <v>8314</v>
      </c>
      <c r="H32" s="1">
        <v>3.1909999999999998</v>
      </c>
      <c r="I32" s="1">
        <v>30.526</v>
      </c>
      <c r="J32" s="1">
        <v>1249</v>
      </c>
      <c r="M32" s="27" t="str">
        <f t="shared" si="0"/>
        <v>197</v>
      </c>
      <c r="N32" s="27">
        <f t="shared" si="1"/>
        <v>0</v>
      </c>
      <c r="O32" s="28">
        <f>(E32-((G32^3*standards!$B$25+G32^2*standards!$B$26+G32*standards!$B$27+standards!$B$28)+(A32^3*standards!$C$25+standards!$C$26*A32^2+standards!$C$27*A32+standards!$C$28)))*standards!$R$27+standards!$R$26</f>
        <v>-25.210060606795349</v>
      </c>
      <c r="P32" s="28">
        <f>(H32-((J32^3*standards!$B$31+J32^2*standards!$B$32+J32*standards!$B$33+standards!$B$34)+(A32^3*standards!$C$31+standards!$C$32*A32^2+standards!$C$33*A32+standards!$C$34)))*standards!$S$27+standards!$S$26</f>
        <v>6.0065355850918314</v>
      </c>
      <c r="Q32" s="29">
        <f>((F32*standards!$R$31+standards!$R$30)*F32)/D32</f>
        <v>0.5336526997242822</v>
      </c>
      <c r="R32" s="35">
        <f>((I32*standards!$S$31+standards!$S$30)*I32)/D32</f>
        <v>0.13692452881465061</v>
      </c>
      <c r="S32" s="29">
        <f t="shared" si="2"/>
        <v>3.8974222102065221</v>
      </c>
      <c r="T32" s="30">
        <f t="shared" si="3"/>
        <v>9.2112100072167422</v>
      </c>
      <c r="U32" s="30">
        <f t="shared" si="4"/>
        <v>22.296236989591673</v>
      </c>
    </row>
    <row r="33" spans="1:21" x14ac:dyDescent="0.2">
      <c r="A33" s="1">
        <v>33</v>
      </c>
      <c r="B33" s="1" t="s">
        <v>87</v>
      </c>
      <c r="D33" s="1">
        <v>11.228</v>
      </c>
      <c r="E33" s="1">
        <v>-30.331</v>
      </c>
      <c r="F33" s="1">
        <v>379.70400000000001</v>
      </c>
      <c r="G33" s="1">
        <v>11166</v>
      </c>
      <c r="H33" s="1">
        <v>2.5110000000000001</v>
      </c>
      <c r="I33" s="1">
        <v>23.164999999999999</v>
      </c>
      <c r="J33" s="1">
        <v>939</v>
      </c>
      <c r="M33" s="27" t="str">
        <f t="shared" si="0"/>
        <v>108</v>
      </c>
      <c r="N33" s="27">
        <f t="shared" si="1"/>
        <v>0</v>
      </c>
      <c r="O33" s="28">
        <f>(E33-((G33^3*standards!$B$25+G33^2*standards!$B$26+G33*standards!$B$27+standards!$B$28)+(A33^3*standards!$C$25+standards!$C$26*A33^2+standards!$C$27*A33+standards!$C$28)))*standards!$R$27+standards!$R$26</f>
        <v>-26.009121845884149</v>
      </c>
      <c r="P33" s="28">
        <f>(H33-((J33^3*standards!$B$31+J33^2*standards!$B$32+J33*standards!$B$33+standards!$B$34)+(A33^3*standards!$C$31+standards!$C$32*A33^2+standards!$C$33*A33+standards!$C$34)))*standards!$S$27+standards!$S$26</f>
        <v>5.579319843132903</v>
      </c>
      <c r="Q33" s="29">
        <f>((F33*standards!$R$31+standards!$R$30)*F33)/D33</f>
        <v>0.89381534882578295</v>
      </c>
      <c r="R33" s="35">
        <f>((I33*standards!$S$31+standards!$S$30)*I33)/D33</f>
        <v>0.1290368432182826</v>
      </c>
      <c r="S33" s="29">
        <f t="shared" si="2"/>
        <v>6.9268228091551967</v>
      </c>
      <c r="T33" s="30">
        <f t="shared" si="3"/>
        <v>5.530539136664876</v>
      </c>
      <c r="U33" s="30">
        <f t="shared" si="4"/>
        <v>23.914802981895633</v>
      </c>
    </row>
    <row r="34" spans="1:21" x14ac:dyDescent="0.2">
      <c r="A34" s="1">
        <v>34</v>
      </c>
      <c r="B34" s="1" t="s">
        <v>88</v>
      </c>
      <c r="D34" s="1">
        <v>5.2160000000000002</v>
      </c>
      <c r="E34" s="1">
        <v>-30.709</v>
      </c>
      <c r="F34" s="1">
        <v>349.74700000000001</v>
      </c>
      <c r="G34" s="1">
        <v>10318</v>
      </c>
      <c r="H34" s="1">
        <v>1.38</v>
      </c>
      <c r="I34" s="1">
        <v>15.185</v>
      </c>
      <c r="J34" s="1">
        <v>605</v>
      </c>
      <c r="M34" s="27" t="str">
        <f t="shared" si="0"/>
        <v>86</v>
      </c>
      <c r="N34" s="27">
        <f t="shared" si="1"/>
        <v>0</v>
      </c>
      <c r="O34" s="28">
        <f>(E34-((G34^3*standards!$B$25+G34^2*standards!$B$26+G34*standards!$B$27+standards!$B$28)+(A34^3*standards!$C$25+standards!$C$26*A34^2+standards!$C$27*A34+standards!$C$28)))*standards!$R$27+standards!$R$26</f>
        <v>-26.386204613988248</v>
      </c>
      <c r="P34" s="28">
        <f>(H34-((J34^3*standards!$B$31+J34^2*standards!$B$32+J34*standards!$B$33+standards!$B$34)+(A34^3*standards!$C$31+standards!$C$32*A34^2+standards!$C$33*A34+standards!$C$34)))*standards!$S$27+standards!$S$26</f>
        <v>4.8687595429041561</v>
      </c>
      <c r="Q34" s="29">
        <f>((F34*standards!$R$31+standards!$R$30)*F34)/D34</f>
        <v>1.7672035110826618</v>
      </c>
      <c r="R34" s="35">
        <f>((I34*standards!$S$31+standards!$S$30)*I34)/D34</f>
        <v>0.1823558529488061</v>
      </c>
      <c r="S34" s="29">
        <f t="shared" si="2"/>
        <v>9.6909612853434428</v>
      </c>
      <c r="T34" s="30">
        <f t="shared" si="3"/>
        <v>2.7803837953091683</v>
      </c>
      <c r="U34" s="30">
        <f t="shared" si="4"/>
        <v>17.242975206611572</v>
      </c>
    </row>
    <row r="35" spans="1:21" x14ac:dyDescent="0.2">
      <c r="A35" s="1">
        <v>35</v>
      </c>
      <c r="B35" s="1" t="s">
        <v>89</v>
      </c>
      <c r="D35" s="1">
        <v>2.84</v>
      </c>
      <c r="E35" s="1">
        <v>-31.786000000000001</v>
      </c>
      <c r="F35" s="1">
        <v>343.86</v>
      </c>
      <c r="G35" s="1">
        <v>10049</v>
      </c>
      <c r="H35" s="1">
        <v>1.5029999999999999</v>
      </c>
      <c r="I35" s="1">
        <v>10.951000000000001</v>
      </c>
      <c r="J35" s="1">
        <v>426</v>
      </c>
      <c r="M35" s="27" t="str">
        <f t="shared" si="0"/>
        <v>72</v>
      </c>
      <c r="N35" s="27">
        <f t="shared" si="1"/>
        <v>0</v>
      </c>
      <c r="O35" s="28">
        <f>(E35-((G35^3*standards!$B$25+G35^2*standards!$B$26+G35*standards!$B$27+standards!$B$28)+(A35^3*standards!$C$25+standards!$C$26*A35^2+standards!$C$27*A35+standards!$C$28)))*standards!$R$27+standards!$R$26</f>
        <v>-27.456594348868915</v>
      </c>
      <c r="P35" s="28">
        <f>(H35-((J35^3*standards!$B$31+J35^2*standards!$B$32+J35*standards!$B$33+standards!$B$34)+(A35^3*standards!$C$31+standards!$C$32*A35^2+standards!$C$33*A35+standards!$C$34)))*standards!$S$27+standards!$S$26</f>
        <v>4.9460353315231975</v>
      </c>
      <c r="Q35" s="29">
        <f>((F35*standards!$R$31+standards!$R$30)*F35)/D35</f>
        <v>3.1892633462357631</v>
      </c>
      <c r="R35" s="35">
        <f>((I35*standards!$S$31+standards!$S$30)*I35)/D35</f>
        <v>0.24172802241340102</v>
      </c>
      <c r="S35" s="29">
        <f t="shared" si="2"/>
        <v>13.193602108660428</v>
      </c>
      <c r="T35" s="30">
        <f t="shared" si="3"/>
        <v>1.5543835207483332</v>
      </c>
      <c r="U35" s="30">
        <f t="shared" si="4"/>
        <v>13.333333333333334</v>
      </c>
    </row>
    <row r="36" spans="1:21" x14ac:dyDescent="0.2">
      <c r="A36" s="1">
        <v>36</v>
      </c>
      <c r="B36" s="1" t="s">
        <v>90</v>
      </c>
      <c r="D36" s="1">
        <v>19.324000000000002</v>
      </c>
      <c r="E36" s="1">
        <v>-29.003</v>
      </c>
      <c r="F36" s="1">
        <v>339.97800000000001</v>
      </c>
      <c r="G36" s="1">
        <v>9998</v>
      </c>
      <c r="H36" s="1">
        <v>3.8519999999999999</v>
      </c>
      <c r="I36" s="1">
        <v>42.325000000000003</v>
      </c>
      <c r="J36" s="1">
        <v>1766</v>
      </c>
      <c r="M36" s="27" t="str">
        <f t="shared" si="0"/>
        <v>192</v>
      </c>
      <c r="N36" s="27">
        <f t="shared" si="1"/>
        <v>0</v>
      </c>
      <c r="O36" s="28">
        <f>(E36-((G36^3*standards!$B$25+G36^2*standards!$B$26+G36*standards!$B$27+standards!$B$28)+(A36^3*standards!$C$25+standards!$C$26*A36^2+standards!$C$27*A36+standards!$C$28)))*standards!$R$27+standards!$R$26</f>
        <v>-24.637469256574771</v>
      </c>
      <c r="P36" s="28">
        <f>(H36-((J36^3*standards!$B$31+J36^2*standards!$B$32+J36*standards!$B$33+standards!$B$34)+(A36^3*standards!$C$31+standards!$C$32*A36^2+standards!$C$33*A36+standards!$C$34)))*standards!$S$27+standards!$S$26</f>
        <v>6.421814416613671</v>
      </c>
      <c r="Q36" s="29">
        <f>((F36*standards!$R$31+standards!$R$30)*F36)/D36</f>
        <v>0.46325538632510432</v>
      </c>
      <c r="R36" s="35">
        <f>((I36*standards!$S$31+standards!$S$30)*I36)/D36</f>
        <v>0.1364891791560747</v>
      </c>
      <c r="S36" s="29">
        <f t="shared" si="2"/>
        <v>3.3940814150209966</v>
      </c>
      <c r="T36" s="30">
        <f t="shared" si="3"/>
        <v>10.630326065213044</v>
      </c>
      <c r="U36" s="30">
        <f t="shared" si="4"/>
        <v>21.88448471121178</v>
      </c>
    </row>
    <row r="37" spans="1:21" x14ac:dyDescent="0.2">
      <c r="A37" s="1">
        <v>37</v>
      </c>
      <c r="B37" s="1" t="s">
        <v>91</v>
      </c>
      <c r="D37" s="1">
        <v>11.35</v>
      </c>
      <c r="E37" s="1">
        <v>-28.797999999999998</v>
      </c>
      <c r="F37" s="1">
        <v>197.78299999999999</v>
      </c>
      <c r="G37" s="1">
        <v>5756</v>
      </c>
      <c r="H37" s="1">
        <v>3.2490000000000001</v>
      </c>
      <c r="I37" s="1">
        <v>24.111000000000001</v>
      </c>
      <c r="J37" s="1">
        <v>971</v>
      </c>
      <c r="M37" s="27" t="str">
        <f t="shared" si="0"/>
        <v>176</v>
      </c>
      <c r="N37" s="27">
        <f t="shared" si="1"/>
        <v>0</v>
      </c>
      <c r="O37" s="28">
        <f>(E37-((G37^3*standards!$B$25+G37^2*standards!$B$26+G37*standards!$B$27+standards!$B$28)+(A37^3*standards!$C$25+standards!$C$26*A37^2+standards!$C$27*A37+standards!$C$28)))*standards!$R$27+standards!$R$26</f>
        <v>-24.421498665998627</v>
      </c>
      <c r="P37" s="28">
        <f>(H37-((J37^3*standards!$B$31+J37^2*standards!$B$32+J37*standards!$B$33+standards!$B$34)+(A37^3*standards!$C$31+standards!$C$32*A37^2+standards!$C$33*A37+standards!$C$34)))*standards!$S$27+standards!$S$26</f>
        <v>6.0429745748471522</v>
      </c>
      <c r="Q37" s="29">
        <f>((F37*standards!$R$31+standards!$R$30)*F37)/D37</f>
        <v>0.45263102287810014</v>
      </c>
      <c r="R37" s="35">
        <f>((I37*standards!$S$31+standards!$S$30)*I37)/D37</f>
        <v>0.13283883013292985</v>
      </c>
      <c r="S37" s="29">
        <f t="shared" si="2"/>
        <v>3.4073698362531419</v>
      </c>
      <c r="T37" s="30">
        <f t="shared" si="3"/>
        <v>10.845205003474636</v>
      </c>
      <c r="U37" s="30">
        <f t="shared" si="4"/>
        <v>23.377960865087537</v>
      </c>
    </row>
    <row r="38" spans="1:21" x14ac:dyDescent="0.2">
      <c r="A38" s="1">
        <v>38</v>
      </c>
      <c r="B38" s="1" t="s">
        <v>92</v>
      </c>
      <c r="D38" s="1">
        <v>14.157999999999999</v>
      </c>
      <c r="E38" s="1">
        <v>-29.564</v>
      </c>
      <c r="F38" s="1">
        <v>344.012</v>
      </c>
      <c r="G38" s="1">
        <v>10020</v>
      </c>
      <c r="H38" s="1">
        <v>2.802</v>
      </c>
      <c r="I38" s="1">
        <v>28.939</v>
      </c>
      <c r="J38" s="1">
        <v>1164</v>
      </c>
      <c r="M38" s="27" t="str">
        <f t="shared" si="0"/>
        <v>132</v>
      </c>
      <c r="N38" s="27">
        <f t="shared" si="1"/>
        <v>0</v>
      </c>
      <c r="O38" s="28">
        <f>(E38-((G38^3*standards!$B$25+G38^2*standards!$B$26+G38*standards!$B$27+standards!$B$28)+(A38^3*standards!$C$25+standards!$C$26*A38^2+standards!$C$27*A38+standards!$C$28)))*standards!$R$27+standards!$R$26</f>
        <v>-25.166586894068665</v>
      </c>
      <c r="P38" s="28">
        <f>(H38-((J38^3*standards!$B$31+J38^2*standards!$B$32+J38*standards!$B$33+standards!$B$34)+(A38^3*standards!$C$31+standards!$C$32*A38^2+standards!$C$33*A38+standards!$C$34)))*standards!$S$27+standards!$S$26</f>
        <v>5.7621430503535622</v>
      </c>
      <c r="Q38" s="29">
        <f>((F38*standards!$R$31+standards!$R$30)*F38)/D38</f>
        <v>0.64003691772132942</v>
      </c>
      <c r="R38" s="35">
        <f>((I38*standards!$S$31+standards!$S$30)*I38)/D38</f>
        <v>0.12769921718692651</v>
      </c>
      <c r="S38" s="29">
        <f t="shared" si="2"/>
        <v>5.0120661020532449</v>
      </c>
      <c r="T38" s="30">
        <f t="shared" si="3"/>
        <v>7.7713572854291417</v>
      </c>
      <c r="U38" s="30">
        <f t="shared" si="4"/>
        <v>24.326460481099655</v>
      </c>
    </row>
    <row r="39" spans="1:21" x14ac:dyDescent="0.2">
      <c r="A39" s="1">
        <v>39</v>
      </c>
      <c r="B39" s="1" t="s">
        <v>93</v>
      </c>
      <c r="D39" s="1">
        <v>6.4880000000000004</v>
      </c>
      <c r="E39" s="1">
        <v>-31.146999999999998</v>
      </c>
      <c r="F39" s="1">
        <v>309.42899999999997</v>
      </c>
      <c r="G39" s="1">
        <v>9058</v>
      </c>
      <c r="H39" s="1">
        <v>1.7669999999999999</v>
      </c>
      <c r="I39" s="1">
        <v>16.001000000000001</v>
      </c>
      <c r="J39" s="1">
        <v>636</v>
      </c>
      <c r="M39" s="27" t="str">
        <f t="shared" si="0"/>
        <v>91</v>
      </c>
      <c r="N39" s="27">
        <f t="shared" si="1"/>
        <v>0</v>
      </c>
      <c r="O39" s="28">
        <f>(E39-((G39^3*standards!$B$25+G39^2*standards!$B$26+G39*standards!$B$27+standards!$B$28)+(A39^3*standards!$C$25+standards!$C$26*A39^2+standards!$C$27*A39+standards!$C$28)))*standards!$R$27+standards!$R$26</f>
        <v>-26.752843368859359</v>
      </c>
      <c r="P39" s="28">
        <f>(H39-((J39^3*standards!$B$31+J39^2*standards!$B$32+J39*standards!$B$33+standards!$B$34)+(A39^3*standards!$C$31+standards!$C$32*A39^2+standards!$C$33*A39+standards!$C$34)))*standards!$S$27+standards!$S$26</f>
        <v>5.1118955607543111</v>
      </c>
      <c r="Q39" s="29">
        <f>((F39*standards!$R$31+standards!$R$30)*F39)/D39</f>
        <v>1.2521396537144664</v>
      </c>
      <c r="R39" s="35">
        <f>((I39*standards!$S$31+standards!$S$30)*I39)/D39</f>
        <v>0.15445837849230296</v>
      </c>
      <c r="S39" s="29">
        <f t="shared" si="2"/>
        <v>8.1066476673964551</v>
      </c>
      <c r="T39" s="30">
        <f t="shared" si="3"/>
        <v>3.9395009935968206</v>
      </c>
      <c r="U39" s="30">
        <f t="shared" si="4"/>
        <v>20.40251572327044</v>
      </c>
    </row>
    <row r="40" spans="1:21" x14ac:dyDescent="0.2">
      <c r="A40" s="1">
        <v>40</v>
      </c>
      <c r="B40" s="1" t="s">
        <v>94</v>
      </c>
      <c r="D40" s="1">
        <v>4.8209999999999997</v>
      </c>
      <c r="E40" s="1">
        <v>-31.542000000000002</v>
      </c>
      <c r="F40" s="1">
        <v>396.78300000000002</v>
      </c>
      <c r="G40" s="1">
        <v>11208</v>
      </c>
      <c r="H40" s="1">
        <v>1.216</v>
      </c>
      <c r="I40" s="1">
        <v>15.215999999999999</v>
      </c>
      <c r="J40" s="1">
        <v>550</v>
      </c>
      <c r="M40" s="27" t="str">
        <f t="shared" si="0"/>
        <v>81</v>
      </c>
      <c r="N40" s="27">
        <f t="shared" si="1"/>
        <v>0</v>
      </c>
      <c r="O40" s="28">
        <f>(E40-((G40^3*standards!$B$25+G40^2*standards!$B$26+G40*standards!$B$27+standards!$B$28)+(A40^3*standards!$C$25+standards!$C$26*A40^2+standards!$C$27*A40+standards!$C$28)))*standards!$R$27+standards!$R$26</f>
        <v>-27.103574849074707</v>
      </c>
      <c r="P40" s="28">
        <f>(H40-((J40^3*standards!$B$31+J40^2*standards!$B$32+J40*standards!$B$33+standards!$B$34)+(A40^3*standards!$C$31+standards!$C$32*A40^2+standards!$C$33*A40+standards!$C$34)))*standards!$S$27+standards!$S$26</f>
        <v>4.7657251580787676</v>
      </c>
      <c r="Q40" s="29">
        <f>((F40*standards!$R$31+standards!$R$30)*F40)/D40</f>
        <v>2.1788304115645656</v>
      </c>
      <c r="R40" s="35">
        <f>((I40*standards!$S$31+standards!$S$30)*I40)/D40</f>
        <v>0.19769846845925659</v>
      </c>
      <c r="S40" s="29">
        <f t="shared" si="2"/>
        <v>11.020977696716946</v>
      </c>
      <c r="T40" s="30">
        <f t="shared" si="3"/>
        <v>2.3657655246252678</v>
      </c>
      <c r="U40" s="30">
        <f t="shared" si="4"/>
        <v>17.530909090909091</v>
      </c>
    </row>
    <row r="41" spans="1:21" x14ac:dyDescent="0.2">
      <c r="A41" s="1">
        <v>41</v>
      </c>
      <c r="B41" s="1" t="s">
        <v>95</v>
      </c>
      <c r="D41" s="1">
        <v>8.4139999999999997</v>
      </c>
      <c r="E41" s="1">
        <v>-30.439</v>
      </c>
      <c r="F41" s="1">
        <v>330.29199999999997</v>
      </c>
      <c r="G41" s="1">
        <v>9729</v>
      </c>
      <c r="H41" s="1">
        <v>2.4079999999999999</v>
      </c>
      <c r="I41" s="1">
        <v>20.382999999999999</v>
      </c>
      <c r="J41" s="1">
        <v>829</v>
      </c>
      <c r="M41" s="27" t="str">
        <f t="shared" si="0"/>
        <v>106</v>
      </c>
      <c r="N41" s="27">
        <f t="shared" si="1"/>
        <v>0</v>
      </c>
      <c r="O41" s="28">
        <f>(E41-((G41^3*standards!$B$25+G41^2*standards!$B$26+G41*standards!$B$27+standards!$B$28)+(A41^3*standards!$C$25+standards!$C$26*A41^2+standards!$C$27*A41+standards!$C$28)))*standards!$R$27+standards!$R$26</f>
        <v>-25.997990690461293</v>
      </c>
      <c r="P41" s="28">
        <f>(H41-((J41^3*standards!$B$31+J41^2*standards!$B$32+J41*standards!$B$33+standards!$B$34)+(A41^3*standards!$C$31+standards!$C$32*A41^2+standards!$C$33*A41+standards!$C$34)))*standards!$S$27+standards!$S$26</f>
        <v>5.5146092233950066</v>
      </c>
      <c r="Q41" s="29">
        <f>((F41*standards!$R$31+standards!$R$30)*F41)/D41</f>
        <v>1.0326706585651837</v>
      </c>
      <c r="R41" s="35">
        <f>((I41*standards!$S$31+standards!$S$30)*I41)/D41</f>
        <v>0.15159300573462631</v>
      </c>
      <c r="S41" s="29">
        <f t="shared" si="2"/>
        <v>6.8121260183530019</v>
      </c>
      <c r="T41" s="30">
        <f t="shared" si="3"/>
        <v>4.7566039675197862</v>
      </c>
      <c r="U41" s="30">
        <f t="shared" si="4"/>
        <v>20.299155609167673</v>
      </c>
    </row>
    <row r="42" spans="1:21" x14ac:dyDescent="0.2">
      <c r="A42" s="1">
        <v>42</v>
      </c>
      <c r="B42" s="1" t="s">
        <v>96</v>
      </c>
      <c r="D42" s="1">
        <v>13.004</v>
      </c>
      <c r="E42" s="1">
        <v>-29.018999999999998</v>
      </c>
      <c r="F42" s="1">
        <v>228.56899999999999</v>
      </c>
      <c r="G42" s="1">
        <v>6566</v>
      </c>
      <c r="H42" s="1">
        <v>3.34</v>
      </c>
      <c r="I42" s="1">
        <v>26.904</v>
      </c>
      <c r="J42" s="1">
        <v>1070</v>
      </c>
      <c r="M42" s="27" t="str">
        <f t="shared" si="0"/>
        <v>178</v>
      </c>
      <c r="N42" s="27">
        <f t="shared" si="1"/>
        <v>0</v>
      </c>
      <c r="O42" s="28">
        <f>(E42-((G42^3*standards!$B$25+G42^2*standards!$B$26+G42*standards!$B$27+standards!$B$28)+(A42^3*standards!$C$25+standards!$C$26*A42^2+standards!$C$27*A42+standards!$C$28)))*standards!$R$27+standards!$R$26</f>
        <v>-24.561051827562064</v>
      </c>
      <c r="P42" s="28">
        <f>(H42-((J42^3*standards!$B$31+J42^2*standards!$B$32+J42*standards!$B$33+standards!$B$34)+(A42^3*standards!$C$31+standards!$C$32*A42^2+standards!$C$33*A42+standards!$C$34)))*standards!$S$27+standards!$S$26</f>
        <v>6.1001460932563614</v>
      </c>
      <c r="Q42" s="29">
        <f>((F42*standards!$R$31+standards!$R$30)*F42)/D42</f>
        <v>0.45790898970297905</v>
      </c>
      <c r="R42" s="35">
        <f>((I42*standards!$S$31+standards!$S$30)*I42)/D42</f>
        <v>0.12930483485957739</v>
      </c>
      <c r="S42" s="29">
        <f t="shared" si="2"/>
        <v>3.5413137505667098</v>
      </c>
      <c r="T42" s="30">
        <f t="shared" si="3"/>
        <v>10.892780992994213</v>
      </c>
      <c r="U42" s="30">
        <f t="shared" si="4"/>
        <v>24.306542056074765</v>
      </c>
    </row>
    <row r="43" spans="1:21" x14ac:dyDescent="0.2">
      <c r="A43" s="1">
        <v>43</v>
      </c>
      <c r="B43" s="1" t="s">
        <v>97</v>
      </c>
      <c r="D43" s="1">
        <v>13.518000000000001</v>
      </c>
      <c r="E43" s="1">
        <v>-29.116</v>
      </c>
      <c r="F43" s="1">
        <v>291.49299999999999</v>
      </c>
      <c r="G43" s="1">
        <v>8465</v>
      </c>
      <c r="H43" s="1">
        <v>3.3610000000000002</v>
      </c>
      <c r="I43" s="1">
        <v>31.678000000000001</v>
      </c>
      <c r="J43" s="1">
        <v>1274</v>
      </c>
      <c r="M43" s="27" t="str">
        <f t="shared" si="0"/>
        <v>183</v>
      </c>
      <c r="N43" s="27">
        <f t="shared" si="1"/>
        <v>0</v>
      </c>
      <c r="O43" s="28">
        <f>(E43-((G43^3*standards!$B$25+G43^2*standards!$B$26+G43*standards!$B$27+standards!$B$28)+(A43^3*standards!$C$25+standards!$C$26*A43^2+standards!$C$27*A43+standards!$C$28)))*standards!$R$27+standards!$R$26</f>
        <v>-24.640900799567021</v>
      </c>
      <c r="P43" s="28">
        <f>(H43-((J43^3*standards!$B$31+J43^2*standards!$B$32+J43*standards!$B$33+standards!$B$34)+(A43^3*standards!$C$31+standards!$C$32*A43^2+standards!$C$33*A43+standards!$C$34)))*standards!$S$27+standards!$S$26</f>
        <v>6.1133395205815635</v>
      </c>
      <c r="Q43" s="29">
        <f>((F43*standards!$R$31+standards!$R$30)*F43)/D43</f>
        <v>0.56516386735201496</v>
      </c>
      <c r="R43" s="35">
        <f>((I43*standards!$S$31+standards!$S$30)*I43)/D43</f>
        <v>0.14632730729500792</v>
      </c>
      <c r="S43" s="29">
        <f t="shared" si="2"/>
        <v>3.8623267098915308</v>
      </c>
      <c r="T43" s="30">
        <f t="shared" si="3"/>
        <v>8.7831069108092148</v>
      </c>
      <c r="U43" s="30">
        <f t="shared" si="4"/>
        <v>21.221350078492936</v>
      </c>
    </row>
    <row r="44" spans="1:21" x14ac:dyDescent="0.2">
      <c r="A44">
        <v>44</v>
      </c>
      <c r="B44" t="s">
        <v>98</v>
      </c>
      <c r="D44">
        <v>4.4240000000000004</v>
      </c>
      <c r="E44">
        <v>-31.291</v>
      </c>
      <c r="F44">
        <v>284.53199999999998</v>
      </c>
      <c r="G44">
        <v>8374</v>
      </c>
      <c r="H44">
        <v>1.5369999999999999</v>
      </c>
      <c r="I44">
        <v>13.215</v>
      </c>
      <c r="J44">
        <v>524</v>
      </c>
      <c r="M44" s="27" t="str">
        <f t="shared" ref="M44:M50" si="5">B44</f>
        <v>83</v>
      </c>
      <c r="N44" s="27">
        <f t="shared" ref="N44:N50" si="6">C44</f>
        <v>0</v>
      </c>
      <c r="O44" s="28">
        <f>(E44-((G44^3*standards!$B$25+G44^2*standards!$B$26+G44*standards!$B$27+standards!$B$28)+(A44^3*standards!$C$25+standards!$C$26*A44^2+standards!$C$27*A44+standards!$C$28)))*standards!$R$27+standards!$R$26</f>
        <v>-26.813514236262737</v>
      </c>
      <c r="P44" s="28">
        <f>(H44-((J44^3*standards!$B$31+J44^2*standards!$B$32+J44*standards!$B$33+standards!$B$34)+(A44^3*standards!$C$31+standards!$C$32*A44^2+standards!$C$33*A44+standards!$C$34)))*standards!$S$27+standards!$S$26</f>
        <v>4.9673961186211439</v>
      </c>
      <c r="Q44" s="29">
        <f>((F44*standards!$R$31+standards!$R$30)*F44)/D44</f>
        <v>1.684556754564057</v>
      </c>
      <c r="R44" s="35">
        <f>((I44*standards!$S$31+standards!$S$30)*I44)/D44</f>
        <v>0.18717894353611514</v>
      </c>
      <c r="S44" s="29">
        <f t="shared" ref="S44:S50" si="7">Q44/R44</f>
        <v>8.9997129096897108</v>
      </c>
      <c r="T44" s="30">
        <f t="shared" ref="T44:T50" si="8">($V$2*D44)/G44</f>
        <v>2.9056603773584908</v>
      </c>
      <c r="U44" s="30">
        <f t="shared" ref="U44:U50" si="9">($V$3*D44)/J44</f>
        <v>16.885496183206108</v>
      </c>
    </row>
    <row r="45" spans="1:21" x14ac:dyDescent="0.2">
      <c r="A45">
        <v>45</v>
      </c>
      <c r="B45" t="s">
        <v>99</v>
      </c>
      <c r="D45">
        <v>3.056</v>
      </c>
      <c r="E45">
        <v>-31.420999999999999</v>
      </c>
      <c r="F45">
        <v>233.22</v>
      </c>
      <c r="G45">
        <v>6680</v>
      </c>
      <c r="H45">
        <v>1.0309999999999999</v>
      </c>
      <c r="I45">
        <v>8.09</v>
      </c>
      <c r="J45">
        <v>291</v>
      </c>
      <c r="M45" s="27" t="str">
        <f t="shared" si="5"/>
        <v>76</v>
      </c>
      <c r="N45" s="27">
        <f t="shared" si="6"/>
        <v>0</v>
      </c>
      <c r="O45" s="28">
        <f>(E45-((G45^3*standards!$B$25+G45^2*standards!$B$26+G45*standards!$B$27+standards!$B$28)+(A45^3*standards!$C$25+standards!$C$26*A45^2+standards!$C$27*A45+standards!$C$28)))*standards!$R$27+standards!$R$26</f>
        <v>-26.926870137388967</v>
      </c>
      <c r="P45" s="28">
        <f>(H45-((J45^3*standards!$B$31+J45^2*standards!$B$32+J45*standards!$B$33+standards!$B$34)+(A45^3*standards!$C$31+standards!$C$32*A45^2+standards!$C$33*A45+standards!$C$34)))*standards!$S$27+standards!$S$26</f>
        <v>4.649497345928177</v>
      </c>
      <c r="Q45" s="29">
        <f>((F45*standards!$R$31+standards!$R$30)*F45)/D45</f>
        <v>1.9890487794188103</v>
      </c>
      <c r="R45" s="35">
        <f>((I45*standards!$S$31+standards!$S$30)*I45)/D45</f>
        <v>0.16604371613298224</v>
      </c>
      <c r="S45" s="29">
        <f t="shared" si="7"/>
        <v>11.979066873122781</v>
      </c>
      <c r="T45" s="30">
        <f t="shared" si="8"/>
        <v>2.5161676646706588</v>
      </c>
      <c r="U45" s="30">
        <f t="shared" si="9"/>
        <v>21.003436426116838</v>
      </c>
    </row>
    <row r="46" spans="1:21" x14ac:dyDescent="0.2">
      <c r="A46">
        <v>46</v>
      </c>
      <c r="B46" t="s">
        <v>100</v>
      </c>
      <c r="D46">
        <v>10.929</v>
      </c>
      <c r="E46">
        <v>-30.780999999999999</v>
      </c>
      <c r="F46">
        <v>333.86799999999999</v>
      </c>
      <c r="G46">
        <v>9712</v>
      </c>
      <c r="H46">
        <v>2.34</v>
      </c>
      <c r="I46">
        <v>22.76</v>
      </c>
      <c r="J46">
        <v>902</v>
      </c>
      <c r="M46" s="27" t="str">
        <f t="shared" si="5"/>
        <v>117</v>
      </c>
      <c r="N46" s="27">
        <f t="shared" si="6"/>
        <v>0</v>
      </c>
      <c r="O46" s="28">
        <f>(E46-((G46^3*standards!$B$25+G46^2*standards!$B$26+G46*standards!$B$27+standards!$B$28)+(A46^3*standards!$C$25+standards!$C$26*A46^2+standards!$C$27*A46+standards!$C$28)))*standards!$R$27+standards!$R$26</f>
        <v>-26.253926130246168</v>
      </c>
      <c r="P46" s="28">
        <f>(H46-((J46^3*standards!$B$31+J46^2*standards!$B$32+J46*standards!$B$33+standards!$B$34)+(A46^3*standards!$C$31+standards!$C$32*A46^2+standards!$C$33*A46+standards!$C$34)))*standards!$S$27+standards!$S$26</f>
        <v>5.4718876491991137</v>
      </c>
      <c r="Q46" s="29">
        <f>((F46*standards!$R$31+standards!$R$30)*F46)/D46</f>
        <v>0.80391203105955744</v>
      </c>
      <c r="R46" s="35">
        <f>((I46*standards!$S$31+standards!$S$30)*I46)/D46</f>
        <v>0.13025941204562363</v>
      </c>
      <c r="S46" s="29">
        <f t="shared" si="7"/>
        <v>6.1716233662868492</v>
      </c>
      <c r="T46" s="30">
        <f t="shared" si="8"/>
        <v>6.1891989291598026</v>
      </c>
      <c r="U46" s="30">
        <f t="shared" si="9"/>
        <v>24.232815964523283</v>
      </c>
    </row>
    <row r="47" spans="1:21" x14ac:dyDescent="0.2">
      <c r="A47">
        <v>47</v>
      </c>
      <c r="B47" t="s">
        <v>65</v>
      </c>
      <c r="D47">
        <v>0.186</v>
      </c>
      <c r="E47">
        <v>-16.536000000000001</v>
      </c>
      <c r="F47">
        <v>342.137</v>
      </c>
      <c r="G47">
        <v>10128</v>
      </c>
      <c r="H47">
        <v>11.055</v>
      </c>
      <c r="I47">
        <v>51.167000000000002</v>
      </c>
      <c r="J47">
        <v>2121</v>
      </c>
      <c r="M47" s="27" t="str">
        <f t="shared" si="5"/>
        <v>Taipan</v>
      </c>
      <c r="N47" s="27">
        <f t="shared" si="6"/>
        <v>0</v>
      </c>
      <c r="O47" s="28">
        <f>(E47-((G47^3*standards!$B$25+G47^2*standards!$B$26+G47*standards!$B$27+standards!$B$28)+(A47^3*standards!$C$25+standards!$C$26*A47^2+standards!$C$27*A47+standards!$C$28)))*standards!$R$27+standards!$R$26</f>
        <v>-11.888395261403771</v>
      </c>
      <c r="P47" s="28">
        <f>(H47-((J47^3*standards!$B$31+J47^2*standards!$B$32+J47*standards!$B$33+standards!$B$34)+(A47^3*standards!$C$31+standards!$C$32*A47^2+standards!$C$33*A47+standards!$C$34)))*standards!$S$27+standards!$S$26</f>
        <v>10.947159989158024</v>
      </c>
      <c r="Q47" s="29">
        <f>((F47*standards!$R$31+standards!$R$30)*F47)/D47</f>
        <v>48.444333946571156</v>
      </c>
      <c r="R47" s="35">
        <f>((I47*standards!$S$31+standards!$S$30)*I47)/D47</f>
        <v>17.113610227653862</v>
      </c>
      <c r="S47" s="29">
        <f t="shared" si="7"/>
        <v>2.8307489362057585</v>
      </c>
      <c r="T47" s="30">
        <f t="shared" si="8"/>
        <v>0.10100710900473933</v>
      </c>
      <c r="U47" s="30">
        <f t="shared" si="9"/>
        <v>0.17538896746817539</v>
      </c>
    </row>
    <row r="48" spans="1:21" x14ac:dyDescent="0.2">
      <c r="A48">
        <v>48</v>
      </c>
      <c r="B48" t="s">
        <v>66</v>
      </c>
      <c r="D48">
        <v>0.69399999999999995</v>
      </c>
      <c r="E48">
        <v>-30.117999999999999</v>
      </c>
      <c r="F48">
        <v>28.664999999999999</v>
      </c>
      <c r="G48">
        <v>830</v>
      </c>
      <c r="M48" s="27" t="str">
        <f t="shared" si="5"/>
        <v>LOC</v>
      </c>
      <c r="N48" s="27">
        <f t="shared" si="6"/>
        <v>0</v>
      </c>
      <c r="O48" s="28">
        <f>(E48-((G48^3*standards!$B$25+G48^2*standards!$B$26+G48*standards!$B$27+standards!$B$28)+(A48^3*standards!$C$25+standards!$C$26*A48^2+standards!$C$27*A48+standards!$C$28)))*standards!$R$27+standards!$R$26</f>
        <v>-25.448135051204222</v>
      </c>
      <c r="P48" s="28">
        <f>(H48-((J48^3*standards!$B$31+J48^2*standards!$B$32+J48*standards!$B$33+standards!$B$34)+(A48^3*standards!$C$31+standards!$C$32*A48^2+standards!$C$33*A48+standards!$C$34)))*standards!$S$27+standards!$S$26</f>
        <v>4.0017628901051552</v>
      </c>
      <c r="Q48" s="29">
        <f>((F48*standards!$R$31+standards!$R$30)*F48)/D48</f>
        <v>1.055362490574494</v>
      </c>
      <c r="R48" s="35">
        <f>((I48*standards!$S$31+standards!$S$30)*I48)/D48</f>
        <v>0</v>
      </c>
      <c r="S48" s="29" t="e">
        <f t="shared" si="7"/>
        <v>#DIV/0!</v>
      </c>
      <c r="T48" s="30">
        <f t="shared" si="8"/>
        <v>4.5987951807228908</v>
      </c>
      <c r="U48" s="30" t="e">
        <f t="shared" si="9"/>
        <v>#DIV/0!</v>
      </c>
    </row>
    <row r="49" spans="1:21" x14ac:dyDescent="0.2">
      <c r="A49">
        <v>49</v>
      </c>
      <c r="B49" t="s">
        <v>67</v>
      </c>
      <c r="D49">
        <v>1.3440000000000001</v>
      </c>
      <c r="E49">
        <v>-32.683</v>
      </c>
      <c r="F49">
        <v>294.197</v>
      </c>
      <c r="G49">
        <v>8462</v>
      </c>
      <c r="H49">
        <v>3.3</v>
      </c>
      <c r="I49">
        <v>10.347</v>
      </c>
      <c r="J49">
        <v>393</v>
      </c>
      <c r="M49" s="27" t="str">
        <f t="shared" si="5"/>
        <v>HOC</v>
      </c>
      <c r="N49" s="27">
        <f t="shared" si="6"/>
        <v>0</v>
      </c>
      <c r="O49" s="28">
        <f>(E49-((G49^3*standards!$B$25+G49^2*standards!$B$26+G49*standards!$B$27+standards!$B$28)+(A49^3*standards!$C$25+standards!$C$26*A49^2+standards!$C$27*A49+standards!$C$28)))*standards!$R$27+standards!$R$26</f>
        <v>-28.126033689198476</v>
      </c>
      <c r="P49" s="28">
        <f>(H49-((J49^3*standards!$B$31+J49^2*standards!$B$32+J49*standards!$B$33+standards!$B$34)+(A49^3*standards!$C$31+standards!$C$32*A49^2+standards!$C$33*A49+standards!$C$34)))*standards!$S$27+standards!$S$26</f>
        <v>6.0750157554940714</v>
      </c>
      <c r="Q49" s="29">
        <f>((F49*standards!$R$31+standards!$R$30)*F49)/D49</f>
        <v>5.7386521630516185</v>
      </c>
      <c r="R49" s="35">
        <f>((I49*standards!$S$31+standards!$S$30)*I49)/D49</f>
        <v>0.48267689872900149</v>
      </c>
      <c r="S49" s="29">
        <f t="shared" si="7"/>
        <v>11.889220673628261</v>
      </c>
      <c r="T49" s="30">
        <f t="shared" si="8"/>
        <v>0.87355235168990797</v>
      </c>
      <c r="U49" s="30">
        <f t="shared" si="9"/>
        <v>6.8396946564885495</v>
      </c>
    </row>
    <row r="50" spans="1:21" x14ac:dyDescent="0.2">
      <c r="M50" s="27">
        <f t="shared" si="5"/>
        <v>0</v>
      </c>
      <c r="N50" s="27">
        <f t="shared" si="6"/>
        <v>0</v>
      </c>
      <c r="O50" s="28">
        <f>(E50-((G50^3*standards!$B$25+G50^2*standards!$B$26+G50*standards!$B$27+standards!$B$28)+(A50^3*standards!$C$25+standards!$C$26*A50^2+standards!$C$27*A50+standards!$C$28)))*standards!$R$27+standards!$R$26</f>
        <v>4.0561310110078317</v>
      </c>
      <c r="P50" s="28">
        <f>(H50-((J50^3*standards!$B$31+J50^2*standards!$B$32+J50*standards!$B$33+standards!$B$34)+(A50^3*standards!$C$31+standards!$C$32*A50^2+standards!$C$33*A50+standards!$C$34)))*standards!$S$27+standards!$S$26</f>
        <v>4.0017628901051552</v>
      </c>
      <c r="Q50" s="29" t="e">
        <f>((F50*standards!$R$31+standards!$R$30)*F50)/D50</f>
        <v>#DIV/0!</v>
      </c>
      <c r="R50" s="35" t="e">
        <f>((I50*standards!$S$31+standards!$S$30)*I50)/D50</f>
        <v>#DIV/0!</v>
      </c>
      <c r="S50" s="29" t="e">
        <f t="shared" si="7"/>
        <v>#DIV/0!</v>
      </c>
      <c r="T50" s="30" t="e">
        <f t="shared" si="8"/>
        <v>#DIV/0!</v>
      </c>
      <c r="U50" s="30" t="e">
        <f t="shared" si="9"/>
        <v>#DIV/0!</v>
      </c>
    </row>
  </sheetData>
  <sortState xmlns:xlrd2="http://schemas.microsoft.com/office/spreadsheetml/2017/richdata2" ref="A51:I92">
    <sortCondition ref="A50"/>
  </sortState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standards</vt:lpstr>
      <vt:lpstr>data reduction</vt:lpstr>
    </vt:vector>
  </TitlesOfParts>
  <Company>University of St Andrews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Whan</dc:creator>
  <cp:lastModifiedBy>Maria Jose Rivera</cp:lastModifiedBy>
  <dcterms:created xsi:type="dcterms:W3CDTF">2011-09-02T04:23:25Z</dcterms:created>
  <dcterms:modified xsi:type="dcterms:W3CDTF">2019-04-13T12:16:49Z</dcterms:modified>
</cp:coreProperties>
</file>