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ria Jose Rivera\OneDrive - James Cook University\Australia renamed\Sanamere\EA\Runs\"/>
    </mc:Choice>
  </mc:AlternateContent>
  <xr:revisionPtr revIDLastSave="2" documentId="8_{0D6070A4-DB86-42EE-A899-C76DD41FBFCC}" xr6:coauthVersionLast="43" xr6:coauthVersionMax="43" xr10:uidLastSave="{B11AD781-3AB0-4107-8627-1EB0C7F7EC78}"/>
  <bookViews>
    <workbookView xWindow="-120" yWindow="-120" windowWidth="20730" windowHeight="11160" tabRatio="500" activeTab="2" xr2:uid="{00000000-000D-0000-FFFF-FFFF00000000}"/>
  </bookViews>
  <sheets>
    <sheet name="raw" sheetId="3" r:id="rId1"/>
    <sheet name="standards" sheetId="1" r:id="rId2"/>
    <sheet name="data reduction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44" i="2" l="1"/>
  <c r="N44" i="2"/>
  <c r="T44" i="2"/>
  <c r="U44" i="2"/>
  <c r="M45" i="2"/>
  <c r="N45" i="2"/>
  <c r="T45" i="2"/>
  <c r="U45" i="2"/>
  <c r="M46" i="2"/>
  <c r="N46" i="2"/>
  <c r="T46" i="2"/>
  <c r="U46" i="2"/>
  <c r="M47" i="2"/>
  <c r="N47" i="2"/>
  <c r="T47" i="2"/>
  <c r="U47" i="2"/>
  <c r="M48" i="2"/>
  <c r="N48" i="2"/>
  <c r="T48" i="2"/>
  <c r="U48" i="2"/>
  <c r="M49" i="2"/>
  <c r="N49" i="2"/>
  <c r="T49" i="2"/>
  <c r="U49" i="2"/>
  <c r="R12" i="1"/>
  <c r="S12" i="1"/>
  <c r="R13" i="1"/>
  <c r="S13" i="1"/>
  <c r="R14" i="1"/>
  <c r="S14" i="1"/>
  <c r="M3" i="1" l="1"/>
  <c r="M4" i="1"/>
  <c r="M5" i="1"/>
  <c r="H31" i="1" s="1"/>
  <c r="M6" i="1"/>
  <c r="I31" i="1" s="1"/>
  <c r="M7" i="1"/>
  <c r="M8" i="1"/>
  <c r="M12" i="1"/>
  <c r="H32" i="1" s="1"/>
  <c r="M13" i="1"/>
  <c r="M14" i="1"/>
  <c r="M18" i="1"/>
  <c r="M19" i="1"/>
  <c r="L3" i="1"/>
  <c r="L4" i="1"/>
  <c r="L5" i="1"/>
  <c r="L6" i="1"/>
  <c r="L7" i="1"/>
  <c r="L8" i="1"/>
  <c r="L12" i="1"/>
  <c r="L13" i="1"/>
  <c r="L14" i="1"/>
  <c r="L18" i="1"/>
  <c r="L19" i="1"/>
  <c r="T2" i="2"/>
  <c r="R3" i="1"/>
  <c r="S3" i="1"/>
  <c r="N31" i="1"/>
  <c r="E33" i="1"/>
  <c r="E32" i="1"/>
  <c r="E31" i="1"/>
  <c r="E27" i="1"/>
  <c r="E26" i="1"/>
  <c r="E25" i="1"/>
  <c r="N27" i="1"/>
  <c r="N25" i="1"/>
  <c r="N33" i="1"/>
  <c r="N32" i="1"/>
  <c r="N26" i="1"/>
  <c r="U43" i="2"/>
  <c r="U42" i="2"/>
  <c r="U41" i="2"/>
  <c r="U40" i="2"/>
  <c r="U39" i="2"/>
  <c r="U38" i="2"/>
  <c r="U37" i="2"/>
  <c r="U36" i="2"/>
  <c r="U35" i="2"/>
  <c r="U34" i="2"/>
  <c r="U33" i="2"/>
  <c r="U32" i="2"/>
  <c r="U31" i="2"/>
  <c r="U30" i="2"/>
  <c r="U29" i="2"/>
  <c r="U28" i="2"/>
  <c r="U27" i="2"/>
  <c r="U26" i="2"/>
  <c r="U25" i="2"/>
  <c r="U24" i="2"/>
  <c r="U23" i="2"/>
  <c r="U22" i="2"/>
  <c r="U21" i="2"/>
  <c r="U20" i="2"/>
  <c r="U19" i="2"/>
  <c r="U18" i="2"/>
  <c r="U17" i="2"/>
  <c r="U16" i="2"/>
  <c r="U15" i="2"/>
  <c r="U14" i="2"/>
  <c r="U13" i="2"/>
  <c r="U12" i="2"/>
  <c r="U11" i="2"/>
  <c r="U10" i="2"/>
  <c r="U9" i="2"/>
  <c r="U8" i="2"/>
  <c r="U7" i="2"/>
  <c r="U6" i="2"/>
  <c r="U5" i="2"/>
  <c r="U4" i="2"/>
  <c r="U3" i="2"/>
  <c r="U2" i="2"/>
  <c r="A62" i="1"/>
  <c r="B62" i="1"/>
  <c r="C62" i="1"/>
  <c r="C55" i="1"/>
  <c r="C56" i="1"/>
  <c r="C57" i="1"/>
  <c r="C58" i="1"/>
  <c r="C59" i="1"/>
  <c r="C60" i="1"/>
  <c r="C61" i="1"/>
  <c r="E62" i="1"/>
  <c r="B55" i="1"/>
  <c r="B56" i="1"/>
  <c r="E56" i="1" s="1"/>
  <c r="B57" i="1"/>
  <c r="B58" i="1"/>
  <c r="E58" i="1" s="1"/>
  <c r="B59" i="1"/>
  <c r="B60" i="1"/>
  <c r="E60" i="1" s="1"/>
  <c r="C40" i="1"/>
  <c r="C41" i="1"/>
  <c r="C42" i="1"/>
  <c r="C43" i="1"/>
  <c r="E43" i="1" s="1"/>
  <c r="C44" i="1"/>
  <c r="C45" i="1"/>
  <c r="E45" i="1" s="1"/>
  <c r="B40" i="1"/>
  <c r="E40" i="1"/>
  <c r="B41" i="1"/>
  <c r="E41" i="1"/>
  <c r="B42" i="1"/>
  <c r="E42" i="1"/>
  <c r="B43" i="1"/>
  <c r="B44" i="1"/>
  <c r="E44" i="1"/>
  <c r="B45" i="1"/>
  <c r="R4" i="1"/>
  <c r="R5" i="1"/>
  <c r="R6" i="1"/>
  <c r="R7" i="1"/>
  <c r="R8" i="1"/>
  <c r="R18" i="1"/>
  <c r="R19" i="1"/>
  <c r="T43" i="2"/>
  <c r="N43" i="2"/>
  <c r="M43" i="2"/>
  <c r="T42" i="2"/>
  <c r="N42" i="2"/>
  <c r="M42" i="2"/>
  <c r="T41" i="2"/>
  <c r="N41" i="2"/>
  <c r="M41" i="2"/>
  <c r="T40" i="2"/>
  <c r="N40" i="2"/>
  <c r="M40" i="2"/>
  <c r="T39" i="2"/>
  <c r="N39" i="2"/>
  <c r="M39" i="2"/>
  <c r="T38" i="2"/>
  <c r="N38" i="2"/>
  <c r="M38" i="2"/>
  <c r="T37" i="2"/>
  <c r="N37" i="2"/>
  <c r="M37" i="2"/>
  <c r="T36" i="2"/>
  <c r="N36" i="2"/>
  <c r="M36" i="2"/>
  <c r="T35" i="2"/>
  <c r="N35" i="2"/>
  <c r="M35" i="2"/>
  <c r="T34" i="2"/>
  <c r="N34" i="2"/>
  <c r="M34" i="2"/>
  <c r="T33" i="2"/>
  <c r="N33" i="2"/>
  <c r="M33" i="2"/>
  <c r="T32" i="2"/>
  <c r="N32" i="2"/>
  <c r="M32" i="2"/>
  <c r="T31" i="2"/>
  <c r="N31" i="2"/>
  <c r="M31" i="2"/>
  <c r="T30" i="2"/>
  <c r="N30" i="2"/>
  <c r="M30" i="2"/>
  <c r="T29" i="2"/>
  <c r="N29" i="2"/>
  <c r="M29" i="2"/>
  <c r="T28" i="2"/>
  <c r="N28" i="2"/>
  <c r="M28" i="2"/>
  <c r="T27" i="2"/>
  <c r="N27" i="2"/>
  <c r="M27" i="2"/>
  <c r="T26" i="2"/>
  <c r="N26" i="2"/>
  <c r="M26" i="2"/>
  <c r="T25" i="2"/>
  <c r="N25" i="2"/>
  <c r="M25" i="2"/>
  <c r="T24" i="2"/>
  <c r="N24" i="2"/>
  <c r="M24" i="2"/>
  <c r="T23" i="2"/>
  <c r="N23" i="2"/>
  <c r="M23" i="2"/>
  <c r="T22" i="2"/>
  <c r="N22" i="2"/>
  <c r="M22" i="2"/>
  <c r="T21" i="2"/>
  <c r="N21" i="2"/>
  <c r="M21" i="2"/>
  <c r="T20" i="2"/>
  <c r="N20" i="2"/>
  <c r="M20" i="2"/>
  <c r="T19" i="2"/>
  <c r="N19" i="2"/>
  <c r="M19" i="2"/>
  <c r="T18" i="2"/>
  <c r="N18" i="2"/>
  <c r="M18" i="2"/>
  <c r="T17" i="2"/>
  <c r="N17" i="2"/>
  <c r="M17" i="2"/>
  <c r="T16" i="2"/>
  <c r="N16" i="2"/>
  <c r="M16" i="2"/>
  <c r="T15" i="2"/>
  <c r="N15" i="2"/>
  <c r="M15" i="2"/>
  <c r="T14" i="2"/>
  <c r="N14" i="2"/>
  <c r="M14" i="2"/>
  <c r="T13" i="2"/>
  <c r="N13" i="2"/>
  <c r="M13" i="2"/>
  <c r="T12" i="2"/>
  <c r="N12" i="2"/>
  <c r="M12" i="2"/>
  <c r="T11" i="2"/>
  <c r="N11" i="2"/>
  <c r="M11" i="2"/>
  <c r="T10" i="2"/>
  <c r="N10" i="2"/>
  <c r="M10" i="2"/>
  <c r="T9" i="2"/>
  <c r="N9" i="2"/>
  <c r="M9" i="2"/>
  <c r="T8" i="2"/>
  <c r="N8" i="2"/>
  <c r="M8" i="2"/>
  <c r="T7" i="2"/>
  <c r="N7" i="2"/>
  <c r="M7" i="2"/>
  <c r="T6" i="2"/>
  <c r="N6" i="2"/>
  <c r="M6" i="2"/>
  <c r="T5" i="2"/>
  <c r="N5" i="2"/>
  <c r="M5" i="2"/>
  <c r="T4" i="2"/>
  <c r="N4" i="2"/>
  <c r="M4" i="2"/>
  <c r="T3" i="2"/>
  <c r="N3" i="2"/>
  <c r="M3" i="2"/>
  <c r="N2" i="2"/>
  <c r="M2" i="2"/>
  <c r="S4" i="1"/>
  <c r="S5" i="1"/>
  <c r="S6" i="1"/>
  <c r="S7" i="1"/>
  <c r="S8" i="1"/>
  <c r="S18" i="1"/>
  <c r="S19" i="1"/>
  <c r="B61" i="1"/>
  <c r="E61" i="1" s="1"/>
  <c r="A61" i="1"/>
  <c r="A60" i="1"/>
  <c r="A59" i="1"/>
  <c r="A58" i="1"/>
  <c r="A57" i="1"/>
  <c r="A56" i="1"/>
  <c r="A55" i="1"/>
  <c r="A45" i="1"/>
  <c r="A44" i="1"/>
  <c r="A43" i="1"/>
  <c r="A42" i="1"/>
  <c r="A41" i="1"/>
  <c r="A40" i="1"/>
  <c r="H33" i="1"/>
  <c r="G33" i="1"/>
  <c r="F33" i="1"/>
  <c r="G32" i="1"/>
  <c r="F32" i="1"/>
  <c r="G31" i="1"/>
  <c r="F31" i="1"/>
  <c r="G27" i="1"/>
  <c r="F27" i="1"/>
  <c r="G26" i="1"/>
  <c r="F26" i="1"/>
  <c r="G25" i="1"/>
  <c r="F25" i="1"/>
  <c r="I33" i="1" l="1"/>
  <c r="E57" i="1"/>
  <c r="H26" i="1"/>
  <c r="H27" i="1"/>
  <c r="I26" i="1"/>
  <c r="S31" i="1"/>
  <c r="I27" i="1"/>
  <c r="S27" i="1"/>
  <c r="P8" i="2" s="1"/>
  <c r="R26" i="1"/>
  <c r="R27" i="1"/>
  <c r="S26" i="1"/>
  <c r="I32" i="1"/>
  <c r="E59" i="1"/>
  <c r="C67" i="1"/>
  <c r="E55" i="1"/>
  <c r="S30" i="1"/>
  <c r="R30" i="1"/>
  <c r="R31" i="1"/>
  <c r="E51" i="1"/>
  <c r="F44" i="1" s="1"/>
  <c r="C51" i="1"/>
  <c r="D43" i="1" s="1"/>
  <c r="H25" i="1"/>
  <c r="F40" i="1"/>
  <c r="P7" i="2"/>
  <c r="I25" i="1"/>
  <c r="W12" i="1" l="1"/>
  <c r="P24" i="2"/>
  <c r="P47" i="2"/>
  <c r="P45" i="2"/>
  <c r="P46" i="2"/>
  <c r="P44" i="2"/>
  <c r="P49" i="2"/>
  <c r="P48" i="2"/>
  <c r="Q48" i="2"/>
  <c r="Q47" i="2"/>
  <c r="Q49" i="2"/>
  <c r="Q45" i="2"/>
  <c r="S45" i="2" s="1"/>
  <c r="Q46" i="2"/>
  <c r="Q44" i="2"/>
  <c r="R44" i="2"/>
  <c r="S44" i="2" s="1"/>
  <c r="R49" i="2"/>
  <c r="R48" i="2"/>
  <c r="S48" i="2" s="1"/>
  <c r="R45" i="2"/>
  <c r="R46" i="2"/>
  <c r="R47" i="2"/>
  <c r="O49" i="2"/>
  <c r="O44" i="2"/>
  <c r="O45" i="2"/>
  <c r="O46" i="2"/>
  <c r="O47" i="2"/>
  <c r="O48" i="2"/>
  <c r="O34" i="2"/>
  <c r="U6" i="1"/>
  <c r="P43" i="2"/>
  <c r="P19" i="2"/>
  <c r="P36" i="2"/>
  <c r="O32" i="2"/>
  <c r="O25" i="2"/>
  <c r="O38" i="2"/>
  <c r="V12" i="1"/>
  <c r="O9" i="2"/>
  <c r="O4" i="2"/>
  <c r="O8" i="2"/>
  <c r="V18" i="1"/>
  <c r="P33" i="2"/>
  <c r="V3" i="1"/>
  <c r="W4" i="1"/>
  <c r="P17" i="2"/>
  <c r="P40" i="2"/>
  <c r="P2" i="2"/>
  <c r="P31" i="2"/>
  <c r="P10" i="2"/>
  <c r="W7" i="1"/>
  <c r="P41" i="2"/>
  <c r="P27" i="2"/>
  <c r="P11" i="2"/>
  <c r="W3" i="1"/>
  <c r="P26" i="2"/>
  <c r="O3" i="2"/>
  <c r="V8" i="1"/>
  <c r="O40" i="2"/>
  <c r="O5" i="2"/>
  <c r="O24" i="2"/>
  <c r="W19" i="1"/>
  <c r="P39" i="2"/>
  <c r="P23" i="2"/>
  <c r="P9" i="2"/>
  <c r="V6" i="1"/>
  <c r="V4" i="1"/>
  <c r="V7" i="1"/>
  <c r="O29" i="2"/>
  <c r="O16" i="2"/>
  <c r="P34" i="2"/>
  <c r="P18" i="2"/>
  <c r="O42" i="2"/>
  <c r="O21" i="2"/>
  <c r="O20" i="2"/>
  <c r="W18" i="1"/>
  <c r="O33" i="2"/>
  <c r="W8" i="1"/>
  <c r="P35" i="2"/>
  <c r="P25" i="2"/>
  <c r="P15" i="2"/>
  <c r="P42" i="2"/>
  <c r="P32" i="2"/>
  <c r="P16" i="2"/>
  <c r="V13" i="1"/>
  <c r="V19" i="1"/>
  <c r="J27" i="1" s="1"/>
  <c r="O36" i="2"/>
  <c r="O2" i="2"/>
  <c r="O13" i="2"/>
  <c r="W13" i="1"/>
  <c r="W14" i="1"/>
  <c r="P37" i="2"/>
  <c r="P29" i="2"/>
  <c r="P21" i="2"/>
  <c r="P13" i="2"/>
  <c r="P5" i="2"/>
  <c r="W6" i="1"/>
  <c r="P38" i="2"/>
  <c r="P30" i="2"/>
  <c r="P22" i="2"/>
  <c r="P14" i="2"/>
  <c r="P6" i="2"/>
  <c r="V14" i="1"/>
  <c r="O17" i="2"/>
  <c r="V5" i="1"/>
  <c r="O28" i="2"/>
  <c r="O12" i="2"/>
  <c r="O43" i="2"/>
  <c r="O35" i="2"/>
  <c r="O37" i="2"/>
  <c r="O30" i="2"/>
  <c r="O23" i="2"/>
  <c r="O15" i="2"/>
  <c r="O7" i="2"/>
  <c r="O31" i="2"/>
  <c r="O22" i="2"/>
  <c r="O14" i="2"/>
  <c r="O6" i="2"/>
  <c r="O10" i="2"/>
  <c r="O39" i="2"/>
  <c r="O41" i="2"/>
  <c r="O27" i="2"/>
  <c r="O26" i="2"/>
  <c r="O19" i="2"/>
  <c r="O18" i="2"/>
  <c r="O11" i="2"/>
  <c r="P28" i="2"/>
  <c r="P20" i="2"/>
  <c r="P12" i="2"/>
  <c r="P4" i="2"/>
  <c r="W5" i="1"/>
  <c r="P3" i="2"/>
  <c r="D62" i="1"/>
  <c r="D60" i="1"/>
  <c r="D57" i="1"/>
  <c r="D58" i="1"/>
  <c r="D61" i="1"/>
  <c r="D56" i="1"/>
  <c r="R14" i="2"/>
  <c r="U3" i="1"/>
  <c r="R11" i="2"/>
  <c r="R30" i="2"/>
  <c r="U12" i="1"/>
  <c r="R5" i="2"/>
  <c r="R21" i="2"/>
  <c r="R37" i="2"/>
  <c r="R24" i="2"/>
  <c r="R25" i="2"/>
  <c r="R20" i="2"/>
  <c r="R36" i="2"/>
  <c r="U14" i="1"/>
  <c r="D59" i="1"/>
  <c r="R27" i="2"/>
  <c r="R4" i="2"/>
  <c r="R15" i="2"/>
  <c r="R33" i="2"/>
  <c r="U8" i="1"/>
  <c r="U13" i="1"/>
  <c r="F41" i="1"/>
  <c r="F42" i="1"/>
  <c r="F43" i="1"/>
  <c r="R17" i="2"/>
  <c r="R34" i="2"/>
  <c r="R18" i="2"/>
  <c r="U19" i="1"/>
  <c r="R12" i="2"/>
  <c r="R31" i="2"/>
  <c r="U18" i="1"/>
  <c r="R16" i="2"/>
  <c r="R9" i="2"/>
  <c r="R26" i="2"/>
  <c r="R42" i="2"/>
  <c r="R35" i="2"/>
  <c r="R41" i="2"/>
  <c r="R23" i="2"/>
  <c r="R39" i="2"/>
  <c r="T5" i="1"/>
  <c r="Q2" i="2"/>
  <c r="Q43" i="2"/>
  <c r="Q41" i="2"/>
  <c r="Q39" i="2"/>
  <c r="Q37" i="2"/>
  <c r="Q35" i="2"/>
  <c r="T12" i="1"/>
  <c r="T6" i="1"/>
  <c r="T14" i="1"/>
  <c r="T19" i="1"/>
  <c r="T4" i="1"/>
  <c r="T8" i="1"/>
  <c r="Q3" i="2"/>
  <c r="T18" i="1"/>
  <c r="T3" i="1"/>
  <c r="Q42" i="2"/>
  <c r="Q36" i="2"/>
  <c r="Q25" i="2"/>
  <c r="Q21" i="2"/>
  <c r="T7" i="1"/>
  <c r="Q32" i="2"/>
  <c r="Q28" i="2"/>
  <c r="Q24" i="2"/>
  <c r="Q20" i="2"/>
  <c r="Q16" i="2"/>
  <c r="Q12" i="2"/>
  <c r="Q8" i="2"/>
  <c r="Q4" i="2"/>
  <c r="T13" i="1"/>
  <c r="Q26" i="2"/>
  <c r="Q18" i="2"/>
  <c r="Q10" i="2"/>
  <c r="Q40" i="2"/>
  <c r="Q34" i="2"/>
  <c r="S34" i="2" s="1"/>
  <c r="Q13" i="2"/>
  <c r="Q5" i="2"/>
  <c r="Q31" i="2"/>
  <c r="Q27" i="2"/>
  <c r="Q23" i="2"/>
  <c r="Q19" i="2"/>
  <c r="Q15" i="2"/>
  <c r="Q11" i="2"/>
  <c r="Q7" i="2"/>
  <c r="Q30" i="2"/>
  <c r="Q22" i="2"/>
  <c r="Q14" i="2"/>
  <c r="Q6" i="2"/>
  <c r="Q38" i="2"/>
  <c r="Q33" i="2"/>
  <c r="Q29" i="2"/>
  <c r="Q17" i="2"/>
  <c r="Q9" i="2"/>
  <c r="D55" i="1"/>
  <c r="R32" i="2"/>
  <c r="R19" i="2"/>
  <c r="R38" i="2"/>
  <c r="U4" i="1"/>
  <c r="U5" i="1"/>
  <c r="U7" i="1"/>
  <c r="D44" i="1"/>
  <c r="D41" i="1"/>
  <c r="D42" i="1"/>
  <c r="D45" i="1"/>
  <c r="D40" i="1"/>
  <c r="R13" i="2"/>
  <c r="R29" i="2"/>
  <c r="R10" i="2"/>
  <c r="R40" i="2"/>
  <c r="R8" i="2"/>
  <c r="R28" i="2"/>
  <c r="E67" i="1"/>
  <c r="R6" i="2"/>
  <c r="R43" i="2"/>
  <c r="R7" i="2"/>
  <c r="R22" i="2"/>
  <c r="R3" i="2"/>
  <c r="R2" i="2"/>
  <c r="F45" i="1"/>
  <c r="S46" i="2" l="1"/>
  <c r="S49" i="2"/>
  <c r="S47" i="2"/>
  <c r="S15" i="2"/>
  <c r="S16" i="2"/>
  <c r="J32" i="1"/>
  <c r="J25" i="1"/>
  <c r="S14" i="2"/>
  <c r="S25" i="2"/>
  <c r="S35" i="2"/>
  <c r="J33" i="1"/>
  <c r="J26" i="1"/>
  <c r="K25" i="1"/>
  <c r="J31" i="1"/>
  <c r="K27" i="1"/>
  <c r="K26" i="1"/>
  <c r="S5" i="2"/>
  <c r="S42" i="2"/>
  <c r="S18" i="2"/>
  <c r="S24" i="2"/>
  <c r="K32" i="1"/>
  <c r="K33" i="1"/>
  <c r="S41" i="2"/>
  <c r="K31" i="1"/>
  <c r="S33" i="2"/>
  <c r="S31" i="2"/>
  <c r="S40" i="2"/>
  <c r="S22" i="2"/>
  <c r="S39" i="2"/>
  <c r="S17" i="2"/>
  <c r="S6" i="2"/>
  <c r="S23" i="2"/>
  <c r="S13" i="2"/>
  <c r="S8" i="2"/>
  <c r="S21" i="2"/>
  <c r="S11" i="2"/>
  <c r="S27" i="2"/>
  <c r="S26" i="2"/>
  <c r="S12" i="2"/>
  <c r="F62" i="1"/>
  <c r="F58" i="1"/>
  <c r="F61" i="1"/>
  <c r="F57" i="1"/>
  <c r="F56" i="1"/>
  <c r="F60" i="1"/>
  <c r="S29" i="2"/>
  <c r="L33" i="1"/>
  <c r="O33" i="1" s="1"/>
  <c r="M33" i="1"/>
  <c r="S32" i="2"/>
  <c r="S36" i="2"/>
  <c r="S3" i="2"/>
  <c r="S43" i="2"/>
  <c r="L32" i="1"/>
  <c r="O32" i="1" s="1"/>
  <c r="M32" i="1"/>
  <c r="M31" i="1"/>
  <c r="L31" i="1"/>
  <c r="O31" i="1" s="1"/>
  <c r="S7" i="2"/>
  <c r="F59" i="1"/>
  <c r="S28" i="2"/>
  <c r="L27" i="1"/>
  <c r="O27" i="1" s="1"/>
  <c r="M27" i="1"/>
  <c r="L26" i="1"/>
  <c r="O26" i="1" s="1"/>
  <c r="M26" i="1"/>
  <c r="F55" i="1"/>
  <c r="S9" i="2"/>
  <c r="S38" i="2"/>
  <c r="S30" i="2"/>
  <c r="S19" i="2"/>
  <c r="S10" i="2"/>
  <c r="S4" i="2"/>
  <c r="S20" i="2"/>
  <c r="S37" i="2"/>
  <c r="S2" i="2"/>
  <c r="M25" i="1"/>
  <c r="L25" i="1"/>
  <c r="O25" i="1" s="1"/>
</calcChain>
</file>

<file path=xl/sharedStrings.xml><?xml version="1.0" encoding="utf-8"?>
<sst xmlns="http://schemas.openxmlformats.org/spreadsheetml/2006/main" count="292" uniqueCount="99">
  <si>
    <t>Line</t>
  </si>
  <si>
    <t>Identifier 1</t>
  </si>
  <si>
    <t>Identifier 2</t>
  </si>
  <si>
    <t>Amount</t>
  </si>
  <si>
    <t>d 13C/12C</t>
  </si>
  <si>
    <t>Area 44</t>
  </si>
  <si>
    <t>Ampl  44</t>
  </si>
  <si>
    <t>d 15N/14N</t>
  </si>
  <si>
    <t>Area 28</t>
  </si>
  <si>
    <t>Ampl  28</t>
  </si>
  <si>
    <t>corr15N</t>
  </si>
  <si>
    <t>kc</t>
  </si>
  <si>
    <t>kn</t>
  </si>
  <si>
    <t>Carbon</t>
  </si>
  <si>
    <t>measured</t>
  </si>
  <si>
    <t>corr</t>
  </si>
  <si>
    <t>standard</t>
  </si>
  <si>
    <t>normalized</t>
  </si>
  <si>
    <t>13C</t>
  </si>
  <si>
    <t>avg</t>
  </si>
  <si>
    <t>N</t>
  </si>
  <si>
    <t>intercept</t>
  </si>
  <si>
    <t>slope</t>
  </si>
  <si>
    <t>15N</t>
  </si>
  <si>
    <t>Nitrogen</t>
  </si>
  <si>
    <t>meas15N</t>
  </si>
  <si>
    <t>%C</t>
  </si>
  <si>
    <t>%N</t>
  </si>
  <si>
    <t>C:N</t>
  </si>
  <si>
    <t>TMc</t>
  </si>
  <si>
    <t>TMn</t>
  </si>
  <si>
    <t>Desired Ampl</t>
  </si>
  <si>
    <t>C Ampl 44</t>
  </si>
  <si>
    <t>Dilution used</t>
  </si>
  <si>
    <t>Lin</t>
    <phoneticPr fontId="3" type="noConversion"/>
  </si>
  <si>
    <t>Drift</t>
    <phoneticPr fontId="3" type="noConversion"/>
  </si>
  <si>
    <t>Nitrogen</t>
    <phoneticPr fontId="3" type="noConversion"/>
  </si>
  <si>
    <t>Carbon</t>
    <phoneticPr fontId="3" type="noConversion"/>
  </si>
  <si>
    <t>%N</t>
    <phoneticPr fontId="3" type="noConversion"/>
  </si>
  <si>
    <t>%C</t>
    <phoneticPr fontId="3" type="noConversion"/>
  </si>
  <si>
    <t>uncorrected</t>
    <phoneticPr fontId="3" type="noConversion"/>
  </si>
  <si>
    <t>CorrL</t>
    <phoneticPr fontId="3" type="noConversion"/>
  </si>
  <si>
    <t>Ampl44</t>
    <phoneticPr fontId="3" type="noConversion"/>
  </si>
  <si>
    <t>CorrL</t>
    <phoneticPr fontId="3" type="noConversion"/>
  </si>
  <si>
    <t>X3</t>
    <phoneticPr fontId="3" type="noConversion"/>
  </si>
  <si>
    <t>X2</t>
    <phoneticPr fontId="3" type="noConversion"/>
  </si>
  <si>
    <t>X</t>
    <phoneticPr fontId="3" type="noConversion"/>
  </si>
  <si>
    <t>I</t>
    <phoneticPr fontId="3" type="noConversion"/>
  </si>
  <si>
    <t>X3</t>
    <phoneticPr fontId="3" type="noConversion"/>
  </si>
  <si>
    <t>accepted</t>
  </si>
  <si>
    <t>±5%</t>
  </si>
  <si>
    <r>
      <t>δ</t>
    </r>
    <r>
      <rPr>
        <vertAlign val="superscript"/>
        <sz val="10"/>
        <rFont val="Verdana"/>
      </rPr>
      <t>13</t>
    </r>
    <r>
      <rPr>
        <sz val="10"/>
        <rFont val="Verdana"/>
      </rPr>
      <t>C (‰VPDB)</t>
    </r>
  </si>
  <si>
    <r>
      <t>δ</t>
    </r>
    <r>
      <rPr>
        <vertAlign val="superscript"/>
        <sz val="10"/>
        <rFont val="Verdana"/>
      </rPr>
      <t>15</t>
    </r>
    <r>
      <rPr>
        <sz val="10"/>
        <rFont val="Verdana"/>
      </rPr>
      <t>Ν (‰ΑΙR)</t>
    </r>
  </si>
  <si>
    <t>δ13Ccor</t>
  </si>
  <si>
    <t>1σ</t>
  </si>
  <si>
    <t>C</t>
  </si>
  <si>
    <t>isotopes</t>
  </si>
  <si>
    <t>abundances</t>
  </si>
  <si>
    <r>
      <t xml:space="preserve"> δ</t>
    </r>
    <r>
      <rPr>
        <vertAlign val="superscript"/>
        <sz val="10"/>
        <rFont val="Verdana"/>
      </rPr>
      <t>13</t>
    </r>
    <r>
      <rPr>
        <sz val="10"/>
        <rFont val="Verdana"/>
      </rPr>
      <t>C (‰VPDB)</t>
    </r>
  </si>
  <si>
    <t>Accepted</t>
  </si>
  <si>
    <t xml:space="preserve"> %C</t>
  </si>
  <si>
    <t xml:space="preserve"> %N</t>
  </si>
  <si>
    <t>Measured</t>
  </si>
  <si>
    <t>Row</t>
  </si>
  <si>
    <t>Flush</t>
  </si>
  <si>
    <t>Sorghum</t>
  </si>
  <si>
    <t>LOC</t>
  </si>
  <si>
    <t>HOC</t>
  </si>
  <si>
    <t>137</t>
  </si>
  <si>
    <t>TOC</t>
  </si>
  <si>
    <t>124</t>
  </si>
  <si>
    <t>127</t>
  </si>
  <si>
    <t>126</t>
  </si>
  <si>
    <t>123</t>
  </si>
  <si>
    <t>112</t>
  </si>
  <si>
    <t>84</t>
  </si>
  <si>
    <t>38.5</t>
  </si>
  <si>
    <t>26</t>
  </si>
  <si>
    <t>30</t>
  </si>
  <si>
    <t>174</t>
  </si>
  <si>
    <t>185</t>
  </si>
  <si>
    <t>186</t>
  </si>
  <si>
    <t>194</t>
  </si>
  <si>
    <t>193</t>
  </si>
  <si>
    <t>195</t>
  </si>
  <si>
    <t>149</t>
  </si>
  <si>
    <t>143</t>
  </si>
  <si>
    <t>148</t>
  </si>
  <si>
    <t>150</t>
  </si>
  <si>
    <t>141</t>
  </si>
  <si>
    <t>165</t>
  </si>
  <si>
    <t>169</t>
  </si>
  <si>
    <t>189</t>
  </si>
  <si>
    <t>188</t>
  </si>
  <si>
    <t>146</t>
  </si>
  <si>
    <t>164</t>
  </si>
  <si>
    <t>190</t>
  </si>
  <si>
    <t>171</t>
  </si>
  <si>
    <t>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</si>
</sst>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4" x14ac:knownFonts="1">
    <font>
      <sz val="10"/>
      <name val="Verdana"/>
    </font>
    <font>
      <b/>
      <sz val="10"/>
      <name val="Verdana"/>
    </font>
    <font>
      <b/>
      <sz val="10"/>
      <name val="Verdana"/>
    </font>
    <font>
      <sz val="8"/>
      <name val="Verdana"/>
    </font>
    <font>
      <sz val="10"/>
      <color indexed="12"/>
      <name val="Verdana"/>
    </font>
    <font>
      <b/>
      <sz val="10"/>
      <color indexed="12"/>
      <name val="Verdana"/>
    </font>
    <font>
      <b/>
      <sz val="10"/>
      <color indexed="10"/>
      <name val="Verdana"/>
    </font>
    <font>
      <b/>
      <sz val="10"/>
      <color indexed="61"/>
      <name val="Verdana"/>
    </font>
    <font>
      <sz val="10"/>
      <color indexed="61"/>
      <name val="Verdana"/>
    </font>
    <font>
      <u/>
      <sz val="10"/>
      <color theme="10"/>
      <name val="Verdana"/>
    </font>
    <font>
      <u/>
      <sz val="10"/>
      <color theme="11"/>
      <name val="Verdana"/>
    </font>
    <font>
      <vertAlign val="superscript"/>
      <sz val="10"/>
      <name val="Verdana"/>
    </font>
    <font>
      <sz val="10"/>
      <color theme="3" tint="-0.249977111117893"/>
      <name val="Verdana"/>
    </font>
    <font>
      <b/>
      <sz val="10"/>
      <color theme="3" tint="-0.249977111117893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quotePrefix="1" applyNumberFormat="1"/>
    <xf numFmtId="2" fontId="4" fillId="0" borderId="0" xfId="0" applyNumberFormat="1" applyFont="1"/>
    <xf numFmtId="0" fontId="2" fillId="0" borderId="0" xfId="0" applyFont="1"/>
    <xf numFmtId="0" fontId="4" fillId="0" borderId="0" xfId="0" applyFont="1"/>
    <xf numFmtId="2" fontId="5" fillId="0" borderId="0" xfId="0" applyNumberFormat="1" applyFont="1"/>
    <xf numFmtId="0" fontId="1" fillId="0" borderId="0" xfId="0" applyFont="1"/>
    <xf numFmtId="0" fontId="6" fillId="0" borderId="0" xfId="0" applyFont="1"/>
    <xf numFmtId="0" fontId="4" fillId="0" borderId="0" xfId="0" quotePrefix="1" applyNumberFormat="1" applyFont="1"/>
    <xf numFmtId="164" fontId="0" fillId="0" borderId="0" xfId="0" applyNumberFormat="1"/>
    <xf numFmtId="0" fontId="1" fillId="0" borderId="0" xfId="0" applyNumberFormat="1" applyFont="1"/>
    <xf numFmtId="2" fontId="0" fillId="0" borderId="0" xfId="0" applyNumberFormat="1"/>
    <xf numFmtId="2" fontId="0" fillId="0" borderId="0" xfId="0" applyNumberFormat="1"/>
    <xf numFmtId="2" fontId="0" fillId="0" borderId="0" xfId="0" quotePrefix="1" applyNumberFormat="1"/>
    <xf numFmtId="2" fontId="5" fillId="0" borderId="0" xfId="0" applyNumberFormat="1" applyFont="1"/>
    <xf numFmtId="2" fontId="4" fillId="0" borderId="0" xfId="0" applyNumberFormat="1" applyFont="1"/>
    <xf numFmtId="0" fontId="5" fillId="0" borderId="0" xfId="0" applyFont="1"/>
    <xf numFmtId="0" fontId="7" fillId="0" borderId="0" xfId="0" applyFont="1"/>
    <xf numFmtId="11" fontId="8" fillId="0" borderId="0" xfId="0" applyNumberFormat="1" applyFont="1"/>
    <xf numFmtId="0" fontId="8" fillId="0" borderId="0" xfId="0" applyFont="1"/>
    <xf numFmtId="165" fontId="4" fillId="0" borderId="0" xfId="0" applyNumberFormat="1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1" xfId="0" applyBorder="1"/>
    <xf numFmtId="2" fontId="0" fillId="0" borderId="1" xfId="0" applyNumberFormat="1" applyBorder="1"/>
    <xf numFmtId="0" fontId="0" fillId="0" borderId="1" xfId="0" applyBorder="1" applyAlignment="1">
      <alignment horizontal="center" wrapText="1"/>
    </xf>
    <xf numFmtId="0" fontId="12" fillId="0" borderId="1" xfId="0" applyFont="1" applyBorder="1" applyAlignment="1">
      <alignment horizontal="center"/>
    </xf>
    <xf numFmtId="0" fontId="12" fillId="0" borderId="0" xfId="0" quotePrefix="1" applyNumberFormat="1" applyFont="1"/>
    <xf numFmtId="2" fontId="12" fillId="0" borderId="0" xfId="0" applyNumberFormat="1" applyFont="1"/>
    <xf numFmtId="164" fontId="12" fillId="0" borderId="0" xfId="0" applyNumberFormat="1" applyFont="1" applyAlignment="1">
      <alignment horizontal="center"/>
    </xf>
    <xf numFmtId="0" fontId="12" fillId="0" borderId="0" xfId="0" applyFont="1"/>
    <xf numFmtId="2" fontId="13" fillId="0" borderId="0" xfId="0" applyNumberFormat="1" applyFont="1"/>
    <xf numFmtId="2" fontId="1" fillId="0" borderId="0" xfId="0" applyNumberFormat="1" applyFont="1"/>
    <xf numFmtId="0" fontId="0" fillId="0" borderId="0" xfId="0" applyAlignment="1">
      <alignment horizontal="center"/>
    </xf>
    <xf numFmtId="165" fontId="12" fillId="0" borderId="0" xfId="0" applyNumberFormat="1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346179194561"/>
          <c:y val="6.9148936170212796E-2"/>
          <c:w val="0.74545908633667501"/>
          <c:h val="0.78191489361702105"/>
        </c:manualLayout>
      </c:layout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diamond"/>
            <c:size val="9"/>
            <c:spPr>
              <a:gradFill rotWithShape="0">
                <a:gsLst>
                  <a:gs pos="0">
                    <a:srgbClr val="9BC1FF"/>
                  </a:gs>
                  <a:gs pos="100000">
                    <a:srgbClr val="3F80CD"/>
                  </a:gs>
                </a:gsLst>
                <a:lin ang="5400000"/>
              </a:gradFill>
              <a:ln>
                <a:solidFill>
                  <a:srgbClr val="666699"/>
                </a:solidFill>
                <a:prstDash val="solid"/>
              </a:ln>
              <a:effectLst>
                <a:outerShdw dist="35921" dir="2700000" algn="br">
                  <a:srgbClr val="000000"/>
                </a:outerShdw>
              </a:effectLst>
            </c:spPr>
          </c:marker>
          <c:trendline>
            <c:spPr>
              <a:ln w="3175">
                <a:solidFill>
                  <a:srgbClr val="000000"/>
                </a:solidFill>
                <a:prstDash val="solid"/>
              </a:ln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27046263345195731"/>
                  <c:y val="-0.39823899114809874"/>
                </c:manualLayout>
              </c:layout>
              <c:numFmt formatCode="0.000E+00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/>
                  </a:pPr>
                  <a:endParaRPr lang="en-US"/>
                </a:p>
              </c:txPr>
            </c:trendlineLbl>
          </c:trendline>
          <c:xVal>
            <c:numRef>
              <c:f>standards!$B$41:$B$44</c:f>
              <c:numCache>
                <c:formatCode>General</c:formatCode>
                <c:ptCount val="4"/>
                <c:pt idx="0">
                  <c:v>3596</c:v>
                </c:pt>
                <c:pt idx="1">
                  <c:v>6883</c:v>
                </c:pt>
                <c:pt idx="2">
                  <c:v>17358</c:v>
                </c:pt>
                <c:pt idx="3">
                  <c:v>28967</c:v>
                </c:pt>
              </c:numCache>
            </c:numRef>
          </c:xVal>
          <c:yVal>
            <c:numRef>
              <c:f>standards!$D$41:$D$44</c:f>
              <c:numCache>
                <c:formatCode>0.00</c:formatCode>
                <c:ptCount val="4"/>
                <c:pt idx="0">
                  <c:v>0.13983333333333547</c:v>
                </c:pt>
                <c:pt idx="1">
                  <c:v>4.8833333333334394E-2</c:v>
                </c:pt>
                <c:pt idx="2">
                  <c:v>-0.41016666666666524</c:v>
                </c:pt>
                <c:pt idx="3">
                  <c:v>-0.19316666666666649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F2F-4813-98E8-4AF93D0A9E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0160056"/>
        <c:axId val="430161624"/>
      </c:scatterChart>
      <c:valAx>
        <c:axId val="430160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430161624"/>
        <c:crossesAt val="-50000"/>
        <c:crossBetween val="midCat"/>
      </c:valAx>
      <c:valAx>
        <c:axId val="430161624"/>
        <c:scaling>
          <c:orientation val="minMax"/>
        </c:scaling>
        <c:delete val="0"/>
        <c:axPos val="l"/>
        <c:numFmt formatCode="0.00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430160056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071834258422599"/>
          <c:y val="6.9149032152231005E-2"/>
          <c:w val="0.75796661417322797"/>
          <c:h val="0.79255319148936199"/>
        </c:manualLayout>
      </c:layout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diamond"/>
            <c:size val="9"/>
            <c:spPr>
              <a:gradFill rotWithShape="0">
                <a:gsLst>
                  <a:gs pos="0">
                    <a:srgbClr val="9BC1FF"/>
                  </a:gs>
                  <a:gs pos="100000">
                    <a:srgbClr val="3F80CD"/>
                  </a:gs>
                </a:gsLst>
                <a:lin ang="5400000"/>
              </a:gradFill>
              <a:ln>
                <a:solidFill>
                  <a:srgbClr val="666699"/>
                </a:solidFill>
                <a:prstDash val="solid"/>
              </a:ln>
              <a:effectLst>
                <a:outerShdw dist="35921" dir="2700000" algn="br">
                  <a:srgbClr val="000000"/>
                </a:outerShdw>
              </a:effectLst>
            </c:spPr>
          </c:marker>
          <c:trendline>
            <c:spPr>
              <a:ln w="3175">
                <a:solidFill>
                  <a:srgbClr val="000000"/>
                </a:solidFill>
                <a:prstDash val="solid"/>
              </a:ln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2710061563111211"/>
                  <c:y val="-0.52985663644634062"/>
                </c:manualLayout>
              </c:layout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/>
                  </a:pPr>
                  <a:endParaRPr lang="en-US"/>
                </a:p>
              </c:txPr>
            </c:trendlineLbl>
          </c:trendline>
          <c:xVal>
            <c:numRef>
              <c:f>standards!$A$40:$A$47</c:f>
              <c:numCache>
                <c:formatCode>0.00</c:formatCode>
                <c:ptCount val="8"/>
                <c:pt idx="0">
                  <c:v>17</c:v>
                </c:pt>
                <c:pt idx="1">
                  <c:v>35</c:v>
                </c:pt>
                <c:pt idx="2">
                  <c:v>36</c:v>
                </c:pt>
                <c:pt idx="3">
                  <c:v>37</c:v>
                </c:pt>
                <c:pt idx="4">
                  <c:v>38</c:v>
                </c:pt>
                <c:pt idx="5">
                  <c:v>59</c:v>
                </c:pt>
              </c:numCache>
            </c:numRef>
          </c:xVal>
          <c:yVal>
            <c:numRef>
              <c:f>standards!$F$40:$F$47</c:f>
              <c:numCache>
                <c:formatCode>0.00</c:formatCode>
                <c:ptCount val="8"/>
                <c:pt idx="0">
                  <c:v>0.43692102142166789</c:v>
                </c:pt>
                <c:pt idx="1">
                  <c:v>-0.16313698435833146</c:v>
                </c:pt>
                <c:pt idx="2">
                  <c:v>-4.2917602053332615E-2</c:v>
                </c:pt>
                <c:pt idx="3">
                  <c:v>-0.14811206417833134</c:v>
                </c:pt>
                <c:pt idx="4">
                  <c:v>-0.1068708730533352</c:v>
                </c:pt>
                <c:pt idx="5">
                  <c:v>2.4116502221666281E-2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8DA-44A7-A538-3CCCBC7904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8525904"/>
        <c:axId val="428527864"/>
      </c:scatterChart>
      <c:valAx>
        <c:axId val="428525904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428527864"/>
        <c:crossesAt val="-50000"/>
        <c:crossBetween val="midCat"/>
      </c:valAx>
      <c:valAx>
        <c:axId val="428527864"/>
        <c:scaling>
          <c:orientation val="minMax"/>
        </c:scaling>
        <c:delete val="0"/>
        <c:axPos val="l"/>
        <c:numFmt formatCode="0.00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428525904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printSettings>
    <c:headerFooter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594750656167999"/>
          <c:y val="6.5420560747663503E-2"/>
          <c:w val="0.75341353164187796"/>
          <c:h val="0.83177570093457898"/>
        </c:manualLayout>
      </c:layout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diamond"/>
            <c:size val="9"/>
            <c:spPr>
              <a:gradFill rotWithShape="0">
                <a:gsLst>
                  <a:gs pos="0">
                    <a:srgbClr val="9BC1FF"/>
                  </a:gs>
                  <a:gs pos="100000">
                    <a:srgbClr val="3F80CD"/>
                  </a:gs>
                </a:gsLst>
                <a:lin ang="5400000"/>
              </a:gradFill>
              <a:ln>
                <a:solidFill>
                  <a:srgbClr val="666699"/>
                </a:solidFill>
                <a:prstDash val="solid"/>
              </a:ln>
              <a:effectLst>
                <a:outerShdw dist="35921" dir="2700000" algn="br">
                  <a:srgbClr val="000000"/>
                </a:outerShdw>
              </a:effectLst>
            </c:spPr>
          </c:marker>
          <c:trendline>
            <c:spPr>
              <a:ln w="3175">
                <a:solidFill>
                  <a:srgbClr val="000000"/>
                </a:solidFill>
                <a:prstDash val="solid"/>
              </a:ln>
            </c:spPr>
            <c:trendlineType val="linear"/>
            <c:dispRSqr val="1"/>
            <c:dispEq val="1"/>
            <c:trendlineLbl>
              <c:layout>
                <c:manualLayout>
                  <c:x val="0.247294254884806"/>
                  <c:y val="-0.392856354404298"/>
                </c:manualLayout>
              </c:layout>
              <c:numFmt formatCode="0.000E+00" sourceLinked="0"/>
              <c:spPr>
                <a:noFill/>
                <a:ln w="25400">
                  <a:noFill/>
                </a:ln>
              </c:spPr>
            </c:trendlineLbl>
          </c:trendline>
          <c:xVal>
            <c:numRef>
              <c:f>standards!$B$57:$B$60</c:f>
              <c:numCache>
                <c:formatCode>0.00</c:formatCode>
                <c:ptCount val="4"/>
                <c:pt idx="0">
                  <c:v>305</c:v>
                </c:pt>
                <c:pt idx="1">
                  <c:v>739</c:v>
                </c:pt>
                <c:pt idx="2">
                  <c:v>1219</c:v>
                </c:pt>
                <c:pt idx="3">
                  <c:v>383</c:v>
                </c:pt>
              </c:numCache>
            </c:numRef>
          </c:xVal>
          <c:yVal>
            <c:numRef>
              <c:f>standards!$D$57:$D$60</c:f>
              <c:numCache>
                <c:formatCode>0.00</c:formatCode>
                <c:ptCount val="4"/>
                <c:pt idx="0">
                  <c:v>1.1950000000000003</c:v>
                </c:pt>
                <c:pt idx="1">
                  <c:v>1.3760000000000003</c:v>
                </c:pt>
                <c:pt idx="2">
                  <c:v>1.633</c:v>
                </c:pt>
                <c:pt idx="3">
                  <c:v>0.60199999999999987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C95-4FF1-A1A5-67D4204181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8528648"/>
        <c:axId val="428526296"/>
      </c:scatterChart>
      <c:valAx>
        <c:axId val="428528648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428526296"/>
        <c:crossesAt val="-50000"/>
        <c:crossBetween val="midCat"/>
      </c:valAx>
      <c:valAx>
        <c:axId val="428526296"/>
        <c:scaling>
          <c:orientation val="minMax"/>
        </c:scaling>
        <c:delete val="0"/>
        <c:axPos val="l"/>
        <c:numFmt formatCode="0.00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428528648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printSettings>
    <c:headerFooter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256486381825201"/>
          <c:y val="0.10106382978723399"/>
          <c:w val="0.74791661288240596"/>
          <c:h val="0.77659574468085102"/>
        </c:manualLayout>
      </c:layout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diamond"/>
            <c:size val="9"/>
            <c:spPr>
              <a:gradFill rotWithShape="0">
                <a:gsLst>
                  <a:gs pos="0">
                    <a:srgbClr val="9BC1FF"/>
                  </a:gs>
                  <a:gs pos="100000">
                    <a:srgbClr val="3F80CD"/>
                  </a:gs>
                </a:gsLst>
                <a:lin ang="5400000"/>
              </a:gradFill>
              <a:ln>
                <a:solidFill>
                  <a:srgbClr val="666699"/>
                </a:solidFill>
                <a:prstDash val="solid"/>
              </a:ln>
              <a:effectLst>
                <a:outerShdw dist="35921" dir="2700000" algn="br">
                  <a:srgbClr val="000000"/>
                </a:outerShdw>
              </a:effectLst>
            </c:spPr>
          </c:marker>
          <c:trendline>
            <c:spPr>
              <a:ln w="3175">
                <a:solidFill>
                  <a:srgbClr val="000000"/>
                </a:solidFill>
                <a:prstDash val="solid"/>
              </a:ln>
            </c:spPr>
            <c:trendlineType val="linear"/>
            <c:dispRSqr val="1"/>
            <c:dispEq val="1"/>
            <c:trendlineLbl>
              <c:layout>
                <c:manualLayout>
                  <c:x val="0.189337573906465"/>
                  <c:y val="0.180851063829787"/>
                </c:manualLayout>
              </c:layout>
              <c:numFmt formatCode="0.000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/>
                  </a:pPr>
                  <a:endParaRPr lang="en-US"/>
                </a:p>
              </c:txPr>
            </c:trendlineLbl>
          </c:trendline>
          <c:xVal>
            <c:numRef>
              <c:f>standards!$A$55:$A$62</c:f>
              <c:numCache>
                <c:formatCode>0.00</c:formatCode>
                <c:ptCount val="8"/>
                <c:pt idx="0">
                  <c:v>17</c:v>
                </c:pt>
                <c:pt idx="1">
                  <c:v>35</c:v>
                </c:pt>
                <c:pt idx="2">
                  <c:v>36</c:v>
                </c:pt>
                <c:pt idx="3">
                  <c:v>37</c:v>
                </c:pt>
                <c:pt idx="4">
                  <c:v>38</c:v>
                </c:pt>
                <c:pt idx="5">
                  <c:v>59</c:v>
                </c:pt>
                <c:pt idx="6">
                  <c:v>0</c:v>
                </c:pt>
                <c:pt idx="7">
                  <c:v>0</c:v>
                </c:pt>
              </c:numCache>
            </c:numRef>
          </c:xVal>
          <c:yVal>
            <c:numRef>
              <c:f>standards!$F$55:$F$62</c:f>
              <c:numCache>
                <c:formatCode>0.00</c:formatCode>
                <c:ptCount val="8"/>
                <c:pt idx="0">
                  <c:v>0.29033333333333333</c:v>
                </c:pt>
                <c:pt idx="1">
                  <c:v>-1.2696666666666667</c:v>
                </c:pt>
                <c:pt idx="2">
                  <c:v>0.23833333333333373</c:v>
                </c:pt>
                <c:pt idx="3">
                  <c:v>0.41933333333333378</c:v>
                </c:pt>
                <c:pt idx="4">
                  <c:v>0.67633333333333345</c:v>
                </c:pt>
                <c:pt idx="5">
                  <c:v>-0.35466666666666669</c:v>
                </c:pt>
                <c:pt idx="6">
                  <c:v>-3.8266666666666667</c:v>
                </c:pt>
                <c:pt idx="7">
                  <c:v>-3.8266666666666667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C22-4D45-8E14-A41FFF6FC9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7444456"/>
        <c:axId val="427445240"/>
      </c:scatterChart>
      <c:valAx>
        <c:axId val="427444456"/>
        <c:scaling>
          <c:orientation val="minMax"/>
        </c:scaling>
        <c:delete val="0"/>
        <c:axPos val="b"/>
        <c:numFmt formatCode="0.00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427445240"/>
        <c:crossesAt val="-50000"/>
        <c:crossBetween val="midCat"/>
      </c:valAx>
      <c:valAx>
        <c:axId val="427445240"/>
        <c:scaling>
          <c:orientation val="minMax"/>
        </c:scaling>
        <c:delete val="0"/>
        <c:axPos val="l"/>
        <c:numFmt formatCode="0.00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crossAx val="427444456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printSettings>
    <c:headerFooter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spPr>
            <a:ln w="4762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standards!$L$3:$L$20</c:f>
              <c:numCache>
                <c:formatCode>0.00</c:formatCode>
                <c:ptCount val="18"/>
                <c:pt idx="0">
                  <c:v>-28.287042517659998</c:v>
                </c:pt>
                <c:pt idx="1">
                  <c:v>-28.887100523439997</c:v>
                </c:pt>
                <c:pt idx="2">
                  <c:v>-28.766881141134999</c:v>
                </c:pt>
                <c:pt idx="3">
                  <c:v>-28.872075603259997</c:v>
                </c:pt>
                <c:pt idx="4">
                  <c:v>-28.830834412135001</c:v>
                </c:pt>
                <c:pt idx="5">
                  <c:v>-28.69984703686</c:v>
                </c:pt>
                <c:pt idx="9">
                  <c:v>-14.281916320375</c:v>
                </c:pt>
                <c:pt idx="10">
                  <c:v>-14.730393721815</c:v>
                </c:pt>
                <c:pt idx="11">
                  <c:v>-14.843797911040001</c:v>
                </c:pt>
                <c:pt idx="15">
                  <c:v>-27.23193530656</c:v>
                </c:pt>
                <c:pt idx="16">
                  <c:v>-27.387759488015</c:v>
                </c:pt>
              </c:numCache>
            </c:numRef>
          </c:xVal>
          <c:yVal>
            <c:numRef>
              <c:f>standards!$N$3:$N$20</c:f>
              <c:numCache>
                <c:formatCode>General</c:formatCode>
                <c:ptCount val="18"/>
                <c:pt idx="0">
                  <c:v>-27.87</c:v>
                </c:pt>
                <c:pt idx="1">
                  <c:v>-27.87</c:v>
                </c:pt>
                <c:pt idx="2">
                  <c:v>-27.87</c:v>
                </c:pt>
                <c:pt idx="3">
                  <c:v>-27.87</c:v>
                </c:pt>
                <c:pt idx="4">
                  <c:v>-27.87</c:v>
                </c:pt>
                <c:pt idx="5">
                  <c:v>-27.87</c:v>
                </c:pt>
                <c:pt idx="9">
                  <c:v>-13.68</c:v>
                </c:pt>
                <c:pt idx="10">
                  <c:v>-13.68</c:v>
                </c:pt>
                <c:pt idx="11">
                  <c:v>-13.68</c:v>
                </c:pt>
                <c:pt idx="15">
                  <c:v>-26.54</c:v>
                </c:pt>
                <c:pt idx="16">
                  <c:v>-26.54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558-4B50-96A8-99C98FE8BA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7875920"/>
        <c:axId val="427876704"/>
      </c:scatterChart>
      <c:scatterChart>
        <c:scatterStyle val="lineMarker"/>
        <c:varyColors val="0"/>
        <c:ser>
          <c:idx val="0"/>
          <c:order val="1"/>
          <c:spPr>
            <a:ln w="4762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standards!$M$3:$M$20</c:f>
              <c:numCache>
                <c:formatCode>0.00</c:formatCode>
                <c:ptCount val="18"/>
                <c:pt idx="0">
                  <c:v>4.117</c:v>
                </c:pt>
                <c:pt idx="1">
                  <c:v>2.5569999999999999</c:v>
                </c:pt>
                <c:pt idx="2">
                  <c:v>4.0650000000000004</c:v>
                </c:pt>
                <c:pt idx="3">
                  <c:v>4.2460000000000004</c:v>
                </c:pt>
                <c:pt idx="4">
                  <c:v>4.5030000000000001</c:v>
                </c:pt>
                <c:pt idx="5">
                  <c:v>3.472</c:v>
                </c:pt>
                <c:pt idx="9">
                  <c:v>-0.59499999999999997</c:v>
                </c:pt>
                <c:pt idx="10">
                  <c:v>-1.179</c:v>
                </c:pt>
                <c:pt idx="11">
                  <c:v>-1.367</c:v>
                </c:pt>
                <c:pt idx="15">
                  <c:v>5.48</c:v>
                </c:pt>
                <c:pt idx="16">
                  <c:v>6.351</c:v>
                </c:pt>
              </c:numCache>
            </c:numRef>
          </c:xVal>
          <c:yVal>
            <c:numRef>
              <c:f>standards!$O$3:$O$20</c:f>
              <c:numCache>
                <c:formatCode>General</c:formatCode>
                <c:ptCount val="18"/>
                <c:pt idx="0">
                  <c:v>5.15</c:v>
                </c:pt>
                <c:pt idx="1">
                  <c:v>5.15</c:v>
                </c:pt>
                <c:pt idx="2">
                  <c:v>5.15</c:v>
                </c:pt>
                <c:pt idx="3">
                  <c:v>5.15</c:v>
                </c:pt>
                <c:pt idx="4">
                  <c:v>5.15</c:v>
                </c:pt>
                <c:pt idx="5">
                  <c:v>5.15</c:v>
                </c:pt>
                <c:pt idx="9">
                  <c:v>1.58</c:v>
                </c:pt>
                <c:pt idx="10">
                  <c:v>1.58</c:v>
                </c:pt>
                <c:pt idx="11">
                  <c:v>1.58</c:v>
                </c:pt>
                <c:pt idx="15">
                  <c:v>7.46</c:v>
                </c:pt>
                <c:pt idx="16">
                  <c:v>7.46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558-4B50-96A8-99C98FE8BA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8841168"/>
        <c:axId val="328839992"/>
      </c:scatterChart>
      <c:valAx>
        <c:axId val="427875920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876704"/>
        <c:crosses val="autoZero"/>
        <c:crossBetween val="midCat"/>
      </c:valAx>
      <c:valAx>
        <c:axId val="427876704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875920"/>
        <c:crosses val="max"/>
        <c:crossBetween val="midCat"/>
      </c:valAx>
      <c:valAx>
        <c:axId val="32883999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8841168"/>
        <c:crosses val="max"/>
        <c:crossBetween val="midCat"/>
      </c:valAx>
      <c:valAx>
        <c:axId val="328841168"/>
        <c:scaling>
          <c:orientation val="minMax"/>
        </c:scaling>
        <c:delete val="1"/>
        <c:axPos val="b"/>
        <c:numFmt formatCode="0.00" sourceLinked="1"/>
        <c:majorTickMark val="out"/>
        <c:minorTickMark val="none"/>
        <c:tickLblPos val="nextTo"/>
        <c:crossAx val="328839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25400</xdr:colOff>
      <xdr:row>36</xdr:row>
      <xdr:rowOff>114300</xdr:rowOff>
    </xdr:from>
    <xdr:to>
      <xdr:col>11</xdr:col>
      <xdr:colOff>127000</xdr:colOff>
      <xdr:row>51</xdr:row>
      <xdr:rowOff>139700</xdr:rowOff>
    </xdr:to>
    <xdr:graphicFrame macro="">
      <xdr:nvGraphicFramePr>
        <xdr:cNvPr id="2057" name="Chart 2">
          <a:extLst>
            <a:ext uri="{FF2B5EF4-FFF2-40B4-BE49-F238E27FC236}">
              <a16:creationId xmlns:a16="http://schemas.microsoft.com/office/drawing/2014/main" id="{00000000-0008-0000-0100-000009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152400</xdr:colOff>
      <xdr:row>36</xdr:row>
      <xdr:rowOff>152400</xdr:rowOff>
    </xdr:from>
    <xdr:to>
      <xdr:col>15</xdr:col>
      <xdr:colOff>177800</xdr:colOff>
      <xdr:row>51</xdr:row>
      <xdr:rowOff>114300</xdr:rowOff>
    </xdr:to>
    <xdr:graphicFrame macro="">
      <xdr:nvGraphicFramePr>
        <xdr:cNvPr id="2058" name="Chart 3">
          <a:extLst>
            <a:ext uri="{FF2B5EF4-FFF2-40B4-BE49-F238E27FC236}">
              <a16:creationId xmlns:a16="http://schemas.microsoft.com/office/drawing/2014/main" id="{00000000-0008-0000-0100-00000A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50800</xdr:colOff>
      <xdr:row>52</xdr:row>
      <xdr:rowOff>50800</xdr:rowOff>
    </xdr:from>
    <xdr:to>
      <xdr:col>11</xdr:col>
      <xdr:colOff>127000</xdr:colOff>
      <xdr:row>68</xdr:row>
      <xdr:rowOff>139700</xdr:rowOff>
    </xdr:to>
    <xdr:graphicFrame macro="">
      <xdr:nvGraphicFramePr>
        <xdr:cNvPr id="2059" name="Chart 4">
          <a:extLst>
            <a:ext uri="{FF2B5EF4-FFF2-40B4-BE49-F238E27FC236}">
              <a16:creationId xmlns:a16="http://schemas.microsoft.com/office/drawing/2014/main" id="{00000000-0008-0000-0100-00000B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165100</xdr:colOff>
      <xdr:row>52</xdr:row>
      <xdr:rowOff>25400</xdr:rowOff>
    </xdr:from>
    <xdr:to>
      <xdr:col>15</xdr:col>
      <xdr:colOff>228600</xdr:colOff>
      <xdr:row>68</xdr:row>
      <xdr:rowOff>76200</xdr:rowOff>
    </xdr:to>
    <xdr:graphicFrame macro="">
      <xdr:nvGraphicFramePr>
        <xdr:cNvPr id="2060" name="Chart 5">
          <a:extLst>
            <a:ext uri="{FF2B5EF4-FFF2-40B4-BE49-F238E27FC236}">
              <a16:creationId xmlns:a16="http://schemas.microsoft.com/office/drawing/2014/main" id="{00000000-0008-0000-0100-00000C0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88900</xdr:colOff>
      <xdr:row>33</xdr:row>
      <xdr:rowOff>114300</xdr:rowOff>
    </xdr:from>
    <xdr:to>
      <xdr:col>21</xdr:col>
      <xdr:colOff>609600</xdr:colOff>
      <xdr:row>53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published="0"/>
  <dimension ref="A1:L83"/>
  <sheetViews>
    <sheetView workbookViewId="0">
      <selection activeCell="A2" sqref="A2:J49"/>
    </sheetView>
  </sheetViews>
  <sheetFormatPr defaultColWidth="11" defaultRowHeight="12.75" x14ac:dyDescent="0.2"/>
  <sheetData>
    <row r="1" spans="1:12" x14ac:dyDescent="0.2">
      <c r="A1" s="1" t="s">
        <v>63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</row>
    <row r="2" spans="1:12" x14ac:dyDescent="0.2">
      <c r="A2" s="1">
        <v>11</v>
      </c>
      <c r="B2" s="1" t="s">
        <v>64</v>
      </c>
      <c r="D2" s="1"/>
      <c r="E2" s="1">
        <v>-11.231</v>
      </c>
      <c r="F2" s="1">
        <v>282.13299999999998</v>
      </c>
      <c r="G2" s="1">
        <v>8555</v>
      </c>
      <c r="H2" s="1">
        <v>10.997999999999999</v>
      </c>
      <c r="I2" s="1">
        <v>41.097000000000001</v>
      </c>
      <c r="J2" s="1">
        <v>1717</v>
      </c>
      <c r="L2" s="1"/>
    </row>
    <row r="3" spans="1:12" x14ac:dyDescent="0.2">
      <c r="A3" s="1">
        <v>13</v>
      </c>
      <c r="B3" s="1" t="s">
        <v>64</v>
      </c>
      <c r="D3" s="1"/>
      <c r="E3" s="1">
        <v>-12.603</v>
      </c>
      <c r="F3" s="1">
        <v>358.76400000000001</v>
      </c>
      <c r="G3" s="1">
        <v>10983</v>
      </c>
      <c r="H3" s="1">
        <v>11.148999999999999</v>
      </c>
      <c r="I3" s="1">
        <v>51.451999999999998</v>
      </c>
      <c r="J3" s="1">
        <v>2189</v>
      </c>
      <c r="L3" s="1"/>
    </row>
    <row r="4" spans="1:12" x14ac:dyDescent="0.2">
      <c r="A4" s="1">
        <v>14</v>
      </c>
      <c r="B4" s="1" t="s">
        <v>64</v>
      </c>
      <c r="D4" s="1"/>
      <c r="E4" s="1">
        <v>-12.340999999999999</v>
      </c>
      <c r="F4" s="1">
        <v>427.44</v>
      </c>
      <c r="G4" s="1">
        <v>13186</v>
      </c>
      <c r="H4" s="1">
        <v>11.37</v>
      </c>
      <c r="I4" s="1">
        <v>61.103999999999999</v>
      </c>
      <c r="J4" s="1">
        <v>2602</v>
      </c>
      <c r="L4" s="1"/>
    </row>
    <row r="5" spans="1:12" x14ac:dyDescent="0.2">
      <c r="A5" s="1">
        <v>15</v>
      </c>
      <c r="B5" s="1" t="s">
        <v>65</v>
      </c>
      <c r="D5" s="1">
        <v>0.27700000000000002</v>
      </c>
      <c r="E5" s="1">
        <v>-15.076000000000001</v>
      </c>
      <c r="F5" s="1">
        <v>457.41500000000002</v>
      </c>
      <c r="G5" s="1">
        <v>14145</v>
      </c>
      <c r="H5" s="1">
        <v>-0.59499999999999997</v>
      </c>
      <c r="I5" s="1">
        <v>6.1689999999999996</v>
      </c>
      <c r="J5" s="1">
        <v>255</v>
      </c>
      <c r="K5" s="1"/>
      <c r="L5" s="1"/>
    </row>
    <row r="6" spans="1:12" x14ac:dyDescent="0.2">
      <c r="A6" s="1">
        <v>16</v>
      </c>
      <c r="B6" s="1" t="s">
        <v>66</v>
      </c>
      <c r="D6" s="1">
        <v>6.91</v>
      </c>
      <c r="E6" s="1">
        <v>-27.814</v>
      </c>
      <c r="F6" s="1">
        <v>277.363</v>
      </c>
      <c r="G6" s="1">
        <v>8472</v>
      </c>
      <c r="H6" s="1">
        <v>5.48</v>
      </c>
      <c r="I6" s="1">
        <v>10.91</v>
      </c>
      <c r="J6" s="1">
        <v>445</v>
      </c>
      <c r="L6" s="1"/>
    </row>
    <row r="7" spans="1:12" x14ac:dyDescent="0.2">
      <c r="A7" s="1">
        <v>17</v>
      </c>
      <c r="B7" s="1" t="s">
        <v>67</v>
      </c>
      <c r="D7" s="1">
        <v>1.31</v>
      </c>
      <c r="E7" s="1">
        <v>-28.893999999999998</v>
      </c>
      <c r="F7" s="1">
        <v>291.75799999999998</v>
      </c>
      <c r="G7" s="1">
        <v>8982</v>
      </c>
      <c r="H7" s="1">
        <v>4.117</v>
      </c>
      <c r="I7" s="1">
        <v>9.4090000000000007</v>
      </c>
      <c r="J7" s="1">
        <v>392</v>
      </c>
      <c r="L7" s="1"/>
    </row>
    <row r="8" spans="1:12" x14ac:dyDescent="0.2">
      <c r="A8" s="1">
        <v>18</v>
      </c>
      <c r="B8" s="1" t="s">
        <v>68</v>
      </c>
      <c r="C8" t="s">
        <v>69</v>
      </c>
      <c r="D8" s="1">
        <v>8.1140000000000008</v>
      </c>
      <c r="E8" s="1">
        <v>-27.260999999999999</v>
      </c>
      <c r="F8" s="1">
        <v>262.31299999999999</v>
      </c>
      <c r="G8" s="1">
        <v>8165</v>
      </c>
      <c r="H8">
        <v>3.1160000000000001</v>
      </c>
      <c r="I8">
        <v>17.789000000000001</v>
      </c>
      <c r="J8">
        <v>762</v>
      </c>
      <c r="K8" s="1"/>
      <c r="L8" s="1"/>
    </row>
    <row r="9" spans="1:12" x14ac:dyDescent="0.2">
      <c r="A9" s="1">
        <v>19</v>
      </c>
      <c r="B9" s="1" t="s">
        <v>70</v>
      </c>
      <c r="C9" t="s">
        <v>69</v>
      </c>
      <c r="D9" s="1">
        <v>7.6559999999999997</v>
      </c>
      <c r="E9" s="1">
        <v>-27.466999999999999</v>
      </c>
      <c r="F9" s="1">
        <v>227.352</v>
      </c>
      <c r="G9" s="1">
        <v>7101</v>
      </c>
      <c r="H9" s="1">
        <v>3.1989999999999998</v>
      </c>
      <c r="I9" s="1">
        <v>15.907</v>
      </c>
      <c r="J9" s="1">
        <v>687</v>
      </c>
      <c r="K9" s="1"/>
      <c r="L9" s="1"/>
    </row>
    <row r="10" spans="1:12" x14ac:dyDescent="0.2">
      <c r="A10" s="1">
        <v>20</v>
      </c>
      <c r="B10" s="1" t="s">
        <v>71</v>
      </c>
      <c r="C10" t="s">
        <v>69</v>
      </c>
      <c r="D10" s="1">
        <v>7.383</v>
      </c>
      <c r="E10" s="1">
        <v>-27.76</v>
      </c>
      <c r="F10" s="1">
        <v>196.03200000000001</v>
      </c>
      <c r="G10" s="1">
        <v>5974</v>
      </c>
      <c r="H10" s="1">
        <v>2.7810000000000001</v>
      </c>
      <c r="I10" s="1">
        <v>13.468999999999999</v>
      </c>
      <c r="J10" s="1">
        <v>543</v>
      </c>
      <c r="K10" s="1"/>
      <c r="L10" s="1"/>
    </row>
    <row r="11" spans="1:12" x14ac:dyDescent="0.2">
      <c r="A11" s="1">
        <v>21</v>
      </c>
      <c r="B11" s="1" t="s">
        <v>72</v>
      </c>
      <c r="C11" t="s">
        <v>69</v>
      </c>
      <c r="D11" s="1">
        <v>7.39</v>
      </c>
      <c r="E11" s="1">
        <v>-27.866</v>
      </c>
      <c r="F11" s="1">
        <v>263.99</v>
      </c>
      <c r="G11" s="1">
        <v>8224</v>
      </c>
      <c r="H11" s="1">
        <v>2.7839999999999998</v>
      </c>
      <c r="I11" s="1">
        <v>16.308</v>
      </c>
      <c r="J11" s="1">
        <v>692</v>
      </c>
      <c r="K11" s="1"/>
      <c r="L11" s="1"/>
    </row>
    <row r="12" spans="1:12" x14ac:dyDescent="0.2">
      <c r="A12" s="1">
        <v>22</v>
      </c>
      <c r="B12" s="1" t="s">
        <v>73</v>
      </c>
      <c r="C12" t="s">
        <v>69</v>
      </c>
      <c r="D12" s="1">
        <v>6.0439999999999996</v>
      </c>
      <c r="E12" s="1">
        <v>-27.721</v>
      </c>
      <c r="F12" s="1">
        <v>187.15700000000001</v>
      </c>
      <c r="G12" s="1">
        <v>5903</v>
      </c>
      <c r="H12">
        <v>3.1120000000000001</v>
      </c>
      <c r="I12">
        <v>13.042</v>
      </c>
      <c r="J12">
        <v>569</v>
      </c>
      <c r="K12" s="1"/>
      <c r="L12" s="1"/>
    </row>
    <row r="13" spans="1:12" x14ac:dyDescent="0.2">
      <c r="A13" s="1">
        <v>23</v>
      </c>
      <c r="B13" s="1" t="s">
        <v>74</v>
      </c>
      <c r="C13" t="s">
        <v>69</v>
      </c>
      <c r="D13" s="1">
        <v>6.8330000000000002</v>
      </c>
      <c r="E13" s="1">
        <v>-28.445</v>
      </c>
      <c r="F13" s="1">
        <v>266.21800000000002</v>
      </c>
      <c r="G13" s="1">
        <v>8086</v>
      </c>
      <c r="H13" s="1">
        <v>2.464</v>
      </c>
      <c r="I13" s="1">
        <v>13.051</v>
      </c>
      <c r="J13" s="1">
        <v>526</v>
      </c>
      <c r="K13" s="1"/>
      <c r="L13" s="1"/>
    </row>
    <row r="14" spans="1:12" x14ac:dyDescent="0.2">
      <c r="A14" s="1">
        <v>24</v>
      </c>
      <c r="B14" s="1" t="s">
        <v>75</v>
      </c>
      <c r="C14" t="s">
        <v>69</v>
      </c>
      <c r="D14" s="1">
        <v>5.2309999999999999</v>
      </c>
      <c r="E14" s="1">
        <v>-28.715</v>
      </c>
      <c r="F14" s="1">
        <v>304.755</v>
      </c>
      <c r="G14" s="1">
        <v>9329</v>
      </c>
      <c r="H14">
        <v>2.2450000000000001</v>
      </c>
      <c r="I14">
        <v>12.35</v>
      </c>
      <c r="J14">
        <v>503</v>
      </c>
      <c r="K14" s="1"/>
      <c r="L14" s="1"/>
    </row>
    <row r="15" spans="1:12" x14ac:dyDescent="0.2">
      <c r="A15" s="1">
        <v>25</v>
      </c>
      <c r="B15" s="1" t="s">
        <v>76</v>
      </c>
      <c r="C15" t="s">
        <v>69</v>
      </c>
      <c r="D15" s="1">
        <v>0.67200000000000004</v>
      </c>
      <c r="E15" s="1">
        <v>-27.501000000000001</v>
      </c>
      <c r="F15" s="1">
        <v>339.71600000000001</v>
      </c>
      <c r="G15" s="1">
        <v>10702</v>
      </c>
      <c r="H15">
        <v>-7.2999999999999995E-2</v>
      </c>
      <c r="I15">
        <v>5.7160000000000002</v>
      </c>
      <c r="J15">
        <v>241</v>
      </c>
      <c r="K15" s="1"/>
      <c r="L15" s="1"/>
    </row>
    <row r="16" spans="1:12" x14ac:dyDescent="0.2">
      <c r="A16" s="1">
        <v>26</v>
      </c>
      <c r="B16" s="1" t="s">
        <v>77</v>
      </c>
      <c r="C16" t="s">
        <v>69</v>
      </c>
      <c r="D16" s="1">
        <v>0.53800000000000003</v>
      </c>
      <c r="E16" s="1">
        <v>-25.184000000000001</v>
      </c>
      <c r="F16" s="1">
        <v>340.39299999999997</v>
      </c>
      <c r="G16" s="1">
        <v>10597</v>
      </c>
      <c r="H16" s="1">
        <v>0.53600000000000003</v>
      </c>
      <c r="I16" s="1">
        <v>10.801</v>
      </c>
      <c r="J16" s="1">
        <v>453</v>
      </c>
      <c r="K16" s="1"/>
      <c r="L16" s="1"/>
    </row>
    <row r="17" spans="1:12" x14ac:dyDescent="0.2">
      <c r="A17" s="1">
        <v>27</v>
      </c>
      <c r="B17" s="1" t="s">
        <v>78</v>
      </c>
      <c r="C17" t="s">
        <v>69</v>
      </c>
      <c r="D17" s="1">
        <v>0.95599999999999996</v>
      </c>
      <c r="E17" s="1">
        <v>-24.93</v>
      </c>
      <c r="F17" s="1">
        <v>626.24199999999996</v>
      </c>
      <c r="G17" s="1">
        <v>19570</v>
      </c>
      <c r="H17">
        <v>1.083</v>
      </c>
      <c r="I17">
        <v>20.937999999999999</v>
      </c>
      <c r="J17">
        <v>895</v>
      </c>
      <c r="K17" s="1"/>
      <c r="L17" s="1"/>
    </row>
    <row r="18" spans="1:12" x14ac:dyDescent="0.2">
      <c r="A18" s="1">
        <v>28</v>
      </c>
      <c r="B18" s="1" t="s">
        <v>79</v>
      </c>
      <c r="C18" t="s">
        <v>69</v>
      </c>
      <c r="D18" s="1">
        <v>13.923999999999999</v>
      </c>
      <c r="E18" s="1">
        <v>-26.745999999999999</v>
      </c>
      <c r="F18" s="1">
        <v>271.12700000000001</v>
      </c>
      <c r="G18" s="1">
        <v>8330</v>
      </c>
      <c r="H18">
        <v>3.4260000000000002</v>
      </c>
      <c r="I18">
        <v>26.227</v>
      </c>
      <c r="J18">
        <v>1098</v>
      </c>
      <c r="K18" s="1"/>
      <c r="L18" s="1"/>
    </row>
    <row r="19" spans="1:12" x14ac:dyDescent="0.2">
      <c r="A19" s="1">
        <v>29</v>
      </c>
      <c r="B19" s="1" t="s">
        <v>80</v>
      </c>
      <c r="C19" t="s">
        <v>69</v>
      </c>
      <c r="D19" s="1">
        <v>13.988</v>
      </c>
      <c r="E19" s="1">
        <v>-30.416</v>
      </c>
      <c r="F19" s="1">
        <v>295.61399999999998</v>
      </c>
      <c r="G19" s="1">
        <v>9268</v>
      </c>
      <c r="H19">
        <v>3.5579999999999998</v>
      </c>
      <c r="I19">
        <v>27.254000000000001</v>
      </c>
      <c r="J19">
        <v>1196</v>
      </c>
      <c r="K19" s="1"/>
      <c r="L19" s="1"/>
    </row>
    <row r="20" spans="1:12" x14ac:dyDescent="0.2">
      <c r="A20" s="1">
        <v>30</v>
      </c>
      <c r="B20" s="1" t="s">
        <v>81</v>
      </c>
      <c r="C20" t="s">
        <v>69</v>
      </c>
      <c r="D20" s="1">
        <v>13.311</v>
      </c>
      <c r="E20" s="1">
        <v>-26.475000000000001</v>
      </c>
      <c r="F20" s="1">
        <v>242.25399999999999</v>
      </c>
      <c r="G20" s="1">
        <v>7391</v>
      </c>
      <c r="H20" s="1">
        <v>3.1709999999999998</v>
      </c>
      <c r="I20" s="1">
        <v>24.613</v>
      </c>
      <c r="J20" s="1">
        <v>1026</v>
      </c>
      <c r="K20" s="1"/>
      <c r="L20" s="1"/>
    </row>
    <row r="21" spans="1:12" x14ac:dyDescent="0.2">
      <c r="A21" s="1">
        <v>31</v>
      </c>
      <c r="B21" s="1" t="s">
        <v>82</v>
      </c>
      <c r="C21" t="s">
        <v>69</v>
      </c>
      <c r="D21" s="1">
        <v>11.244999999999999</v>
      </c>
      <c r="E21" s="1">
        <v>-26.312000000000001</v>
      </c>
      <c r="F21" s="1">
        <v>219.97900000000001</v>
      </c>
      <c r="G21" s="1">
        <v>6955</v>
      </c>
      <c r="H21" s="1">
        <v>3.5430000000000001</v>
      </c>
      <c r="I21" s="1">
        <v>22.859000000000002</v>
      </c>
      <c r="J21" s="1">
        <v>1006</v>
      </c>
      <c r="K21" s="1"/>
      <c r="L21" s="1"/>
    </row>
    <row r="22" spans="1:12" x14ac:dyDescent="0.2">
      <c r="A22" s="1">
        <v>32</v>
      </c>
      <c r="B22" s="1" t="s">
        <v>83</v>
      </c>
      <c r="C22" t="s">
        <v>69</v>
      </c>
      <c r="D22" s="1">
        <v>12.215999999999999</v>
      </c>
      <c r="E22" s="1">
        <v>-26.712</v>
      </c>
      <c r="F22" s="1">
        <v>206.43199999999999</v>
      </c>
      <c r="G22" s="1">
        <v>6439</v>
      </c>
      <c r="H22" s="1">
        <v>3.202</v>
      </c>
      <c r="I22" s="1">
        <v>21.484000000000002</v>
      </c>
      <c r="J22" s="1">
        <v>925</v>
      </c>
      <c r="K22" s="1"/>
      <c r="L22" s="1"/>
    </row>
    <row r="23" spans="1:12" x14ac:dyDescent="0.2">
      <c r="A23" s="1">
        <v>33</v>
      </c>
      <c r="B23" s="1" t="s">
        <v>65</v>
      </c>
      <c r="D23" s="1">
        <v>0.23200000000000001</v>
      </c>
      <c r="E23" s="1">
        <v>-15.477</v>
      </c>
      <c r="F23" s="1">
        <v>393.91300000000001</v>
      </c>
      <c r="G23" s="1">
        <v>12479</v>
      </c>
      <c r="H23" s="1">
        <v>-1.179</v>
      </c>
      <c r="I23" s="1">
        <v>4.3499999999999996</v>
      </c>
      <c r="J23" s="1">
        <v>184</v>
      </c>
      <c r="K23" s="1"/>
      <c r="L23" s="1"/>
    </row>
    <row r="24" spans="1:12" x14ac:dyDescent="0.2">
      <c r="A24" s="1">
        <v>34</v>
      </c>
      <c r="B24" s="1" t="s">
        <v>66</v>
      </c>
      <c r="D24" s="1">
        <v>6.9530000000000003</v>
      </c>
      <c r="E24" s="1">
        <v>-27.983000000000001</v>
      </c>
      <c r="F24" s="1">
        <v>278.12400000000002</v>
      </c>
      <c r="G24" s="1">
        <v>8739</v>
      </c>
      <c r="H24">
        <v>6.351</v>
      </c>
      <c r="I24">
        <v>10.801</v>
      </c>
      <c r="J24">
        <v>460</v>
      </c>
      <c r="K24" s="1"/>
      <c r="L24" s="1"/>
    </row>
    <row r="25" spans="1:12" x14ac:dyDescent="0.2">
      <c r="A25" s="1">
        <v>35</v>
      </c>
      <c r="B25" s="1" t="s">
        <v>67</v>
      </c>
      <c r="D25" s="1">
        <v>0.49299999999999999</v>
      </c>
      <c r="E25" s="1">
        <v>-29.172999999999998</v>
      </c>
      <c r="F25" s="1">
        <v>114.617</v>
      </c>
      <c r="G25" s="1">
        <v>3596</v>
      </c>
      <c r="H25">
        <v>2.5569999999999999</v>
      </c>
      <c r="I25">
        <v>3.4750000000000001</v>
      </c>
      <c r="J25">
        <v>144</v>
      </c>
      <c r="L25" s="1"/>
    </row>
    <row r="26" spans="1:12" x14ac:dyDescent="0.2">
      <c r="A26" s="1">
        <v>36</v>
      </c>
      <c r="B26" s="1" t="s">
        <v>67</v>
      </c>
      <c r="D26" s="1">
        <v>0.96199999999999997</v>
      </c>
      <c r="E26" s="1">
        <v>-29.263999999999999</v>
      </c>
      <c r="F26" s="1">
        <v>217.36199999999999</v>
      </c>
      <c r="G26" s="1">
        <v>6883</v>
      </c>
      <c r="H26">
        <v>4.0650000000000004</v>
      </c>
      <c r="I26">
        <v>7.0529999999999999</v>
      </c>
      <c r="J26">
        <v>305</v>
      </c>
      <c r="K26" s="1"/>
      <c r="L26" s="1"/>
    </row>
    <row r="27" spans="1:12" x14ac:dyDescent="0.2">
      <c r="A27" s="1">
        <v>37</v>
      </c>
      <c r="B27" s="1" t="s">
        <v>67</v>
      </c>
      <c r="D27" s="1">
        <v>2.4220000000000002</v>
      </c>
      <c r="E27" s="1">
        <v>-29.722999999999999</v>
      </c>
      <c r="F27" s="1">
        <v>553.29600000000005</v>
      </c>
      <c r="G27" s="1">
        <v>17358</v>
      </c>
      <c r="H27" s="1">
        <v>4.2460000000000004</v>
      </c>
      <c r="I27" s="1">
        <v>17.007000000000001</v>
      </c>
      <c r="J27" s="1">
        <v>739</v>
      </c>
      <c r="L27" s="1"/>
    </row>
    <row r="28" spans="1:12" x14ac:dyDescent="0.2">
      <c r="A28" s="1">
        <v>38</v>
      </c>
      <c r="B28" s="1" t="s">
        <v>67</v>
      </c>
      <c r="D28" s="1">
        <v>4.0910000000000002</v>
      </c>
      <c r="E28" s="1">
        <v>-29.506</v>
      </c>
      <c r="F28" s="1">
        <v>936.12900000000002</v>
      </c>
      <c r="G28" s="1">
        <v>28967</v>
      </c>
      <c r="H28" s="1">
        <v>4.5030000000000001</v>
      </c>
      <c r="I28" s="1">
        <v>28.183</v>
      </c>
      <c r="J28" s="1">
        <v>1219</v>
      </c>
      <c r="K28" s="1"/>
      <c r="L28" s="1"/>
    </row>
    <row r="29" spans="1:12" x14ac:dyDescent="0.2">
      <c r="A29" s="1">
        <v>39</v>
      </c>
      <c r="B29" s="1" t="s">
        <v>84</v>
      </c>
      <c r="C29" t="s">
        <v>69</v>
      </c>
      <c r="D29" s="1">
        <v>13.09</v>
      </c>
      <c r="E29" s="1">
        <v>-26.445</v>
      </c>
      <c r="F29" s="1">
        <v>266.322</v>
      </c>
      <c r="G29" s="1">
        <v>8101</v>
      </c>
      <c r="H29" s="1">
        <v>3.4580000000000002</v>
      </c>
      <c r="I29" s="1">
        <v>26.94</v>
      </c>
      <c r="J29" s="1">
        <v>1118</v>
      </c>
      <c r="L29" s="1"/>
    </row>
    <row r="30" spans="1:12" x14ac:dyDescent="0.2">
      <c r="A30" s="1">
        <v>40</v>
      </c>
      <c r="B30" s="1" t="s">
        <v>85</v>
      </c>
      <c r="C30" t="s">
        <v>69</v>
      </c>
      <c r="D30" s="1">
        <v>9.4499999999999993</v>
      </c>
      <c r="E30" s="1">
        <v>-25.052</v>
      </c>
      <c r="F30" s="1">
        <v>271.42099999999999</v>
      </c>
      <c r="G30" s="1">
        <v>8505</v>
      </c>
      <c r="H30" s="1">
        <v>3.294</v>
      </c>
      <c r="I30" s="1">
        <v>19.103999999999999</v>
      </c>
      <c r="J30" s="1">
        <v>818</v>
      </c>
      <c r="K30" s="1"/>
      <c r="L30" s="1"/>
    </row>
    <row r="31" spans="1:12" x14ac:dyDescent="0.2">
      <c r="A31" s="1">
        <v>41</v>
      </c>
      <c r="B31" s="1">
        <v>147</v>
      </c>
      <c r="C31" t="s">
        <v>69</v>
      </c>
      <c r="D31" s="1">
        <v>9.0950000000000006</v>
      </c>
      <c r="E31" s="1">
        <v>-25.388000000000002</v>
      </c>
      <c r="F31" s="1">
        <v>241.21299999999999</v>
      </c>
      <c r="G31" s="1">
        <v>7554</v>
      </c>
      <c r="H31" s="1">
        <v>3.0539999999999998</v>
      </c>
      <c r="I31" s="1">
        <v>17.888999999999999</v>
      </c>
      <c r="J31" s="1">
        <v>768</v>
      </c>
      <c r="L31" s="1"/>
    </row>
    <row r="32" spans="1:12" x14ac:dyDescent="0.2">
      <c r="A32" s="1">
        <v>42</v>
      </c>
      <c r="B32" s="1" t="s">
        <v>86</v>
      </c>
      <c r="C32" t="s">
        <v>69</v>
      </c>
      <c r="D32" s="1">
        <v>10.010999999999999</v>
      </c>
      <c r="E32" s="1">
        <v>-26.741</v>
      </c>
      <c r="F32" s="1">
        <v>272.12</v>
      </c>
      <c r="G32" s="1">
        <v>8593</v>
      </c>
      <c r="H32" s="1">
        <v>3.0249999999999999</v>
      </c>
      <c r="I32" s="1">
        <v>19.870999999999999</v>
      </c>
      <c r="J32" s="1">
        <v>864</v>
      </c>
      <c r="K32" s="1"/>
      <c r="L32" s="1"/>
    </row>
    <row r="33" spans="1:12" x14ac:dyDescent="0.2">
      <c r="A33" s="1">
        <v>43</v>
      </c>
      <c r="B33" s="1" t="s">
        <v>87</v>
      </c>
      <c r="C33" t="s">
        <v>69</v>
      </c>
      <c r="D33" s="1">
        <v>9.2560000000000002</v>
      </c>
      <c r="E33" s="1">
        <v>-27.035</v>
      </c>
      <c r="F33" s="1">
        <v>230.03700000000001</v>
      </c>
      <c r="G33" s="1">
        <v>7269</v>
      </c>
      <c r="H33" s="1">
        <v>3.298</v>
      </c>
      <c r="I33" s="1">
        <v>18.707999999999998</v>
      </c>
      <c r="J33" s="1">
        <v>816</v>
      </c>
      <c r="K33" s="1"/>
      <c r="L33" s="1"/>
    </row>
    <row r="34" spans="1:12" x14ac:dyDescent="0.2">
      <c r="A34" s="1">
        <v>44</v>
      </c>
      <c r="B34" s="1" t="s">
        <v>88</v>
      </c>
      <c r="C34" t="s">
        <v>69</v>
      </c>
      <c r="D34" s="1">
        <v>8.4730000000000008</v>
      </c>
      <c r="E34" s="1">
        <v>-33.405000000000001</v>
      </c>
      <c r="F34" s="1">
        <v>195.214</v>
      </c>
      <c r="G34" s="1">
        <v>5857</v>
      </c>
      <c r="H34" s="1">
        <v>2.5329999999999999</v>
      </c>
      <c r="I34" s="1">
        <v>14.977</v>
      </c>
      <c r="J34" s="1">
        <v>599</v>
      </c>
      <c r="K34" s="1"/>
      <c r="L34" s="1"/>
    </row>
    <row r="35" spans="1:12" x14ac:dyDescent="0.2">
      <c r="A35" s="1">
        <v>45</v>
      </c>
      <c r="B35" s="1" t="s">
        <v>89</v>
      </c>
      <c r="C35" t="s">
        <v>69</v>
      </c>
      <c r="D35" s="1">
        <v>8.6029999999999998</v>
      </c>
      <c r="E35" s="1">
        <v>-27.416</v>
      </c>
      <c r="F35" s="1">
        <v>221.81399999999999</v>
      </c>
      <c r="G35" s="1">
        <v>6665</v>
      </c>
      <c r="H35" s="1">
        <v>2.0710000000000002</v>
      </c>
      <c r="I35" s="1">
        <v>14.513</v>
      </c>
      <c r="J35" s="1">
        <v>569</v>
      </c>
      <c r="K35" s="1"/>
      <c r="L35" s="1"/>
    </row>
    <row r="36" spans="1:12" x14ac:dyDescent="0.2">
      <c r="A36" s="1">
        <v>46</v>
      </c>
      <c r="B36" s="1" t="s">
        <v>90</v>
      </c>
      <c r="C36" t="s">
        <v>69</v>
      </c>
      <c r="D36" s="1">
        <v>9.2270000000000003</v>
      </c>
      <c r="E36" s="1">
        <v>-26.326000000000001</v>
      </c>
      <c r="F36" s="1">
        <v>208.203</v>
      </c>
      <c r="G36" s="1">
        <v>6649</v>
      </c>
      <c r="H36" s="1">
        <v>3.2570000000000001</v>
      </c>
      <c r="I36" s="1">
        <v>18.690999999999999</v>
      </c>
      <c r="J36" s="1">
        <v>833</v>
      </c>
      <c r="K36" s="1"/>
      <c r="L36" s="1"/>
    </row>
    <row r="37" spans="1:12" x14ac:dyDescent="0.2">
      <c r="A37" s="1">
        <v>47</v>
      </c>
      <c r="B37" s="1" t="s">
        <v>91</v>
      </c>
      <c r="C37" t="s">
        <v>69</v>
      </c>
      <c r="D37" s="1">
        <v>9.1170000000000009</v>
      </c>
      <c r="E37" s="1">
        <v>-24.553000000000001</v>
      </c>
      <c r="F37" s="1">
        <v>225.9</v>
      </c>
      <c r="G37" s="1">
        <v>7192</v>
      </c>
      <c r="H37" s="1">
        <v>3.2069999999999999</v>
      </c>
      <c r="I37" s="1">
        <v>17.763000000000002</v>
      </c>
      <c r="J37" s="1">
        <v>787</v>
      </c>
      <c r="L37" s="1"/>
    </row>
    <row r="38" spans="1:12" x14ac:dyDescent="0.2">
      <c r="A38" s="1">
        <v>48</v>
      </c>
      <c r="B38" s="1" t="s">
        <v>92</v>
      </c>
      <c r="C38" t="s">
        <v>69</v>
      </c>
      <c r="D38" s="1">
        <v>13.417999999999999</v>
      </c>
      <c r="E38" s="1">
        <v>-26.738</v>
      </c>
      <c r="F38" s="1">
        <v>257.36799999999999</v>
      </c>
      <c r="G38" s="1">
        <v>8016</v>
      </c>
      <c r="H38" s="1">
        <v>3.4609999999999999</v>
      </c>
      <c r="I38" s="1">
        <v>25.187000000000001</v>
      </c>
      <c r="J38" s="1">
        <v>1076</v>
      </c>
      <c r="K38" s="1"/>
      <c r="L38" s="1"/>
    </row>
    <row r="39" spans="1:12" x14ac:dyDescent="0.2">
      <c r="A39" s="1">
        <v>49</v>
      </c>
      <c r="B39" s="1" t="s">
        <v>93</v>
      </c>
      <c r="C39" t="s">
        <v>69</v>
      </c>
      <c r="D39" s="1">
        <v>13.833</v>
      </c>
      <c r="E39" s="1">
        <v>-25.936</v>
      </c>
      <c r="F39" s="1">
        <v>242.43100000000001</v>
      </c>
      <c r="G39" s="1">
        <v>7497</v>
      </c>
      <c r="H39" s="1">
        <v>3.2679999999999998</v>
      </c>
      <c r="I39" s="1">
        <v>25.007000000000001</v>
      </c>
      <c r="J39" s="1">
        <v>1058</v>
      </c>
      <c r="L39" s="1"/>
    </row>
    <row r="40" spans="1:12" x14ac:dyDescent="0.2">
      <c r="A40" s="1">
        <v>50</v>
      </c>
      <c r="B40" s="1" t="s">
        <v>94</v>
      </c>
      <c r="C40" t="s">
        <v>69</v>
      </c>
      <c r="D40" s="1">
        <v>8.7129999999999992</v>
      </c>
      <c r="E40" s="1">
        <v>-26.768999999999998</v>
      </c>
      <c r="F40" s="1">
        <v>186.89</v>
      </c>
      <c r="G40" s="1">
        <v>5953</v>
      </c>
      <c r="H40" s="1">
        <v>2.95</v>
      </c>
      <c r="I40" s="1">
        <v>15.68</v>
      </c>
      <c r="J40" s="1">
        <v>691</v>
      </c>
      <c r="K40" s="1"/>
      <c r="L40" s="1"/>
    </row>
    <row r="41" spans="1:12" x14ac:dyDescent="0.2">
      <c r="A41" s="1">
        <v>51</v>
      </c>
      <c r="B41" s="1" t="s">
        <v>95</v>
      </c>
      <c r="C41" t="s">
        <v>69</v>
      </c>
      <c r="D41" s="1">
        <v>11.379</v>
      </c>
      <c r="E41" s="1">
        <v>-26.219000000000001</v>
      </c>
      <c r="F41" s="1">
        <v>248.73099999999999</v>
      </c>
      <c r="G41" s="1">
        <v>7949</v>
      </c>
      <c r="H41" s="1">
        <v>3.4980000000000002</v>
      </c>
      <c r="I41" s="1">
        <v>23.664000000000001</v>
      </c>
      <c r="J41" s="1">
        <v>1059</v>
      </c>
      <c r="L41" s="1"/>
    </row>
    <row r="42" spans="1:12" x14ac:dyDescent="0.2">
      <c r="A42" s="1">
        <v>52</v>
      </c>
      <c r="B42" s="1" t="s">
        <v>96</v>
      </c>
      <c r="C42" t="s">
        <v>69</v>
      </c>
      <c r="D42" s="1">
        <v>12.888</v>
      </c>
      <c r="E42" s="1">
        <v>-26.411999999999999</v>
      </c>
      <c r="F42" s="1">
        <v>249.267</v>
      </c>
      <c r="G42" s="1">
        <v>7856</v>
      </c>
      <c r="H42" s="1">
        <v>2.8140000000000001</v>
      </c>
      <c r="I42" s="1">
        <v>22.311</v>
      </c>
      <c r="J42" s="1">
        <v>978</v>
      </c>
      <c r="K42" s="1"/>
      <c r="L42" s="1"/>
    </row>
    <row r="43" spans="1:12" x14ac:dyDescent="0.2">
      <c r="A43" s="1">
        <v>53</v>
      </c>
      <c r="B43" s="1" t="s">
        <v>88</v>
      </c>
      <c r="C43" t="s">
        <v>69</v>
      </c>
      <c r="D43" s="1">
        <v>11.016999999999999</v>
      </c>
      <c r="E43" s="1">
        <v>-27.331</v>
      </c>
      <c r="F43" s="1">
        <v>251.93899999999999</v>
      </c>
      <c r="G43" s="1">
        <v>7870</v>
      </c>
      <c r="H43" s="1">
        <v>2.919</v>
      </c>
      <c r="I43" s="1">
        <v>19.132999999999999</v>
      </c>
      <c r="J43" s="1">
        <v>809</v>
      </c>
      <c r="L43" s="1"/>
    </row>
    <row r="44" spans="1:12" x14ac:dyDescent="0.2">
      <c r="A44" s="1">
        <v>54</v>
      </c>
      <c r="B44" s="1" t="s">
        <v>97</v>
      </c>
      <c r="C44" s="1" t="s">
        <v>69</v>
      </c>
      <c r="D44" s="1">
        <v>12.356999999999999</v>
      </c>
      <c r="E44" s="1">
        <v>-27.035</v>
      </c>
      <c r="F44" s="1">
        <v>238.39699999999999</v>
      </c>
      <c r="G44" s="1">
        <v>7455</v>
      </c>
      <c r="H44" s="1">
        <v>3.2469999999999999</v>
      </c>
      <c r="I44" s="1">
        <v>22.905999999999999</v>
      </c>
      <c r="J44" s="1">
        <v>979</v>
      </c>
      <c r="K44" s="1"/>
      <c r="L44" s="1"/>
    </row>
    <row r="45" spans="1:12" x14ac:dyDescent="0.2">
      <c r="A45" s="1">
        <v>55</v>
      </c>
      <c r="B45" s="1" t="s">
        <v>76</v>
      </c>
      <c r="C45" s="1" t="s">
        <v>69</v>
      </c>
      <c r="D45" s="1">
        <v>0.28199999999999997</v>
      </c>
      <c r="E45" s="1">
        <v>-27.451000000000001</v>
      </c>
      <c r="F45" s="1">
        <v>161.578</v>
      </c>
      <c r="G45" s="1">
        <v>5121</v>
      </c>
      <c r="H45">
        <v>-1.274</v>
      </c>
      <c r="I45">
        <v>3.07</v>
      </c>
      <c r="J45">
        <v>127</v>
      </c>
      <c r="L45" s="1"/>
    </row>
    <row r="46" spans="1:12" x14ac:dyDescent="0.2">
      <c r="A46" s="1">
        <v>56</v>
      </c>
      <c r="B46" s="1" t="s">
        <v>98</v>
      </c>
      <c r="C46" s="1" t="s">
        <v>69</v>
      </c>
      <c r="D46" s="1">
        <v>5.2140000000000004</v>
      </c>
      <c r="E46" s="1">
        <v>-28.616</v>
      </c>
      <c r="F46" s="1">
        <v>242.38900000000001</v>
      </c>
      <c r="G46" s="1">
        <v>7601</v>
      </c>
      <c r="H46" s="1">
        <v>2.2709999999999999</v>
      </c>
      <c r="I46" s="1">
        <v>11.071</v>
      </c>
      <c r="J46" s="1">
        <v>471</v>
      </c>
      <c r="K46" s="1"/>
      <c r="L46" s="1"/>
    </row>
    <row r="47" spans="1:12" x14ac:dyDescent="0.2">
      <c r="A47" s="1">
        <v>57</v>
      </c>
      <c r="B47" s="1" t="s">
        <v>65</v>
      </c>
      <c r="C47" s="1"/>
      <c r="D47" s="1">
        <v>0.23300000000000001</v>
      </c>
      <c r="E47" s="1">
        <v>-13.763</v>
      </c>
      <c r="F47" s="1">
        <v>383.363</v>
      </c>
      <c r="G47" s="1">
        <v>12197</v>
      </c>
      <c r="H47">
        <v>11</v>
      </c>
      <c r="I47">
        <v>51.896999999999998</v>
      </c>
      <c r="J47">
        <v>2300</v>
      </c>
      <c r="L47" s="1"/>
    </row>
    <row r="48" spans="1:12" x14ac:dyDescent="0.2">
      <c r="A48" s="1">
        <v>58</v>
      </c>
      <c r="B48" s="1" t="s">
        <v>66</v>
      </c>
      <c r="C48" s="1"/>
      <c r="D48" s="1">
        <v>6.976</v>
      </c>
      <c r="E48" s="1">
        <v>-15.601000000000001</v>
      </c>
      <c r="F48" s="1">
        <v>401.93700000000001</v>
      </c>
      <c r="G48" s="1">
        <v>12816</v>
      </c>
      <c r="H48" s="1">
        <v>-1.367</v>
      </c>
      <c r="I48" s="1">
        <v>3.9569999999999999</v>
      </c>
      <c r="J48" s="1">
        <v>170</v>
      </c>
      <c r="K48" s="1"/>
      <c r="L48" s="1"/>
    </row>
    <row r="49" spans="1:12" x14ac:dyDescent="0.2">
      <c r="A49" s="1">
        <v>59</v>
      </c>
      <c r="B49" s="1" t="s">
        <v>67</v>
      </c>
      <c r="C49" s="1"/>
      <c r="D49" s="1">
        <v>1.3380000000000001</v>
      </c>
      <c r="E49" s="1">
        <v>-29.317</v>
      </c>
      <c r="F49" s="1">
        <v>299.72800000000001</v>
      </c>
      <c r="G49" s="1">
        <v>9198</v>
      </c>
      <c r="H49">
        <v>3.472</v>
      </c>
      <c r="I49">
        <v>9.5950000000000006</v>
      </c>
      <c r="J49">
        <v>383</v>
      </c>
      <c r="L49" s="1"/>
    </row>
    <row r="50" spans="1:12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">
      <c r="A51" s="1"/>
      <c r="B51" s="1"/>
      <c r="C51" s="1"/>
      <c r="D51" s="1"/>
      <c r="E51" s="1"/>
      <c r="F51" s="1"/>
      <c r="G51" s="1"/>
      <c r="L51" s="1"/>
    </row>
    <row r="52" spans="1:12" x14ac:dyDescent="0.2">
      <c r="A52" s="1"/>
      <c r="B52" s="1"/>
      <c r="D52" s="1"/>
      <c r="E52" s="1"/>
      <c r="F52" s="1"/>
      <c r="G52" s="1"/>
      <c r="L52" s="1"/>
    </row>
    <row r="53" spans="1:12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published="0"/>
  <dimension ref="A1:W67"/>
  <sheetViews>
    <sheetView workbookViewId="0">
      <selection activeCell="U26" sqref="U26"/>
    </sheetView>
  </sheetViews>
  <sheetFormatPr defaultColWidth="11" defaultRowHeight="12.75" x14ac:dyDescent="0.2"/>
  <cols>
    <col min="1" max="1" width="8.125" customWidth="1"/>
    <col min="2" max="2" width="10.375" customWidth="1"/>
    <col min="3" max="3" width="11.5" customWidth="1"/>
    <col min="6" max="6" width="8.875" customWidth="1"/>
    <col min="7" max="8" width="8.5" customWidth="1"/>
    <col min="9" max="9" width="7.875" customWidth="1"/>
    <col min="11" max="11" width="9.625" customWidth="1"/>
    <col min="14" max="14" width="12.125" customWidth="1"/>
    <col min="16" max="16" width="9" style="21" customWidth="1"/>
    <col min="17" max="17" width="8.625" customWidth="1"/>
    <col min="18" max="18" width="9.875" customWidth="1"/>
    <col min="19" max="19" width="9.625" customWidth="1"/>
    <col min="20" max="20" width="10.125" customWidth="1"/>
    <col min="21" max="21" width="7" bestFit="1" customWidth="1"/>
    <col min="22" max="22" width="9.875" customWidth="1"/>
    <col min="23" max="23" width="9.375" customWidth="1"/>
  </cols>
  <sheetData>
    <row r="1" spans="1:23" x14ac:dyDescent="0.2">
      <c r="N1" s="33" t="s">
        <v>59</v>
      </c>
      <c r="O1" s="33"/>
      <c r="P1" s="33"/>
      <c r="Q1" s="33"/>
      <c r="R1" s="33" t="s">
        <v>62</v>
      </c>
      <c r="S1" s="33"/>
      <c r="T1" s="33"/>
      <c r="U1" s="33"/>
      <c r="V1" s="33"/>
      <c r="W1" s="33"/>
    </row>
    <row r="2" spans="1:23" ht="27.75" x14ac:dyDescent="0.2">
      <c r="A2" s="23" t="s">
        <v>0</v>
      </c>
      <c r="B2" s="23" t="s">
        <v>1</v>
      </c>
      <c r="C2" s="23" t="s">
        <v>2</v>
      </c>
      <c r="D2" s="23" t="s">
        <v>3</v>
      </c>
      <c r="E2" s="24" t="s">
        <v>4</v>
      </c>
      <c r="F2" s="23" t="s">
        <v>5</v>
      </c>
      <c r="G2" s="23" t="s">
        <v>6</v>
      </c>
      <c r="H2" s="23" t="s">
        <v>7</v>
      </c>
      <c r="I2" s="23" t="s">
        <v>8</v>
      </c>
      <c r="J2" s="23" t="s">
        <v>9</v>
      </c>
      <c r="L2" s="23" t="s">
        <v>53</v>
      </c>
      <c r="M2" s="23" t="s">
        <v>10</v>
      </c>
      <c r="N2" s="25" t="s">
        <v>58</v>
      </c>
      <c r="O2" s="25" t="s">
        <v>52</v>
      </c>
      <c r="P2" s="25" t="s">
        <v>60</v>
      </c>
      <c r="Q2" s="25" t="s">
        <v>61</v>
      </c>
      <c r="R2" s="23" t="s">
        <v>11</v>
      </c>
      <c r="S2" s="23" t="s">
        <v>12</v>
      </c>
      <c r="T2" s="23" t="s">
        <v>26</v>
      </c>
      <c r="U2" s="23" t="s">
        <v>27</v>
      </c>
      <c r="V2" s="25" t="s">
        <v>51</v>
      </c>
      <c r="W2" s="25" t="s">
        <v>52</v>
      </c>
    </row>
    <row r="3" spans="1:23" x14ac:dyDescent="0.2">
      <c r="A3" s="1">
        <v>17</v>
      </c>
      <c r="B3" s="1" t="s">
        <v>67</v>
      </c>
      <c r="D3" s="1">
        <v>1.31</v>
      </c>
      <c r="E3" s="1">
        <v>-28.893999999999998</v>
      </c>
      <c r="F3" s="1">
        <v>291.75799999999998</v>
      </c>
      <c r="G3" s="1">
        <v>8982</v>
      </c>
      <c r="H3" s="1">
        <v>4.117</v>
      </c>
      <c r="I3" s="1">
        <v>9.4090000000000007</v>
      </c>
      <c r="J3" s="1">
        <v>392</v>
      </c>
      <c r="K3" s="2"/>
      <c r="L3" s="28">
        <f>E3-((G3^3*$B$25+G3^2*$B$26+G3*$B$27+$B$28)+(A3^3*$C$25+$C$26*A3^2+$C$27*A3+$C$28))</f>
        <v>-28.287042517659998</v>
      </c>
      <c r="M3" s="28">
        <f>H3-((J3^3*$B$31+J3^2*$B$32+J3*$B$33+$B$34)+(A3^3*$C$31+$C$32*A3^2+$C$33*A3+$C$34))</f>
        <v>4.117</v>
      </c>
      <c r="N3" s="3">
        <v>-27.87</v>
      </c>
      <c r="O3" s="3">
        <v>5.15</v>
      </c>
      <c r="P3" s="22">
        <v>5.9</v>
      </c>
      <c r="Q3" s="3">
        <v>0.48</v>
      </c>
      <c r="R3" s="20">
        <f>(P3*D3)/F3</f>
        <v>2.6491133062332486E-2</v>
      </c>
      <c r="S3" s="20">
        <f>(Q3*D3)/I3</f>
        <v>6.6829631204166226E-2</v>
      </c>
      <c r="T3" s="12">
        <f>((F3*standards!$R$31+standards!$R$30)*F3)/D3</f>
        <v>5.6985630855292575</v>
      </c>
      <c r="U3" s="12">
        <f>((I3*standards!$S$31+standards!$S$30)*I3)/D3</f>
        <v>0.51659869628631405</v>
      </c>
      <c r="V3" s="9">
        <f>(E3-((G3^3*standards!$B$25+G3^2*standards!$B$26+G3*standards!$B$27+standards!$B$28)+(A3^3*standards!$C$25+standards!$C$26*A3^2+standards!$C$27*A3+standards!$C$28)))*standards!$R$27+standards!$R$26</f>
        <v>-27.447764768260033</v>
      </c>
      <c r="W3" s="9">
        <f>(H3-((J3^3*standards!$B$31+J3^2*standards!$B$32+J3*standards!$B$33+standards!$B$34)+(A3^3*standards!$C$31+standards!$C$32*A3^2+standards!$C$33*A3+standards!$C$34)))*standards!$S$27+standards!$S$26</f>
        <v>5.5447961760843381</v>
      </c>
    </row>
    <row r="4" spans="1:23" x14ac:dyDescent="0.2">
      <c r="A4" s="1">
        <v>35</v>
      </c>
      <c r="B4" s="1" t="s">
        <v>67</v>
      </c>
      <c r="D4" s="1">
        <v>0.49299999999999999</v>
      </c>
      <c r="E4" s="1">
        <v>-29.172999999999998</v>
      </c>
      <c r="F4" s="1">
        <v>114.617</v>
      </c>
      <c r="G4" s="1">
        <v>3596</v>
      </c>
      <c r="H4" s="1">
        <v>2.5569999999999999</v>
      </c>
      <c r="I4" s="1">
        <v>3.4750000000000001</v>
      </c>
      <c r="J4" s="1">
        <v>144</v>
      </c>
      <c r="K4" s="2"/>
      <c r="L4" s="28">
        <f t="shared" ref="L4:L13" si="0">E4-((G4^3*$B$25+G4^2*$B$26+G4*$B$27+$B$28)+(A4^3*$C$25+$C$26*A4^2+$C$27*A4+$C$28))</f>
        <v>-28.887100523439997</v>
      </c>
      <c r="M4" s="28">
        <f t="shared" ref="M4:M13" si="1">H4-((J4^3*$B$31+J4^2*$B$32+J4*$B$33+$B$34)+(A4^3*$C$31+$C$32*A4^2+$C$33*A4+$C$34))</f>
        <v>2.5569999999999999</v>
      </c>
      <c r="N4" s="3">
        <v>-27.87</v>
      </c>
      <c r="O4" s="3">
        <v>5.15</v>
      </c>
      <c r="P4" s="22">
        <v>5.9</v>
      </c>
      <c r="Q4" s="3">
        <v>0.48</v>
      </c>
      <c r="R4" s="20">
        <f t="shared" ref="R4:R8" si="2">(P4*D4)/F4</f>
        <v>2.5377561792753255E-2</v>
      </c>
      <c r="S4" s="20">
        <f t="shared" ref="S4:S8" si="3">(Q4*D4)/I4</f>
        <v>6.8097841726618702E-2</v>
      </c>
      <c r="T4" s="12">
        <f>((F4*standards!$R$31+standards!$R$30)*F4)/D4</f>
        <v>5.9652997966121077</v>
      </c>
      <c r="U4" s="12">
        <f>((I4*standards!$S$31+standards!$S$30)*I4)/D4</f>
        <v>0.51598262659410354</v>
      </c>
      <c r="V4" s="9">
        <f>(E4-((G4^3*standards!$B$25+G4^2*standards!$B$26+G4*standards!$B$27+standards!$B$28)+(A4^3*standards!$C$25+standards!$C$26*A4^2+standards!$C$27*A4+standards!$C$28)))*standards!$R$27+standards!$R$26</f>
        <v>-28.051504960306801</v>
      </c>
      <c r="W4" s="9">
        <f>(H4-((J4^3*standards!$B$31+J4^2*standards!$B$32+J4*standards!$B$33+standards!$B$34)+(A4^3*standards!$C$31+standards!$C$32*A4^2+standards!$C$33*A4+standards!$C$34)))*standards!$S$27+standards!$S$26</f>
        <v>4.3513443625177723</v>
      </c>
    </row>
    <row r="5" spans="1:23" x14ac:dyDescent="0.2">
      <c r="A5" s="1">
        <v>36</v>
      </c>
      <c r="B5" s="1" t="s">
        <v>67</v>
      </c>
      <c r="D5" s="1">
        <v>0.96199999999999997</v>
      </c>
      <c r="E5" s="1">
        <v>-29.263999999999999</v>
      </c>
      <c r="F5" s="1">
        <v>217.36199999999999</v>
      </c>
      <c r="G5" s="1">
        <v>6883</v>
      </c>
      <c r="H5" s="1">
        <v>4.0650000000000004</v>
      </c>
      <c r="I5" s="1">
        <v>7.0529999999999999</v>
      </c>
      <c r="J5" s="1">
        <v>305</v>
      </c>
      <c r="K5" s="2"/>
      <c r="L5" s="28">
        <f t="shared" si="0"/>
        <v>-28.766881141134999</v>
      </c>
      <c r="M5" s="28">
        <f t="shared" si="1"/>
        <v>4.0650000000000004</v>
      </c>
      <c r="N5" s="3">
        <v>-27.87</v>
      </c>
      <c r="O5" s="3">
        <v>5.15</v>
      </c>
      <c r="P5" s="22">
        <v>5.9</v>
      </c>
      <c r="Q5" s="3">
        <v>0.48</v>
      </c>
      <c r="R5" s="20">
        <f t="shared" si="2"/>
        <v>2.6112199924549828E-2</v>
      </c>
      <c r="S5" s="20">
        <f t="shared" si="3"/>
        <v>6.5470012760527427E-2</v>
      </c>
      <c r="T5" s="12">
        <f>((F5*standards!$R$31+standards!$R$30)*F5)/D5</f>
        <v>5.7880684746452902</v>
      </c>
      <c r="U5" s="12">
        <f>((I5*standards!$S$31+standards!$S$30)*I5)/D5</f>
        <v>0.53104560862759342</v>
      </c>
      <c r="V5" s="9">
        <f>(E5-((G5^3*standards!$B$25+G5^2*standards!$B$26+G5*standards!$B$27+standards!$B$28)+(A5^3*standards!$C$25+standards!$C$26*A5^2+standards!$C$27*A5+standards!$C$28)))*standards!$R$27+standards!$R$26</f>
        <v>-27.930547865723558</v>
      </c>
      <c r="W5" s="9">
        <f>(H5-((J5^3*standards!$B$31+J5^2*standards!$B$32+J5*standards!$B$33+standards!$B$34)+(A5^3*standards!$C$31+standards!$C$32*A5^2+standards!$C$33*A5+standards!$C$34)))*standards!$S$27+standards!$S$26</f>
        <v>5.5050144489654524</v>
      </c>
    </row>
    <row r="6" spans="1:23" x14ac:dyDescent="0.2">
      <c r="A6" s="1">
        <v>37</v>
      </c>
      <c r="B6" s="1" t="s">
        <v>67</v>
      </c>
      <c r="D6" s="1">
        <v>2.4220000000000002</v>
      </c>
      <c r="E6" s="1">
        <v>-29.722999999999999</v>
      </c>
      <c r="F6" s="1">
        <v>553.29600000000005</v>
      </c>
      <c r="G6" s="1">
        <v>17358</v>
      </c>
      <c r="H6" s="1">
        <v>4.2460000000000004</v>
      </c>
      <c r="I6" s="1">
        <v>17.007000000000001</v>
      </c>
      <c r="J6" s="1">
        <v>739</v>
      </c>
      <c r="K6" s="2"/>
      <c r="L6" s="28">
        <f t="shared" si="0"/>
        <v>-28.872075603259997</v>
      </c>
      <c r="M6" s="28">
        <f t="shared" si="1"/>
        <v>4.2460000000000004</v>
      </c>
      <c r="N6" s="3">
        <v>-27.87</v>
      </c>
      <c r="O6" s="3">
        <v>5.15</v>
      </c>
      <c r="P6" s="22">
        <v>5.9</v>
      </c>
      <c r="Q6" s="3">
        <v>0.48</v>
      </c>
      <c r="R6" s="20">
        <f t="shared" si="2"/>
        <v>2.5826682282178076E-2</v>
      </c>
      <c r="S6" s="20">
        <f t="shared" si="3"/>
        <v>6.8357735050273413E-2</v>
      </c>
      <c r="T6" s="12">
        <f>((F6*standards!$R$31+standards!$R$30)*F6)/D6</f>
        <v>5.8209687651100284</v>
      </c>
      <c r="U6" s="12">
        <f>((I6*standards!$S$31+standards!$S$30)*I6)/D6</f>
        <v>0.49356439849982708</v>
      </c>
      <c r="V6" s="9">
        <f>(E6-((G6^3*standards!$B$25+G6^2*standards!$B$26+G6*standards!$B$27+standards!$B$28)+(A6^3*standards!$C$25+standards!$C$26*A6^2+standards!$C$27*A6+standards!$C$28)))*standards!$R$27+standards!$R$26</f>
        <v>-28.036387841448985</v>
      </c>
      <c r="W6" s="9">
        <f>(H6-((J6^3*standards!$B$31+J6^2*standards!$B$32+J6*standards!$B$33+standards!$B$34)+(A6^3*standards!$C$31+standards!$C$32*A6^2+standards!$C$33*A6+standards!$C$34)))*standards!$S$27+standards!$S$26</f>
        <v>5.643485460667728</v>
      </c>
    </row>
    <row r="7" spans="1:23" x14ac:dyDescent="0.2">
      <c r="A7" s="1">
        <v>38</v>
      </c>
      <c r="B7" s="1" t="s">
        <v>67</v>
      </c>
      <c r="D7" s="1">
        <v>4.0910000000000002</v>
      </c>
      <c r="E7" s="1">
        <v>-29.506</v>
      </c>
      <c r="F7" s="1">
        <v>936.12900000000002</v>
      </c>
      <c r="G7" s="1">
        <v>28967</v>
      </c>
      <c r="H7" s="1">
        <v>4.5030000000000001</v>
      </c>
      <c r="I7" s="1">
        <v>28.183</v>
      </c>
      <c r="J7" s="1">
        <v>1219</v>
      </c>
      <c r="K7" s="2"/>
      <c r="L7" s="28">
        <f t="shared" si="0"/>
        <v>-28.830834412135001</v>
      </c>
      <c r="M7" s="28">
        <f t="shared" si="1"/>
        <v>4.5030000000000001</v>
      </c>
      <c r="N7" s="3">
        <v>-27.87</v>
      </c>
      <c r="O7" s="3">
        <v>5.15</v>
      </c>
      <c r="P7" s="22">
        <v>5.9</v>
      </c>
      <c r="Q7" s="3">
        <v>0.48</v>
      </c>
      <c r="R7" s="20">
        <f t="shared" si="2"/>
        <v>2.5783732797509749E-2</v>
      </c>
      <c r="S7" s="20">
        <f t="shared" si="3"/>
        <v>6.9676045843238832E-2</v>
      </c>
      <c r="T7" s="12">
        <f>((F7*standards!$R$31+standards!$R$30)*F7)/D7</f>
        <v>5.7951783783143886</v>
      </c>
      <c r="U7" s="12">
        <f>((I7*standards!$S$31+standards!$S$30)*I7)/D7</f>
        <v>0.46765064739063777</v>
      </c>
      <c r="V7" s="9">
        <f>(E7-((G7^3*standards!$B$25+G7^2*standards!$B$26+G7*standards!$B$27+standards!$B$28)+(A7^3*standards!$C$25+standards!$C$26*A7^2+standards!$C$27*A7+standards!$C$28)))*standards!$R$27+standards!$R$26</f>
        <v>-27.994893578544055</v>
      </c>
      <c r="W7" s="9">
        <f>(H7-((J7^3*standards!$B$31+J7^2*standards!$B$32+J7*standards!$B$33+standards!$B$34)+(A7^3*standards!$C$31+standards!$C$32*A7^2+standards!$C$33*A7+standards!$C$34)))*standards!$S$27+standards!$S$26</f>
        <v>5.8400989966206804</v>
      </c>
    </row>
    <row r="8" spans="1:23" x14ac:dyDescent="0.2">
      <c r="A8" s="1">
        <v>59</v>
      </c>
      <c r="B8" s="1" t="s">
        <v>67</v>
      </c>
      <c r="D8" s="1">
        <v>1.3380000000000001</v>
      </c>
      <c r="E8" s="1">
        <v>-29.317</v>
      </c>
      <c r="F8" s="1">
        <v>299.72800000000001</v>
      </c>
      <c r="G8" s="1">
        <v>9198</v>
      </c>
      <c r="H8" s="1">
        <v>3.472</v>
      </c>
      <c r="I8" s="1">
        <v>9.5950000000000006</v>
      </c>
      <c r="J8" s="1">
        <v>383</v>
      </c>
      <c r="K8" s="2"/>
      <c r="L8" s="28">
        <f t="shared" si="0"/>
        <v>-28.69984703686</v>
      </c>
      <c r="M8" s="28">
        <f t="shared" si="1"/>
        <v>3.472</v>
      </c>
      <c r="N8" s="3">
        <v>-27.87</v>
      </c>
      <c r="O8" s="3">
        <v>5.15</v>
      </c>
      <c r="P8" s="22">
        <v>5.9</v>
      </c>
      <c r="Q8" s="3">
        <v>0.48</v>
      </c>
      <c r="R8" s="20">
        <f t="shared" si="2"/>
        <v>2.6337879677574335E-2</v>
      </c>
      <c r="S8" s="20">
        <f t="shared" si="3"/>
        <v>6.6934861907243348E-2</v>
      </c>
      <c r="T8" s="12">
        <f>((F8*standards!$R$31+standards!$R$30)*F8)/D8</f>
        <v>5.7309983309038568</v>
      </c>
      <c r="U8" s="12">
        <f>((I8*standards!$S$31+standards!$S$30)*I8)/D8</f>
        <v>0.51549937734722828</v>
      </c>
      <c r="V8" s="9">
        <f>(E8-((G8^3*standards!$B$25+G8^2*standards!$B$26+G8*standards!$B$27+standards!$B$28)+(A8^3*standards!$C$25+standards!$C$26*A8^2+standards!$C$27*A8+standards!$C$28)))*standards!$R$27+standards!$R$26</f>
        <v>-27.863102414452452</v>
      </c>
      <c r="W8" s="9">
        <f>(H8-((J8^3*standards!$B$31+J8^2*standards!$B$32+J8*standards!$B$33+standards!$B$34)+(A8^3*standards!$C$31+standards!$C$32*A8^2+standards!$C$33*A8+standards!$C$34)))*standards!$S$27+standards!$S$26</f>
        <v>5.0513497531673925</v>
      </c>
    </row>
    <row r="9" spans="1:23" x14ac:dyDescent="0.2">
      <c r="A9" s="1"/>
      <c r="B9" s="1"/>
      <c r="D9" s="1"/>
      <c r="E9" s="1"/>
      <c r="F9" s="1"/>
      <c r="G9" s="1"/>
      <c r="H9" s="1"/>
      <c r="I9" s="1"/>
      <c r="J9" s="1"/>
      <c r="K9" s="2"/>
      <c r="L9" s="28"/>
      <c r="M9" s="28"/>
      <c r="N9" s="3"/>
      <c r="O9" s="3"/>
      <c r="P9" s="22"/>
      <c r="Q9" s="3"/>
      <c r="R9" s="20"/>
      <c r="S9" s="20"/>
      <c r="T9" s="12"/>
      <c r="U9" s="12"/>
      <c r="V9" s="9"/>
      <c r="W9" s="9"/>
    </row>
    <row r="10" spans="1:23" x14ac:dyDescent="0.2">
      <c r="A10" s="1"/>
      <c r="B10" s="1"/>
      <c r="D10" s="1"/>
      <c r="E10" s="1"/>
      <c r="F10" s="1"/>
      <c r="G10" s="1"/>
      <c r="H10" s="1"/>
      <c r="I10" s="1"/>
      <c r="J10" s="1"/>
      <c r="K10" s="2"/>
      <c r="L10" s="28"/>
      <c r="M10" s="28"/>
      <c r="N10" s="3"/>
      <c r="O10" s="3"/>
      <c r="P10" s="22"/>
      <c r="Q10" s="3"/>
      <c r="R10" s="20"/>
      <c r="S10" s="20"/>
      <c r="T10" s="12"/>
      <c r="U10" s="12"/>
      <c r="V10" s="9"/>
      <c r="W10" s="9"/>
    </row>
    <row r="11" spans="1:23" x14ac:dyDescent="0.2">
      <c r="A11" s="1"/>
      <c r="B11" s="1"/>
      <c r="C11" s="1"/>
      <c r="D11" s="1"/>
      <c r="E11" s="13"/>
      <c r="F11" s="1"/>
      <c r="G11" s="1"/>
      <c r="H11" s="1"/>
      <c r="I11" s="1"/>
      <c r="J11" s="1"/>
      <c r="K11" s="2"/>
      <c r="L11" s="28"/>
      <c r="M11" s="28"/>
      <c r="N11" s="3"/>
      <c r="O11" s="3"/>
      <c r="P11" s="22"/>
      <c r="Q11" s="3"/>
      <c r="R11" s="20"/>
      <c r="S11" s="20"/>
      <c r="T11" s="12"/>
      <c r="U11" s="12"/>
      <c r="V11" s="9"/>
      <c r="W11" s="9"/>
    </row>
    <row r="12" spans="1:23" x14ac:dyDescent="0.2">
      <c r="A12" s="1">
        <v>15</v>
      </c>
      <c r="B12" s="1" t="s">
        <v>65</v>
      </c>
      <c r="D12" s="1">
        <v>0.27700000000000002</v>
      </c>
      <c r="E12" s="1">
        <v>-15.076000000000001</v>
      </c>
      <c r="F12" s="1">
        <v>457.41500000000002</v>
      </c>
      <c r="G12" s="1">
        <v>14145</v>
      </c>
      <c r="H12" s="1">
        <v>-0.59499999999999997</v>
      </c>
      <c r="I12" s="1">
        <v>6.1689999999999996</v>
      </c>
      <c r="J12" s="1">
        <v>255</v>
      </c>
      <c r="K12" s="2"/>
      <c r="L12" s="28">
        <f t="shared" si="0"/>
        <v>-14.281916320375</v>
      </c>
      <c r="M12" s="28">
        <f t="shared" si="1"/>
        <v>-0.59499999999999997</v>
      </c>
      <c r="N12" s="3">
        <v>-13.68</v>
      </c>
      <c r="O12" s="3">
        <v>1.58</v>
      </c>
      <c r="P12" s="22">
        <v>41.26</v>
      </c>
      <c r="Q12" s="3">
        <v>1.47</v>
      </c>
      <c r="R12" s="20">
        <f t="shared" ref="R12:R14" si="4">(P12*D12)/F12</f>
        <v>2.4986106708350189E-2</v>
      </c>
      <c r="S12" s="20">
        <f t="shared" ref="S12:S14" si="5">(Q12*D12)/I12</f>
        <v>6.6005835629761728E-2</v>
      </c>
      <c r="T12" s="12">
        <f>((F12*standards!$R$31+standards!$R$30)*F12)/D12</f>
        <v>42.140918982427628</v>
      </c>
      <c r="U12" s="12">
        <f>((I12*standards!$S$31+standards!$S$30)*I12)/D12</f>
        <v>1.6173633676858654</v>
      </c>
      <c r="V12" s="9">
        <f>(E12-((G12^3*standards!$B$25+G12^2*standards!$B$26+G12*standards!$B$27+standards!$B$28)+(A12^3*standards!$C$25+standards!$C$26*A12^2+standards!$C$27*A12+standards!$C$28)))*standards!$R$27+standards!$R$26</f>
        <v>-13.356697740503177</v>
      </c>
      <c r="W12" s="9">
        <f>(H12-((J12^3*standards!$B$31+J12^2*standards!$B$32+J12*standards!$B$33+standards!$B$34)+(A12^3*standards!$C$31+standards!$C$32*A12^2+standards!$C$33*A12+standards!$C$34)))*standards!$S$27+standards!$S$26</f>
        <v>1.9399596725422494</v>
      </c>
    </row>
    <row r="13" spans="1:23" x14ac:dyDescent="0.2">
      <c r="A13" s="1">
        <v>33</v>
      </c>
      <c r="B13" s="1" t="s">
        <v>65</v>
      </c>
      <c r="D13" s="1">
        <v>0.23200000000000001</v>
      </c>
      <c r="E13" s="1">
        <v>-15.477</v>
      </c>
      <c r="F13" s="1">
        <v>393.91300000000001</v>
      </c>
      <c r="G13" s="1">
        <v>12479</v>
      </c>
      <c r="H13" s="1">
        <v>-1.179</v>
      </c>
      <c r="I13" s="1">
        <v>4.3499999999999996</v>
      </c>
      <c r="J13" s="1">
        <v>184</v>
      </c>
      <c r="K13" s="2"/>
      <c r="L13" s="28">
        <f t="shared" si="0"/>
        <v>-14.730393721815</v>
      </c>
      <c r="M13" s="28">
        <f t="shared" si="1"/>
        <v>-1.179</v>
      </c>
      <c r="N13" s="3">
        <v>-13.68</v>
      </c>
      <c r="O13" s="3">
        <v>1.58</v>
      </c>
      <c r="P13" s="22">
        <v>41.26</v>
      </c>
      <c r="Q13" s="3">
        <v>1.47</v>
      </c>
      <c r="R13" s="20">
        <f t="shared" si="4"/>
        <v>2.4300594293663828E-2</v>
      </c>
      <c r="S13" s="20">
        <f t="shared" si="5"/>
        <v>7.8400000000000011E-2</v>
      </c>
      <c r="T13" s="12">
        <f>((F13*standards!$R$31+standards!$R$30)*F13)/D13</f>
        <v>43.373378276575032</v>
      </c>
      <c r="U13" s="12">
        <f>((I13*standards!$S$31+standards!$S$30)*I13)/D13</f>
        <v>1.3690188749274421</v>
      </c>
      <c r="V13" s="9">
        <f>(E13-((G13^3*standards!$B$25+G13^2*standards!$B$26+G13*standards!$B$27+standards!$B$28)+(A13^3*standards!$C$25+standards!$C$26*A13^2+standards!$C$27*A13+standards!$C$28)))*standards!$R$27+standards!$R$26</f>
        <v>-13.807927171434713</v>
      </c>
      <c r="W13" s="9">
        <f>(H13-((J13^3*standards!$B$31+J13^2*standards!$B$32+J13*standards!$B$33+standards!$B$34)+(A13^3*standards!$C$31+standards!$C$32*A13^2+standards!$C$33*A13+standards!$C$34)))*standards!$S$27+standards!$S$26</f>
        <v>1.4931802756686117</v>
      </c>
    </row>
    <row r="14" spans="1:23" x14ac:dyDescent="0.2">
      <c r="A14" s="1">
        <v>57</v>
      </c>
      <c r="B14" s="1" t="s">
        <v>65</v>
      </c>
      <c r="D14" s="1">
        <v>0.23300000000000001</v>
      </c>
      <c r="E14" s="1">
        <v>-15.601000000000001</v>
      </c>
      <c r="F14" s="1">
        <v>401.93700000000001</v>
      </c>
      <c r="G14" s="1">
        <v>12816</v>
      </c>
      <c r="H14" s="1">
        <v>-1.367</v>
      </c>
      <c r="I14" s="1">
        <v>3.9569999999999999</v>
      </c>
      <c r="J14" s="1">
        <v>170</v>
      </c>
      <c r="K14" s="15"/>
      <c r="L14" s="28">
        <f t="shared" ref="L14:L19" si="6">E14-((G14^3*$B$25+G14^2*$B$26+G14*$B$27+$B$28)+(A14^3*$C$25+$C$26*A14^2+$C$27*A14+$C$28))</f>
        <v>-14.843797911040001</v>
      </c>
      <c r="M14" s="28">
        <f t="shared" ref="M14:M19" si="7">H14-((J14^3*$B$31+J14^2*$B$32+J14*$B$33+$B$34)+(A14^3*$C$31+$C$32*A14^2+$C$33*A14+$C$34))</f>
        <v>-1.367</v>
      </c>
      <c r="N14" s="3">
        <v>-13.68</v>
      </c>
      <c r="O14" s="3">
        <v>1.58</v>
      </c>
      <c r="P14" s="22">
        <v>41.26</v>
      </c>
      <c r="Q14" s="3">
        <v>1.47</v>
      </c>
      <c r="R14" s="20">
        <f t="shared" si="4"/>
        <v>2.3918126472556644E-2</v>
      </c>
      <c r="S14" s="20">
        <f t="shared" si="5"/>
        <v>8.6557998483699786E-2</v>
      </c>
      <c r="T14" s="12">
        <f>((F14*standards!$R$31+standards!$R$30)*F14)/D14</f>
        <v>44.061342221106145</v>
      </c>
      <c r="U14" s="12">
        <f>((I14*standards!$S$31+standards!$S$30)*I14)/D14</f>
        <v>1.2414271868985143</v>
      </c>
      <c r="V14" s="9">
        <f>(E14-((G14^3*standards!$B$25+G14^2*standards!$B$26+G14*standards!$B$27+standards!$B$28)+(A14^3*standards!$C$25+standards!$C$26*A14^2+standards!$C$27*A14+standards!$C$28)))*standards!$R$27+standards!$R$26</f>
        <v>-13.922027252297083</v>
      </c>
      <c r="W14" s="9">
        <f>(H14-((J14^3*standards!$B$31+J14^2*standards!$B$32+J14*standards!$B$33+standards!$B$34)+(A14^3*standards!$C$31+standards!$C$32*A14^2+standards!$C$33*A14+standards!$C$34)))*standards!$S$27+standards!$S$26</f>
        <v>1.349354031469564</v>
      </c>
    </row>
    <row r="15" spans="1:23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5"/>
      <c r="L15" s="28"/>
      <c r="M15" s="28"/>
      <c r="N15" s="3"/>
      <c r="O15" s="3"/>
      <c r="P15" s="22"/>
      <c r="Q15" s="3"/>
      <c r="R15" s="20"/>
      <c r="S15" s="20"/>
      <c r="T15" s="12"/>
      <c r="U15" s="12"/>
      <c r="V15" s="9"/>
      <c r="W15" s="9"/>
    </row>
    <row r="16" spans="1:23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2"/>
      <c r="L16" s="28"/>
      <c r="M16" s="28"/>
      <c r="N16" s="3"/>
      <c r="O16" s="3"/>
      <c r="P16" s="22"/>
      <c r="Q16" s="3"/>
      <c r="R16" s="20"/>
      <c r="S16" s="20"/>
      <c r="T16" s="12"/>
      <c r="U16" s="12"/>
      <c r="V16" s="9"/>
      <c r="W16" s="9"/>
    </row>
    <row r="17" spans="1:23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2"/>
      <c r="L17" s="28"/>
      <c r="M17" s="28"/>
      <c r="N17" s="3"/>
      <c r="O17" s="3"/>
      <c r="P17" s="22"/>
      <c r="Q17" s="3"/>
      <c r="R17" s="20"/>
      <c r="S17" s="20"/>
      <c r="T17" s="12"/>
      <c r="U17" s="12"/>
      <c r="V17" s="9"/>
      <c r="W17" s="9"/>
    </row>
    <row r="18" spans="1:23" x14ac:dyDescent="0.2">
      <c r="A18" s="1">
        <v>16</v>
      </c>
      <c r="B18" s="1" t="s">
        <v>66</v>
      </c>
      <c r="D18" s="1">
        <v>6.91</v>
      </c>
      <c r="E18" s="1">
        <v>-27.814</v>
      </c>
      <c r="F18" s="1">
        <v>277.363</v>
      </c>
      <c r="G18" s="1">
        <v>8472</v>
      </c>
      <c r="H18" s="1">
        <v>5.48</v>
      </c>
      <c r="I18" s="1">
        <v>10.91</v>
      </c>
      <c r="J18" s="1">
        <v>445</v>
      </c>
      <c r="K18" s="2"/>
      <c r="L18" s="28">
        <f t="shared" si="6"/>
        <v>-27.23193530656</v>
      </c>
      <c r="M18" s="28">
        <f t="shared" si="7"/>
        <v>5.48</v>
      </c>
      <c r="N18" s="3">
        <v>-26.54</v>
      </c>
      <c r="O18" s="3">
        <v>7.46</v>
      </c>
      <c r="P18" s="22">
        <v>1.04</v>
      </c>
      <c r="Q18" s="3">
        <v>0.12</v>
      </c>
      <c r="R18" s="20">
        <f>(P18*D18)/F18</f>
        <v>2.5909728406456525E-2</v>
      </c>
      <c r="S18" s="20">
        <f>(Q18*D18)/I18</f>
        <v>7.6003666361136563E-2</v>
      </c>
      <c r="T18" s="12">
        <f>((F18*standards!$R$31+standards!$R$30)*F18)/D18</f>
        <v>1.0272669759528559</v>
      </c>
      <c r="U18" s="12">
        <f>((I18*standards!$S$31+standards!$S$30)*I18)/D18</f>
        <v>0.11305043847392567</v>
      </c>
      <c r="V18" s="9">
        <f>(E18-((G18^3*standards!$B$25+G18^2*standards!$B$26+G18*standards!$B$27+standards!$B$28)+(A18^3*standards!$C$25+standards!$C$26*A18^2+standards!$C$27*A18+standards!$C$28)))*standards!$R$27+standards!$R$26</f>
        <v>-26.386183014290413</v>
      </c>
      <c r="W18" s="9">
        <f>(H18-((J18^3*standards!$B$31+J18^2*standards!$B$32+J18*standards!$B$33+standards!$B$34)+(A18^3*standards!$C$31+standards!$C$32*A18^2+standards!$C$33*A18+standards!$C$34)))*standards!$S$27+standards!$S$26</f>
        <v>6.5875364465274338</v>
      </c>
    </row>
    <row r="19" spans="1:23" x14ac:dyDescent="0.2">
      <c r="A19" s="1">
        <v>34</v>
      </c>
      <c r="B19" s="1" t="s">
        <v>66</v>
      </c>
      <c r="D19" s="1">
        <v>6.9530000000000003</v>
      </c>
      <c r="E19" s="1">
        <v>-27.983000000000001</v>
      </c>
      <c r="F19" s="1">
        <v>278.12400000000002</v>
      </c>
      <c r="G19" s="1">
        <v>8739</v>
      </c>
      <c r="H19" s="1">
        <v>6.351</v>
      </c>
      <c r="I19" s="1">
        <v>10.801</v>
      </c>
      <c r="J19" s="1">
        <v>460</v>
      </c>
      <c r="K19" s="15"/>
      <c r="L19" s="28">
        <f t="shared" si="6"/>
        <v>-27.387759488015</v>
      </c>
      <c r="M19" s="28">
        <f t="shared" si="7"/>
        <v>6.351</v>
      </c>
      <c r="N19" s="3">
        <v>-26.54</v>
      </c>
      <c r="O19" s="3">
        <v>7.46</v>
      </c>
      <c r="P19" s="22">
        <v>1.04</v>
      </c>
      <c r="Q19" s="3">
        <v>0.12</v>
      </c>
      <c r="R19" s="20">
        <f t="shared" ref="R19" si="8">(P19*D19)/F19</f>
        <v>2.5999626066071251E-2</v>
      </c>
      <c r="S19" s="20">
        <f t="shared" ref="S19" si="9">(Q19*D19)/I19</f>
        <v>7.7248402925655033E-2</v>
      </c>
      <c r="T19" s="12">
        <f>((F19*standards!$R$31+standards!$R$30)*F19)/D19</f>
        <v>1.0237027131365299</v>
      </c>
      <c r="U19" s="12">
        <f>((I19*standards!$S$31+standards!$S$30)*I19)/D19</f>
        <v>0.11126526142495141</v>
      </c>
      <c r="V19" s="9">
        <f>(E19-((G19^3*standards!$B$25+G19^2*standards!$B$26+G19*standards!$B$27+standards!$B$28)+(A19^3*standards!$C$25+standards!$C$26*A19^2+standards!$C$27*A19+standards!$C$28)))*standards!$R$27+standards!$R$26</f>
        <v>-26.542963392738798</v>
      </c>
      <c r="W19" s="9">
        <f>(H19-((J19^3*standards!$B$31+J19^2*standards!$B$32+J19*standards!$B$33+standards!$B$34)+(A19^3*standards!$C$31+standards!$C$32*A19^2+standards!$C$33*A19+standards!$C$34)))*standards!$S$27+standards!$S$26</f>
        <v>7.253880375768766</v>
      </c>
    </row>
    <row r="20" spans="1:23" x14ac:dyDescent="0.2">
      <c r="A20" s="1"/>
      <c r="B20" s="1"/>
      <c r="D20" s="1"/>
      <c r="E20" s="1"/>
      <c r="F20" s="1"/>
      <c r="G20" s="1"/>
      <c r="H20" s="1"/>
      <c r="I20" s="1"/>
      <c r="J20" s="1"/>
      <c r="K20" s="15"/>
      <c r="L20" s="28"/>
      <c r="M20" s="28"/>
      <c r="N20" s="3"/>
      <c r="O20" s="3"/>
      <c r="P20" s="22"/>
      <c r="Q20" s="3"/>
      <c r="R20" s="20"/>
      <c r="S20" s="20"/>
      <c r="T20" s="12"/>
      <c r="U20" s="12"/>
      <c r="V20" s="9"/>
      <c r="W20" s="9"/>
    </row>
    <row r="21" spans="1:23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2"/>
      <c r="L21" s="15"/>
      <c r="M21" s="15"/>
      <c r="N21" s="3"/>
      <c r="O21" s="3"/>
      <c r="P21" s="22"/>
      <c r="Q21" s="3"/>
      <c r="R21" s="4"/>
      <c r="S21" s="4"/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L22" s="15"/>
      <c r="M22" s="15"/>
      <c r="N22" s="3"/>
      <c r="O22" s="3"/>
      <c r="P22" s="22"/>
      <c r="Q22" s="3"/>
      <c r="R22" s="4"/>
      <c r="S22" s="4"/>
    </row>
    <row r="23" spans="1:23" ht="27.75" x14ac:dyDescent="0.2">
      <c r="B23" s="10" t="s">
        <v>34</v>
      </c>
      <c r="C23" s="10" t="s">
        <v>35</v>
      </c>
      <c r="F23" t="s">
        <v>14</v>
      </c>
      <c r="H23" t="s">
        <v>15</v>
      </c>
      <c r="J23" s="25" t="s">
        <v>51</v>
      </c>
      <c r="L23" t="s">
        <v>26</v>
      </c>
    </row>
    <row r="24" spans="1:23" x14ac:dyDescent="0.2">
      <c r="A24" s="6" t="s">
        <v>37</v>
      </c>
      <c r="E24" t="s">
        <v>18</v>
      </c>
      <c r="F24" t="s">
        <v>19</v>
      </c>
      <c r="G24" t="s">
        <v>54</v>
      </c>
      <c r="H24" t="s">
        <v>19</v>
      </c>
      <c r="I24" t="s">
        <v>54</v>
      </c>
      <c r="J24" t="s">
        <v>19</v>
      </c>
      <c r="K24" t="s">
        <v>54</v>
      </c>
      <c r="L24" t="s">
        <v>19</v>
      </c>
      <c r="M24" t="s">
        <v>54</v>
      </c>
      <c r="N24" t="s">
        <v>49</v>
      </c>
      <c r="O24" t="s">
        <v>50</v>
      </c>
      <c r="R24" t="s">
        <v>56</v>
      </c>
    </row>
    <row r="25" spans="1:23" x14ac:dyDescent="0.2">
      <c r="A25" s="17" t="s">
        <v>48</v>
      </c>
      <c r="B25" s="18"/>
      <c r="C25" s="19"/>
      <c r="E25" t="str">
        <f>B3</f>
        <v>HOC</v>
      </c>
      <c r="F25" s="31">
        <f>AVERAGE(E3:E11)</f>
        <v>-29.312833333333334</v>
      </c>
      <c r="G25" s="31">
        <f>STDEV(E3:E11)</f>
        <v>0.28387561830257085</v>
      </c>
      <c r="H25" s="31">
        <f>AVERAGE(L3:L11)</f>
        <v>-28.723963539081666</v>
      </c>
      <c r="I25" s="31">
        <f>STDEV(L3:L11)</f>
        <v>0.22507587517699365</v>
      </c>
      <c r="J25" s="31">
        <f>AVERAGE(V3:V11)</f>
        <v>-27.887366904789314</v>
      </c>
      <c r="K25" s="31">
        <f>STDEV(V3:V11)</f>
        <v>0.2264570271465943</v>
      </c>
      <c r="L25" s="31">
        <f>AVERAGE(T3:T10)</f>
        <v>5.7998461385191549</v>
      </c>
      <c r="M25" s="31">
        <f>STDEV(T3:T10)</f>
        <v>9.2714461782916716E-2</v>
      </c>
      <c r="N25" s="6">
        <f>P3</f>
        <v>5.9</v>
      </c>
      <c r="O25" s="32">
        <f>L25*0.05</f>
        <v>0.28999230692595773</v>
      </c>
      <c r="R25" t="s">
        <v>55</v>
      </c>
      <c r="S25" t="s">
        <v>20</v>
      </c>
    </row>
    <row r="26" spans="1:23" x14ac:dyDescent="0.2">
      <c r="A26" s="17" t="s">
        <v>45</v>
      </c>
      <c r="B26" s="18">
        <v>2.2149999999999999E-9</v>
      </c>
      <c r="C26" s="19"/>
      <c r="E26" t="str">
        <f>B12</f>
        <v>Sorghum</v>
      </c>
      <c r="F26" s="31">
        <f>AVERAGE(E12:E17)</f>
        <v>-15.384666666666668</v>
      </c>
      <c r="G26" s="31">
        <f>STDEV(E12:E17)</f>
        <v>0.27440906204667037</v>
      </c>
      <c r="H26" s="31">
        <f>AVERAGE(L12:L17)</f>
        <v>-14.618702651076667</v>
      </c>
      <c r="I26" s="31">
        <f>STDEV(L12:L17)</f>
        <v>0.29712607079161596</v>
      </c>
      <c r="J26" s="31">
        <f>AVERAGE(V12:V17)</f>
        <v>-13.695550721411658</v>
      </c>
      <c r="K26" s="31">
        <f>STDEV(V12:V17)</f>
        <v>0.29894935041930093</v>
      </c>
      <c r="L26" s="31">
        <f>AVERAGE(T12:T17)</f>
        <v>43.191879826702937</v>
      </c>
      <c r="M26" s="31">
        <f>STDEV(T12:T17)</f>
        <v>0.97299158238578887</v>
      </c>
      <c r="N26" s="6">
        <f>P12</f>
        <v>41.26</v>
      </c>
      <c r="O26" s="32">
        <f t="shared" ref="O26:O33" si="10">L26*0.05</f>
        <v>2.159593991335147</v>
      </c>
      <c r="Q26" t="s">
        <v>21</v>
      </c>
      <c r="R26" s="5">
        <f>INTERCEPT(N3:N22,L3:L22)</f>
        <v>1.012857900789939</v>
      </c>
      <c r="S26" s="5">
        <f>INTERCEPT(O3:O22,M3:M22)</f>
        <v>2.3951544347679588</v>
      </c>
    </row>
    <row r="27" spans="1:23" x14ac:dyDescent="0.2">
      <c r="A27" s="17" t="s">
        <v>46</v>
      </c>
      <c r="B27" s="18">
        <v>-8.7470000000000001E-5</v>
      </c>
      <c r="C27" s="19"/>
      <c r="E27" t="str">
        <f>B18</f>
        <v>LOC</v>
      </c>
      <c r="F27" s="31">
        <f>AVERAGE(E18:E22)</f>
        <v>-27.898499999999999</v>
      </c>
      <c r="G27" s="31">
        <f>STDEV(E18:E22)</f>
        <v>0.11950104602052687</v>
      </c>
      <c r="H27" s="31">
        <f>AVERAGE(L18:L22)</f>
        <v>-27.309847397287498</v>
      </c>
      <c r="I27" s="31">
        <f>STDEV(L18:L22)</f>
        <v>0.11018433537967316</v>
      </c>
      <c r="J27" s="31">
        <f>AVERAGE(V18:V22)</f>
        <v>-26.464573203514604</v>
      </c>
      <c r="K27" s="31">
        <f>STDEV(V18:V22)</f>
        <v>0.11086046875784628</v>
      </c>
      <c r="L27" s="31">
        <f>AVERAGE(T18:T22)</f>
        <v>1.0254848445446929</v>
      </c>
      <c r="M27" s="31">
        <f>STDEV(T18:T22)</f>
        <v>2.5203144073551315E-3</v>
      </c>
      <c r="N27" s="6">
        <f>P18</f>
        <v>1.04</v>
      </c>
      <c r="O27" s="32">
        <f t="shared" si="10"/>
        <v>5.1274242227234645E-2</v>
      </c>
      <c r="Q27" t="s">
        <v>22</v>
      </c>
      <c r="R27" s="5">
        <f>SLOPE(N3:N22,L3:L22)</f>
        <v>1.006136383868395</v>
      </c>
      <c r="S27" s="5">
        <f>SLOPE(O3:O22,M3:M22)</f>
        <v>0.76503321382472178</v>
      </c>
    </row>
    <row r="28" spans="1:23" x14ac:dyDescent="0.2">
      <c r="A28" s="17" t="s">
        <v>47</v>
      </c>
      <c r="B28" s="18"/>
      <c r="C28" s="19"/>
      <c r="M28" s="12"/>
      <c r="N28" s="6"/>
      <c r="O28" s="32"/>
      <c r="R28" t="s">
        <v>57</v>
      </c>
    </row>
    <row r="29" spans="1:23" ht="27.75" x14ac:dyDescent="0.2">
      <c r="B29" s="19"/>
      <c r="C29" s="19"/>
      <c r="F29" t="s">
        <v>14</v>
      </c>
      <c r="H29" t="s">
        <v>15</v>
      </c>
      <c r="J29" s="25" t="s">
        <v>52</v>
      </c>
      <c r="L29" t="s">
        <v>27</v>
      </c>
      <c r="M29" s="12"/>
      <c r="N29" s="6"/>
      <c r="O29" s="32"/>
      <c r="R29" t="s">
        <v>55</v>
      </c>
      <c r="S29" t="s">
        <v>20</v>
      </c>
    </row>
    <row r="30" spans="1:23" x14ac:dyDescent="0.2">
      <c r="A30" s="6" t="s">
        <v>36</v>
      </c>
      <c r="B30" s="19"/>
      <c r="C30" s="19"/>
      <c r="E30" t="s">
        <v>23</v>
      </c>
      <c r="F30" t="s">
        <v>19</v>
      </c>
      <c r="G30" t="s">
        <v>54</v>
      </c>
      <c r="H30" t="s">
        <v>19</v>
      </c>
      <c r="I30" t="s">
        <v>54</v>
      </c>
      <c r="J30" t="s">
        <v>19</v>
      </c>
      <c r="K30" t="s">
        <v>54</v>
      </c>
      <c r="L30" t="s">
        <v>19</v>
      </c>
      <c r="M30" t="s">
        <v>54</v>
      </c>
      <c r="N30" s="6"/>
      <c r="O30" s="32"/>
      <c r="Q30" t="s">
        <v>21</v>
      </c>
      <c r="R30" s="5">
        <f>INTERCEPT(R3:R22,F3:F22)</f>
        <v>2.5704864674478238E-2</v>
      </c>
      <c r="S30" s="5">
        <f>INTERCEPT(S3:S22,I3:I22)</f>
        <v>7.3950833281517525E-2</v>
      </c>
    </row>
    <row r="31" spans="1:23" x14ac:dyDescent="0.2">
      <c r="A31" s="17" t="s">
        <v>44</v>
      </c>
      <c r="B31" s="18"/>
      <c r="C31" s="19"/>
      <c r="E31" t="str">
        <f>B3</f>
        <v>HOC</v>
      </c>
      <c r="F31" s="31">
        <f>AVERAGE(H3:H11)</f>
        <v>3.8266666666666667</v>
      </c>
      <c r="G31" s="31">
        <f>STDEV(H3:H11)</f>
        <v>0.70883077435073705</v>
      </c>
      <c r="H31" s="31">
        <f>AVERAGE(M3:M11)</f>
        <v>3.8266666666666667</v>
      </c>
      <c r="I31" s="31">
        <f>STDEV(M3:M11)</f>
        <v>0.70883077435073705</v>
      </c>
      <c r="J31" s="31">
        <f>AVERAGE(W3:W11)</f>
        <v>5.3226815330038946</v>
      </c>
      <c r="K31" s="31">
        <f>STDEV(V9:V17)</f>
        <v>0.29894935041930093</v>
      </c>
      <c r="L31" s="31">
        <f>AVERAGE(U3:U11)</f>
        <v>0.50672355912428402</v>
      </c>
      <c r="M31" s="31">
        <f>STDEV(U3:U11)</f>
        <v>2.2590624965187388E-2</v>
      </c>
      <c r="N31" s="6">
        <f>Q3</f>
        <v>0.48</v>
      </c>
      <c r="O31" s="32">
        <f t="shared" si="10"/>
        <v>2.5336177956214203E-2</v>
      </c>
      <c r="Q31" t="s">
        <v>22</v>
      </c>
      <c r="R31" s="5">
        <f>SLOPE(R3:R22,F3:F22)</f>
        <v>-4.0508881029335917E-7</v>
      </c>
      <c r="S31" s="5">
        <f>SLOPE(S3:S22,I3:I22)</f>
        <v>-2.1528581273270637E-4</v>
      </c>
    </row>
    <row r="32" spans="1:23" x14ac:dyDescent="0.2">
      <c r="A32" s="17" t="s">
        <v>45</v>
      </c>
      <c r="B32" s="18"/>
      <c r="C32" s="19"/>
      <c r="E32" t="str">
        <f>B12</f>
        <v>Sorghum</v>
      </c>
      <c r="F32" s="31">
        <f>AVERAGE(H12:H17)</f>
        <v>-1.0469999999999999</v>
      </c>
      <c r="G32" s="31">
        <f>STDEV(H12:H17)</f>
        <v>0.40257173273840274</v>
      </c>
      <c r="H32" s="31">
        <f>AVERAGE(M12:M17)</f>
        <v>-1.0469999999999999</v>
      </c>
      <c r="I32" s="31">
        <f>STDEV(M12:M17)</f>
        <v>0.40257173273840274</v>
      </c>
      <c r="J32" s="31">
        <f>AVERAGE(W12:W17)</f>
        <v>1.5941646598934751</v>
      </c>
      <c r="K32" s="31">
        <f>STDEV(V18:V23)</f>
        <v>0.11086046875784628</v>
      </c>
      <c r="L32" s="31">
        <f>AVERAGE(U12:U16)</f>
        <v>1.409269809837274</v>
      </c>
      <c r="M32" s="31">
        <f>STDEV(U12:U17)</f>
        <v>0.19117297488683013</v>
      </c>
      <c r="N32" s="6">
        <f>Q12</f>
        <v>1.47</v>
      </c>
      <c r="O32" s="32">
        <f t="shared" si="10"/>
        <v>7.0463490491863706E-2</v>
      </c>
    </row>
    <row r="33" spans="1:15" x14ac:dyDescent="0.2">
      <c r="A33" s="17" t="s">
        <v>46</v>
      </c>
      <c r="B33" s="18"/>
      <c r="C33" s="19"/>
      <c r="E33" t="str">
        <f>B18</f>
        <v>LOC</v>
      </c>
      <c r="F33" s="31">
        <f>AVERAGE(H18:H22)</f>
        <v>5.9154999999999998</v>
      </c>
      <c r="G33" s="31">
        <f>STDEV(H18:H22)</f>
        <v>0.61589000641348257</v>
      </c>
      <c r="H33" s="31">
        <f>AVERAGE(M18:M22)</f>
        <v>5.9154999999999998</v>
      </c>
      <c r="I33" s="31">
        <f>STDEV(M18:M22)</f>
        <v>0.61589000641348257</v>
      </c>
      <c r="J33" s="31">
        <f>AVERAGE(W18:W22)</f>
        <v>6.9207084111480999</v>
      </c>
      <c r="K33" s="31">
        <f>STDEV(W18:W22)</f>
        <v>0.47117631096903501</v>
      </c>
      <c r="L33" s="31">
        <f>AVERAGE(U18:U22)</f>
        <v>0.11215784994943853</v>
      </c>
      <c r="M33" s="31">
        <f>STDEV(U18:U22)</f>
        <v>1.2623107969482845E-3</v>
      </c>
      <c r="N33" s="6">
        <f>Q18</f>
        <v>0.12</v>
      </c>
      <c r="O33" s="32">
        <f t="shared" si="10"/>
        <v>5.6078924974719271E-3</v>
      </c>
    </row>
    <row r="34" spans="1:15" x14ac:dyDescent="0.2">
      <c r="A34" s="17" t="s">
        <v>47</v>
      </c>
      <c r="B34" s="19"/>
      <c r="C34" s="19"/>
    </row>
    <row r="38" spans="1:15" x14ac:dyDescent="0.2">
      <c r="A38" s="16" t="s">
        <v>13</v>
      </c>
      <c r="B38" s="16"/>
      <c r="C38" s="16"/>
      <c r="D38" s="16"/>
      <c r="E38" s="14"/>
      <c r="F38" s="16"/>
    </row>
    <row r="39" spans="1:15" x14ac:dyDescent="0.2">
      <c r="A39" s="16" t="s">
        <v>0</v>
      </c>
      <c r="B39" s="16" t="s">
        <v>42</v>
      </c>
      <c r="C39" s="16" t="s">
        <v>16</v>
      </c>
      <c r="D39" s="16" t="s">
        <v>17</v>
      </c>
      <c r="E39" s="14" t="s">
        <v>43</v>
      </c>
      <c r="F39" s="16"/>
    </row>
    <row r="40" spans="1:15" x14ac:dyDescent="0.2">
      <c r="A40" s="2">
        <f t="shared" ref="A40:A45" si="11">A3</f>
        <v>17</v>
      </c>
      <c r="B40" s="8">
        <f t="shared" ref="B40:B45" si="12">G3</f>
        <v>8982</v>
      </c>
      <c r="C40" s="2">
        <f t="shared" ref="C40:C45" si="13">E3</f>
        <v>-28.893999999999998</v>
      </c>
      <c r="D40" s="2">
        <f t="shared" ref="D40:D45" si="14">C40-$C$51</f>
        <v>0.41883333333333539</v>
      </c>
      <c r="E40" s="15">
        <f t="shared" ref="E40:E45" si="15">C40-(B40^3*$B$25+B40^2*$B$26+B40*$B$27+$B$28)</f>
        <v>-28.287042517659998</v>
      </c>
      <c r="F40" s="2">
        <f t="shared" ref="F40:F45" si="16">E40-$E$51</f>
        <v>0.43692102142166789</v>
      </c>
    </row>
    <row r="41" spans="1:15" x14ac:dyDescent="0.2">
      <c r="A41" s="2">
        <f t="shared" si="11"/>
        <v>35</v>
      </c>
      <c r="B41" s="8">
        <f t="shared" si="12"/>
        <v>3596</v>
      </c>
      <c r="C41" s="2">
        <f t="shared" si="13"/>
        <v>-29.172999999999998</v>
      </c>
      <c r="D41" s="2">
        <f t="shared" si="14"/>
        <v>0.13983333333333547</v>
      </c>
      <c r="E41" s="15">
        <f t="shared" si="15"/>
        <v>-28.887100523439997</v>
      </c>
      <c r="F41" s="2">
        <f t="shared" si="16"/>
        <v>-0.16313698435833146</v>
      </c>
    </row>
    <row r="42" spans="1:15" x14ac:dyDescent="0.2">
      <c r="A42" s="2">
        <f t="shared" si="11"/>
        <v>36</v>
      </c>
      <c r="B42" s="8">
        <f t="shared" si="12"/>
        <v>6883</v>
      </c>
      <c r="C42" s="2">
        <f t="shared" si="13"/>
        <v>-29.263999999999999</v>
      </c>
      <c r="D42" s="2">
        <f t="shared" si="14"/>
        <v>4.8833333333334394E-2</v>
      </c>
      <c r="E42" s="15">
        <f t="shared" si="15"/>
        <v>-28.766881141134999</v>
      </c>
      <c r="F42" s="2">
        <f t="shared" si="16"/>
        <v>-4.2917602053332615E-2</v>
      </c>
    </row>
    <row r="43" spans="1:15" x14ac:dyDescent="0.2">
      <c r="A43" s="2">
        <f t="shared" si="11"/>
        <v>37</v>
      </c>
      <c r="B43" s="8">
        <f t="shared" si="12"/>
        <v>17358</v>
      </c>
      <c r="C43" s="2">
        <f t="shared" si="13"/>
        <v>-29.722999999999999</v>
      </c>
      <c r="D43" s="2">
        <f t="shared" si="14"/>
        <v>-0.41016666666666524</v>
      </c>
      <c r="E43" s="15">
        <f t="shared" si="15"/>
        <v>-28.872075603259997</v>
      </c>
      <c r="F43" s="2">
        <f t="shared" si="16"/>
        <v>-0.14811206417833134</v>
      </c>
    </row>
    <row r="44" spans="1:15" x14ac:dyDescent="0.2">
      <c r="A44" s="2">
        <f t="shared" si="11"/>
        <v>38</v>
      </c>
      <c r="B44" s="8">
        <f t="shared" si="12"/>
        <v>28967</v>
      </c>
      <c r="C44" s="2">
        <f t="shared" si="13"/>
        <v>-29.506</v>
      </c>
      <c r="D44" s="2">
        <f t="shared" si="14"/>
        <v>-0.19316666666666649</v>
      </c>
      <c r="E44" s="15">
        <f t="shared" si="15"/>
        <v>-28.830834412135001</v>
      </c>
      <c r="F44" s="2">
        <f t="shared" si="16"/>
        <v>-0.1068708730533352</v>
      </c>
    </row>
    <row r="45" spans="1:15" x14ac:dyDescent="0.2">
      <c r="A45" s="2">
        <f t="shared" si="11"/>
        <v>59</v>
      </c>
      <c r="B45" s="8">
        <f t="shared" si="12"/>
        <v>9198</v>
      </c>
      <c r="C45" s="2">
        <f t="shared" si="13"/>
        <v>-29.317</v>
      </c>
      <c r="D45" s="2">
        <f t="shared" si="14"/>
        <v>-4.1666666666664298E-3</v>
      </c>
      <c r="E45" s="15">
        <f t="shared" si="15"/>
        <v>-28.69984703686</v>
      </c>
      <c r="F45" s="2">
        <f t="shared" si="16"/>
        <v>2.4116502221666281E-2</v>
      </c>
    </row>
    <row r="46" spans="1:15" x14ac:dyDescent="0.2">
      <c r="A46" s="15"/>
      <c r="B46" s="8"/>
      <c r="C46" s="15"/>
      <c r="D46" s="15"/>
      <c r="E46" s="15"/>
      <c r="F46" s="15"/>
    </row>
    <row r="47" spans="1:15" x14ac:dyDescent="0.2">
      <c r="A47" s="15"/>
      <c r="B47" s="8"/>
      <c r="C47" s="15"/>
      <c r="D47" s="15"/>
      <c r="E47" s="15"/>
      <c r="F47" s="15"/>
    </row>
    <row r="48" spans="1:15" x14ac:dyDescent="0.2">
      <c r="A48" s="2"/>
      <c r="B48" s="2"/>
      <c r="C48" s="5"/>
      <c r="D48" s="2"/>
    </row>
    <row r="49" spans="1:6" x14ac:dyDescent="0.2">
      <c r="A49" s="2"/>
      <c r="B49" s="2"/>
      <c r="C49" s="5"/>
      <c r="D49" s="2"/>
    </row>
    <row r="50" spans="1:6" x14ac:dyDescent="0.2">
      <c r="A50" s="2"/>
      <c r="B50" s="2"/>
      <c r="C50" s="5"/>
      <c r="D50" s="2"/>
    </row>
    <row r="51" spans="1:6" x14ac:dyDescent="0.2">
      <c r="A51" s="2"/>
      <c r="B51" s="2"/>
      <c r="C51" s="5">
        <f>AVERAGE(C40:C50)</f>
        <v>-29.312833333333334</v>
      </c>
      <c r="D51" s="5"/>
      <c r="E51" s="14">
        <f>AVERAGE(E40:E50)</f>
        <v>-28.723963539081666</v>
      </c>
    </row>
    <row r="52" spans="1:6" x14ac:dyDescent="0.2">
      <c r="A52" s="2"/>
      <c r="B52" s="2"/>
      <c r="C52" s="5"/>
      <c r="D52" s="2"/>
    </row>
    <row r="53" spans="1:6" x14ac:dyDescent="0.2">
      <c r="A53" s="16" t="s">
        <v>24</v>
      </c>
      <c r="B53" s="16"/>
      <c r="C53" s="16" t="s">
        <v>40</v>
      </c>
      <c r="D53" s="16"/>
      <c r="E53" s="14" t="s">
        <v>41</v>
      </c>
    </row>
    <row r="54" spans="1:6" x14ac:dyDescent="0.2">
      <c r="A54" s="16" t="s">
        <v>0</v>
      </c>
      <c r="B54" s="16" t="s">
        <v>42</v>
      </c>
      <c r="C54" s="16" t="s">
        <v>25</v>
      </c>
      <c r="D54" s="16" t="s">
        <v>17</v>
      </c>
      <c r="E54" s="14"/>
    </row>
    <row r="55" spans="1:6" x14ac:dyDescent="0.2">
      <c r="A55" s="2">
        <f t="shared" ref="A55:A62" si="17">A3</f>
        <v>17</v>
      </c>
      <c r="B55" s="2">
        <f t="shared" ref="B55:B60" si="18">J3</f>
        <v>392</v>
      </c>
      <c r="C55" s="2">
        <f t="shared" ref="C55:C60" si="19">H3</f>
        <v>4.117</v>
      </c>
      <c r="D55" s="2">
        <f t="shared" ref="D55:D60" si="20">C55-$C$67</f>
        <v>1.2469999999999999</v>
      </c>
      <c r="E55" s="12">
        <f t="shared" ref="E55:E60" si="21">C55-(B55^3*$B$31+B55^2*$B$32+B55*$B$33+$B$34)</f>
        <v>4.117</v>
      </c>
      <c r="F55" s="11">
        <f t="shared" ref="F55:F60" si="22">E55-$E$67</f>
        <v>0.29033333333333333</v>
      </c>
    </row>
    <row r="56" spans="1:6" x14ac:dyDescent="0.2">
      <c r="A56" s="2">
        <f t="shared" si="17"/>
        <v>35</v>
      </c>
      <c r="B56" s="2">
        <f t="shared" si="18"/>
        <v>144</v>
      </c>
      <c r="C56" s="2">
        <f t="shared" si="19"/>
        <v>2.5569999999999999</v>
      </c>
      <c r="D56" s="2">
        <f t="shared" si="20"/>
        <v>-0.31300000000000017</v>
      </c>
      <c r="E56" s="12">
        <f t="shared" si="21"/>
        <v>2.5569999999999999</v>
      </c>
      <c r="F56" s="11">
        <f t="shared" si="22"/>
        <v>-1.2696666666666667</v>
      </c>
    </row>
    <row r="57" spans="1:6" x14ac:dyDescent="0.2">
      <c r="A57" s="2">
        <f t="shared" si="17"/>
        <v>36</v>
      </c>
      <c r="B57" s="2">
        <f t="shared" si="18"/>
        <v>305</v>
      </c>
      <c r="C57" s="2">
        <f t="shared" si="19"/>
        <v>4.0650000000000004</v>
      </c>
      <c r="D57" s="2">
        <f t="shared" si="20"/>
        <v>1.1950000000000003</v>
      </c>
      <c r="E57" s="12">
        <f t="shared" si="21"/>
        <v>4.0650000000000004</v>
      </c>
      <c r="F57" s="11">
        <f t="shared" si="22"/>
        <v>0.23833333333333373</v>
      </c>
    </row>
    <row r="58" spans="1:6" x14ac:dyDescent="0.2">
      <c r="A58" s="2">
        <f t="shared" si="17"/>
        <v>37</v>
      </c>
      <c r="B58" s="2">
        <f t="shared" si="18"/>
        <v>739</v>
      </c>
      <c r="C58" s="2">
        <f t="shared" si="19"/>
        <v>4.2460000000000004</v>
      </c>
      <c r="D58" s="2">
        <f t="shared" si="20"/>
        <v>1.3760000000000003</v>
      </c>
      <c r="E58" s="12">
        <f t="shared" si="21"/>
        <v>4.2460000000000004</v>
      </c>
      <c r="F58" s="11">
        <f t="shared" si="22"/>
        <v>0.41933333333333378</v>
      </c>
    </row>
    <row r="59" spans="1:6" x14ac:dyDescent="0.2">
      <c r="A59" s="2">
        <f t="shared" si="17"/>
        <v>38</v>
      </c>
      <c r="B59" s="2">
        <f t="shared" si="18"/>
        <v>1219</v>
      </c>
      <c r="C59" s="2">
        <f t="shared" si="19"/>
        <v>4.5030000000000001</v>
      </c>
      <c r="D59" s="2">
        <f t="shared" si="20"/>
        <v>1.633</v>
      </c>
      <c r="E59" s="12">
        <f t="shared" si="21"/>
        <v>4.5030000000000001</v>
      </c>
      <c r="F59" s="11">
        <f t="shared" si="22"/>
        <v>0.67633333333333345</v>
      </c>
    </row>
    <row r="60" spans="1:6" x14ac:dyDescent="0.2">
      <c r="A60" s="2">
        <f t="shared" si="17"/>
        <v>59</v>
      </c>
      <c r="B60" s="2">
        <f t="shared" si="18"/>
        <v>383</v>
      </c>
      <c r="C60" s="2">
        <f t="shared" si="19"/>
        <v>3.472</v>
      </c>
      <c r="D60" s="2">
        <f t="shared" si="20"/>
        <v>0.60199999999999987</v>
      </c>
      <c r="E60" s="12">
        <f t="shared" si="21"/>
        <v>3.472</v>
      </c>
      <c r="F60" s="11">
        <f t="shared" si="22"/>
        <v>-0.35466666666666669</v>
      </c>
    </row>
    <row r="61" spans="1:6" x14ac:dyDescent="0.2">
      <c r="A61" s="15">
        <f t="shared" si="17"/>
        <v>0</v>
      </c>
      <c r="B61" s="15">
        <f t="shared" ref="B61" si="23">J9</f>
        <v>0</v>
      </c>
      <c r="C61" s="15">
        <f t="shared" ref="C61" si="24">H9</f>
        <v>0</v>
      </c>
      <c r="D61" s="15">
        <f t="shared" ref="D61" si="25">C61-$C$67</f>
        <v>-2.87</v>
      </c>
      <c r="E61" s="12">
        <f t="shared" ref="E61" si="26">C61-(B61^3*$B$31+B61^2*$B$32+B61*$B$33+$B$34)</f>
        <v>0</v>
      </c>
      <c r="F61" s="12">
        <f t="shared" ref="F61" si="27">E61-$E$67</f>
        <v>-3.8266666666666667</v>
      </c>
    </row>
    <row r="62" spans="1:6" x14ac:dyDescent="0.2">
      <c r="A62" s="15">
        <f t="shared" si="17"/>
        <v>0</v>
      </c>
      <c r="B62" s="15">
        <f t="shared" ref="B62" si="28">J10</f>
        <v>0</v>
      </c>
      <c r="C62" s="15">
        <f t="shared" ref="C62" si="29">H10</f>
        <v>0</v>
      </c>
      <c r="D62" s="15">
        <f t="shared" ref="D62" si="30">C62-$C$67</f>
        <v>-2.87</v>
      </c>
      <c r="E62" s="12">
        <f t="shared" ref="E62" si="31">C62-(B62^3*$B$31+B62^2*$B$32+B62*$B$33+$B$34)</f>
        <v>0</v>
      </c>
      <c r="F62" s="12">
        <f t="shared" ref="F62" si="32">E62-$E$67</f>
        <v>-3.8266666666666667</v>
      </c>
    </row>
    <row r="63" spans="1:6" x14ac:dyDescent="0.2">
      <c r="A63" s="2"/>
      <c r="B63" s="2"/>
      <c r="C63" s="5"/>
      <c r="D63" s="2"/>
    </row>
    <row r="64" spans="1:6" x14ac:dyDescent="0.2">
      <c r="A64" s="2"/>
      <c r="B64" s="2"/>
      <c r="C64" s="5"/>
      <c r="D64" s="2"/>
    </row>
    <row r="65" spans="1:5" x14ac:dyDescent="0.2">
      <c r="A65" s="2"/>
      <c r="B65" s="2"/>
      <c r="C65" s="5"/>
      <c r="D65" s="2"/>
    </row>
    <row r="66" spans="1:5" x14ac:dyDescent="0.2">
      <c r="A66" s="2"/>
      <c r="B66" s="2"/>
      <c r="C66" s="5"/>
      <c r="D66" s="2"/>
    </row>
    <row r="67" spans="1:5" x14ac:dyDescent="0.2">
      <c r="A67" s="2"/>
      <c r="B67" s="2"/>
      <c r="C67" s="5">
        <f>AVERAGE(C55:C65)</f>
        <v>2.87</v>
      </c>
      <c r="D67" s="2"/>
      <c r="E67" s="12">
        <f>AVERAGE(E55:E60)</f>
        <v>3.8266666666666667</v>
      </c>
    </row>
  </sheetData>
  <mergeCells count="2">
    <mergeCell ref="N1:Q1"/>
    <mergeCell ref="R1:W1"/>
  </mergeCells>
  <phoneticPr fontId="3" type="noConversion"/>
  <pageMargins left="0.75" right="0.75" top="1" bottom="1" header="0.5" footer="0.5"/>
  <pageSetup paperSize="0" orientation="portrait" horizontalDpi="4294967292" verticalDpi="429496729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published="0"/>
  <dimension ref="A1:W49"/>
  <sheetViews>
    <sheetView tabSelected="1" topLeftCell="E1" workbookViewId="0">
      <selection activeCell="R5" sqref="R5:R49"/>
    </sheetView>
  </sheetViews>
  <sheetFormatPr defaultColWidth="11" defaultRowHeight="12.75" x14ac:dyDescent="0.2"/>
  <cols>
    <col min="1" max="1" width="6" customWidth="1"/>
    <col min="11" max="11" width="5.875" customWidth="1"/>
    <col min="12" max="12" width="7" customWidth="1"/>
    <col min="13" max="13" width="19.5" customWidth="1"/>
    <col min="14" max="14" width="15" customWidth="1"/>
  </cols>
  <sheetData>
    <row r="1" spans="1:23" ht="27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38</v>
      </c>
      <c r="L1" t="s">
        <v>39</v>
      </c>
      <c r="M1" s="26" t="s">
        <v>1</v>
      </c>
      <c r="N1" s="26" t="s">
        <v>2</v>
      </c>
      <c r="O1" s="25" t="s">
        <v>51</v>
      </c>
      <c r="P1" s="25" t="s">
        <v>52</v>
      </c>
      <c r="Q1" s="26" t="s">
        <v>26</v>
      </c>
      <c r="R1" s="26" t="s">
        <v>27</v>
      </c>
      <c r="S1" s="26" t="s">
        <v>28</v>
      </c>
      <c r="T1" s="26" t="s">
        <v>29</v>
      </c>
      <c r="U1" s="26" t="s">
        <v>30</v>
      </c>
      <c r="V1" s="6" t="s">
        <v>31</v>
      </c>
    </row>
    <row r="2" spans="1:23" x14ac:dyDescent="0.2">
      <c r="A2" s="1">
        <v>11</v>
      </c>
      <c r="B2" s="1" t="s">
        <v>64</v>
      </c>
      <c r="D2" s="1"/>
      <c r="E2" s="1">
        <v>-11.231</v>
      </c>
      <c r="F2" s="1">
        <v>282.13299999999998</v>
      </c>
      <c r="G2" s="1">
        <v>8555</v>
      </c>
      <c r="H2" s="1">
        <v>10.997999999999999</v>
      </c>
      <c r="I2" s="1">
        <v>41.097000000000001</v>
      </c>
      <c r="J2" s="1">
        <v>1717</v>
      </c>
      <c r="M2" s="27" t="str">
        <f t="shared" ref="M2:M43" si="0">B2</f>
        <v>Flush</v>
      </c>
      <c r="N2" s="27">
        <f t="shared" ref="N2:N43" si="1">C2</f>
        <v>0</v>
      </c>
      <c r="O2" s="28">
        <f>(E2-((G2^3*standards!$B$25+G2^2*standards!$B$26+G2*standards!$B$27+standards!$B$28)+(A2^3*standards!$C$25+standards!$C$26*A2^2+standards!$C$27*A2+standards!$C$28)))*standards!$R$27+standards!$R$26</f>
        <v>-9.6972683381068112</v>
      </c>
      <c r="P2" s="28">
        <f>(H2-((J2^3*standards!$B$31+J2^2*standards!$B$32+J2*standards!$B$33+standards!$B$34)+(A2^3*standards!$C$31+standards!$C$32*A2^2+standards!$C$33*A2+standards!$C$34)))*standards!$S$27+standards!$S$26</f>
        <v>10.808989720412248</v>
      </c>
      <c r="Q2" s="29" t="e">
        <f>((F2*standards!$R$31+standards!$R$30)*F2)/D2</f>
        <v>#DIV/0!</v>
      </c>
      <c r="R2" s="29" t="e">
        <f>((I2*standards!$S$31+standards!$S$30)*I2)/D2</f>
        <v>#DIV/0!</v>
      </c>
      <c r="S2" s="29" t="e">
        <f t="shared" ref="S2:S43" si="2">Q2/R2</f>
        <v>#DIV/0!</v>
      </c>
      <c r="T2" s="30">
        <f>($V$2*D2)/G2</f>
        <v>0</v>
      </c>
      <c r="U2" s="30">
        <f>($V$3*D2)/J2</f>
        <v>0</v>
      </c>
      <c r="V2" s="7">
        <v>5500</v>
      </c>
      <c r="W2" s="30" t="s">
        <v>32</v>
      </c>
    </row>
    <row r="3" spans="1:23" x14ac:dyDescent="0.2">
      <c r="A3" s="1">
        <v>13</v>
      </c>
      <c r="B3" s="1" t="s">
        <v>64</v>
      </c>
      <c r="D3" s="1"/>
      <c r="E3" s="1">
        <v>-12.603</v>
      </c>
      <c r="F3" s="1">
        <v>358.76400000000001</v>
      </c>
      <c r="G3" s="1">
        <v>10983</v>
      </c>
      <c r="H3" s="1">
        <v>11.148999999999999</v>
      </c>
      <c r="I3" s="1">
        <v>51.451999999999998</v>
      </c>
      <c r="J3" s="1">
        <v>2189</v>
      </c>
      <c r="M3" s="27" t="str">
        <f t="shared" si="0"/>
        <v>Flush</v>
      </c>
      <c r="N3" s="27">
        <f t="shared" si="1"/>
        <v>0</v>
      </c>
      <c r="O3" s="28">
        <f>(E3-((G3^3*standards!$B$25+G3^2*standards!$B$26+G3*standards!$B$27+standards!$B$28)+(A3^3*standards!$C$25+standards!$C$26*A3^2+standards!$C$27*A3+standards!$C$28)))*standards!$R$27+standards!$R$26</f>
        <v>-10.96972760892208</v>
      </c>
      <c r="P3" s="28">
        <f>(H3-((J3^3*standards!$B$31+J3^2*standards!$B$32+J3*standards!$B$33+standards!$B$34)+(A3^3*standards!$C$31+standards!$C$32*A3^2+standards!$C$33*A3+standards!$C$34)))*standards!$S$27+standards!$S$26</f>
        <v>10.924509735699781</v>
      </c>
      <c r="Q3" s="29" t="e">
        <f>((F3*standards!$R$31+standards!$R$30)*F3)/D3</f>
        <v>#DIV/0!</v>
      </c>
      <c r="R3" s="29" t="e">
        <f>((I3*standards!$S$31+standards!$S$30)*I3)/D3</f>
        <v>#DIV/0!</v>
      </c>
      <c r="S3" s="29" t="e">
        <f t="shared" si="2"/>
        <v>#DIV/0!</v>
      </c>
      <c r="T3" s="30">
        <f t="shared" ref="T3:T43" si="3">($V$2*D3)/G3</f>
        <v>0</v>
      </c>
      <c r="U3" s="30">
        <f t="shared" ref="U3:U43" si="4">($V$3*D3)/J3</f>
        <v>0</v>
      </c>
      <c r="V3" s="7">
        <v>2000</v>
      </c>
      <c r="W3" s="30" t="s">
        <v>33</v>
      </c>
    </row>
    <row r="4" spans="1:23" x14ac:dyDescent="0.2">
      <c r="A4" s="1">
        <v>14</v>
      </c>
      <c r="B4" s="1" t="s">
        <v>64</v>
      </c>
      <c r="D4" s="1"/>
      <c r="E4" s="1">
        <v>-12.340999999999999</v>
      </c>
      <c r="F4" s="1">
        <v>427.44</v>
      </c>
      <c r="G4" s="1">
        <v>13186</v>
      </c>
      <c r="H4" s="1">
        <v>11.37</v>
      </c>
      <c r="I4" s="1">
        <v>61.103999999999999</v>
      </c>
      <c r="J4" s="1">
        <v>2602</v>
      </c>
      <c r="M4" s="27" t="str">
        <f t="shared" si="0"/>
        <v>Flush</v>
      </c>
      <c r="N4" s="27">
        <f t="shared" si="1"/>
        <v>0</v>
      </c>
      <c r="O4" s="28">
        <f>(E4-((G4^3*standards!$B$25+G4^2*standards!$B$26+G4*standards!$B$27+standards!$B$28)+(A4^3*standards!$C$25+standards!$C$26*A4^2+standards!$C$27*A4+standards!$C$28)))*standards!$R$27+standards!$R$26</f>
        <v>-10.630900848638765</v>
      </c>
      <c r="P4" s="28">
        <f>(H4-((J4^3*standards!$B$31+J4^2*standards!$B$32+J4*standards!$B$33+standards!$B$34)+(A4^3*standards!$C$31+standards!$C$32*A4^2+standards!$C$33*A4+standards!$C$34)))*standards!$S$27+standards!$S$26</f>
        <v>11.093582075955045</v>
      </c>
      <c r="Q4" s="29" t="e">
        <f>((F4*standards!$R$31+standards!$R$30)*F4)/D4</f>
        <v>#DIV/0!</v>
      </c>
      <c r="R4" s="29" t="e">
        <f>((I4*standards!$S$31+standards!$S$30)*I4)/D4</f>
        <v>#DIV/0!</v>
      </c>
      <c r="S4" s="29" t="e">
        <f t="shared" si="2"/>
        <v>#DIV/0!</v>
      </c>
      <c r="T4" s="30">
        <f t="shared" si="3"/>
        <v>0</v>
      </c>
      <c r="U4" s="30">
        <f t="shared" si="4"/>
        <v>0</v>
      </c>
    </row>
    <row r="5" spans="1:23" x14ac:dyDescent="0.2">
      <c r="A5" s="1">
        <v>15</v>
      </c>
      <c r="B5" s="1" t="s">
        <v>65</v>
      </c>
      <c r="D5" s="1">
        <v>0.27700000000000002</v>
      </c>
      <c r="E5" s="1">
        <v>-15.076000000000001</v>
      </c>
      <c r="F5" s="1">
        <v>457.41500000000002</v>
      </c>
      <c r="G5" s="1">
        <v>14145</v>
      </c>
      <c r="H5" s="1">
        <v>-0.59499999999999997</v>
      </c>
      <c r="I5" s="1">
        <v>6.1689999999999996</v>
      </c>
      <c r="J5" s="1">
        <v>255</v>
      </c>
      <c r="M5" s="27" t="str">
        <f t="shared" si="0"/>
        <v>Sorghum</v>
      </c>
      <c r="N5" s="27">
        <f t="shared" si="1"/>
        <v>0</v>
      </c>
      <c r="O5" s="28">
        <f>(E5-((G5^3*standards!$B$25+G5^2*standards!$B$26+G5*standards!$B$27+standards!$B$28)+(A5^3*standards!$C$25+standards!$C$26*A5^2+standards!$C$27*A5+standards!$C$28)))*standards!$R$27+standards!$R$26</f>
        <v>-13.356697740503177</v>
      </c>
      <c r="P5" s="28">
        <f>(H5-((J5^3*standards!$B$31+J5^2*standards!$B$32+J5*standards!$B$33+standards!$B$34)+(A5^3*standards!$C$31+standards!$C$32*A5^2+standards!$C$33*A5+standards!$C$34)))*standards!$S$27+standards!$S$26</f>
        <v>1.9399596725422494</v>
      </c>
      <c r="Q5" s="29">
        <f>((F5*standards!$R$31+standards!$R$30)*F5)/D5</f>
        <v>42.140918982427628</v>
      </c>
      <c r="R5" s="34">
        <f>((I5*standards!$S$31+standards!$S$30)*I5)/D5</f>
        <v>1.6173633676858654</v>
      </c>
      <c r="S5" s="29">
        <f t="shared" si="2"/>
        <v>26.055319308191791</v>
      </c>
      <c r="T5" s="30">
        <f t="shared" si="3"/>
        <v>0.10770590314598799</v>
      </c>
      <c r="U5" s="30">
        <f t="shared" si="4"/>
        <v>2.172549019607843</v>
      </c>
    </row>
    <row r="6" spans="1:23" x14ac:dyDescent="0.2">
      <c r="A6" s="1">
        <v>16</v>
      </c>
      <c r="B6" s="1" t="s">
        <v>66</v>
      </c>
      <c r="D6" s="1">
        <v>6.91</v>
      </c>
      <c r="E6" s="1">
        <v>-27.814</v>
      </c>
      <c r="F6" s="1">
        <v>277.363</v>
      </c>
      <c r="G6" s="1">
        <v>8472</v>
      </c>
      <c r="H6" s="1">
        <v>5.48</v>
      </c>
      <c r="I6" s="1">
        <v>10.91</v>
      </c>
      <c r="J6" s="1">
        <v>445</v>
      </c>
      <c r="M6" s="27" t="str">
        <f t="shared" si="0"/>
        <v>LOC</v>
      </c>
      <c r="N6" s="27">
        <f t="shared" si="1"/>
        <v>0</v>
      </c>
      <c r="O6" s="28">
        <f>(E6-((G6^3*standards!$B$25+G6^2*standards!$B$26+G6*standards!$B$27+standards!$B$28)+(A6^3*standards!$C$25+standards!$C$26*A6^2+standards!$C$27*A6+standards!$C$28)))*standards!$R$27+standards!$R$26</f>
        <v>-26.386183014290413</v>
      </c>
      <c r="P6" s="28">
        <f>(H6-((J6^3*standards!$B$31+J6^2*standards!$B$32+J6*standards!$B$33+standards!$B$34)+(A6^3*standards!$C$31+standards!$C$32*A6^2+standards!$C$33*A6+standards!$C$34)))*standards!$S$27+standards!$S$26</f>
        <v>6.5875364465274338</v>
      </c>
      <c r="Q6" s="29">
        <f>((F6*standards!$R$31+standards!$R$30)*F6)/D6</f>
        <v>1.0272669759528559</v>
      </c>
      <c r="R6" s="34">
        <f>((I6*standards!$S$31+standards!$S$30)*I6)/D6</f>
        <v>0.11305043847392567</v>
      </c>
      <c r="S6" s="29">
        <f t="shared" si="2"/>
        <v>9.0868022258028507</v>
      </c>
      <c r="T6" s="30">
        <f t="shared" si="3"/>
        <v>4.4859537299339003</v>
      </c>
      <c r="U6" s="30">
        <f t="shared" si="4"/>
        <v>31.056179775280899</v>
      </c>
    </row>
    <row r="7" spans="1:23" x14ac:dyDescent="0.2">
      <c r="A7" s="1">
        <v>17</v>
      </c>
      <c r="B7" s="1" t="s">
        <v>67</v>
      </c>
      <c r="D7" s="1">
        <v>1.31</v>
      </c>
      <c r="E7" s="1">
        <v>-28.893999999999998</v>
      </c>
      <c r="F7" s="1">
        <v>291.75799999999998</v>
      </c>
      <c r="G7" s="1">
        <v>8982</v>
      </c>
      <c r="H7" s="1">
        <v>4.117</v>
      </c>
      <c r="I7" s="1">
        <v>9.4090000000000007</v>
      </c>
      <c r="J7" s="1">
        <v>392</v>
      </c>
      <c r="M7" s="27" t="str">
        <f t="shared" si="0"/>
        <v>HOC</v>
      </c>
      <c r="N7" s="27">
        <f t="shared" si="1"/>
        <v>0</v>
      </c>
      <c r="O7" s="28">
        <f>(E7-((G7^3*standards!$B$25+G7^2*standards!$B$26+G7*standards!$B$27+standards!$B$28)+(A7^3*standards!$C$25+standards!$C$26*A7^2+standards!$C$27*A7+standards!$C$28)))*standards!$R$27+standards!$R$26</f>
        <v>-27.447764768260033</v>
      </c>
      <c r="P7" s="28">
        <f>(H7-((J7^3*standards!$B$31+J7^2*standards!$B$32+J7*standards!$B$33+standards!$B$34)+(A7^3*standards!$C$31+standards!$C$32*A7^2+standards!$C$33*A7+standards!$C$34)))*standards!$S$27+standards!$S$26</f>
        <v>5.5447961760843381</v>
      </c>
      <c r="Q7" s="29">
        <f>((F7*standards!$R$31+standards!$R$30)*F7)/D7</f>
        <v>5.6985630855292575</v>
      </c>
      <c r="R7" s="34">
        <f>((I7*standards!$S$31+standards!$S$30)*I7)/D7</f>
        <v>0.51659869628631405</v>
      </c>
      <c r="S7" s="29">
        <f t="shared" si="2"/>
        <v>11.030928119824267</v>
      </c>
      <c r="T7" s="30">
        <f t="shared" si="3"/>
        <v>0.80215987530616795</v>
      </c>
      <c r="U7" s="30">
        <f t="shared" si="4"/>
        <v>6.6836734693877551</v>
      </c>
    </row>
    <row r="8" spans="1:23" x14ac:dyDescent="0.2">
      <c r="A8" s="1">
        <v>18</v>
      </c>
      <c r="B8" s="1" t="s">
        <v>68</v>
      </c>
      <c r="C8" t="s">
        <v>69</v>
      </c>
      <c r="D8" s="1">
        <v>8.1140000000000008</v>
      </c>
      <c r="E8" s="1">
        <v>-27.260999999999999</v>
      </c>
      <c r="F8" s="1">
        <v>262.31299999999999</v>
      </c>
      <c r="G8" s="1">
        <v>8165</v>
      </c>
      <c r="H8">
        <v>3.1160000000000001</v>
      </c>
      <c r="I8">
        <v>17.789000000000001</v>
      </c>
      <c r="J8">
        <v>762</v>
      </c>
      <c r="M8" s="27" t="str">
        <f t="shared" si="0"/>
        <v>137</v>
      </c>
      <c r="N8" s="27" t="str">
        <f t="shared" si="1"/>
        <v>TOC</v>
      </c>
      <c r="O8" s="28">
        <f>(E8-((G8^3*standards!$B$25+G8^2*standards!$B$26+G8*standards!$B$27+standards!$B$28)+(A8^3*standards!$C$25+standards!$C$26*A8^2+standards!$C$27*A8+standards!$C$28)))*standards!$R$27+standards!$R$26</f>
        <v>-25.845425000518777</v>
      </c>
      <c r="P8" s="28">
        <f>(H8-((J8^3*standards!$B$31+J8^2*standards!$B$32+J8*standards!$B$33+standards!$B$34)+(A8^3*standards!$C$31+standards!$C$32*A8^2+standards!$C$33*A8+standards!$C$34)))*standards!$S$27+standards!$S$26</f>
        <v>4.7789979290457918</v>
      </c>
      <c r="Q8" s="29">
        <f>((F8*standards!$R$31+standards!$R$30)*F8)/D8</f>
        <v>0.82756307270773144</v>
      </c>
      <c r="R8" s="34">
        <f>((I8*standards!$S$31+standards!$S$30)*I8)/D8</f>
        <v>0.15373237567332604</v>
      </c>
      <c r="S8" s="29">
        <f t="shared" si="2"/>
        <v>5.3831411183436302</v>
      </c>
      <c r="T8" s="30">
        <f t="shared" si="3"/>
        <v>5.46564605021433</v>
      </c>
      <c r="U8" s="30">
        <f t="shared" si="4"/>
        <v>21.29658792650919</v>
      </c>
    </row>
    <row r="9" spans="1:23" x14ac:dyDescent="0.2">
      <c r="A9" s="1">
        <v>19</v>
      </c>
      <c r="B9" s="1" t="s">
        <v>70</v>
      </c>
      <c r="C9" t="s">
        <v>69</v>
      </c>
      <c r="D9" s="1">
        <v>7.6559999999999997</v>
      </c>
      <c r="E9" s="1">
        <v>-27.466999999999999</v>
      </c>
      <c r="F9" s="1">
        <v>227.352</v>
      </c>
      <c r="G9" s="1">
        <v>7101</v>
      </c>
      <c r="H9" s="1">
        <v>3.1989999999999998</v>
      </c>
      <c r="I9" s="1">
        <v>15.907</v>
      </c>
      <c r="J9" s="1">
        <v>687</v>
      </c>
      <c r="M9" s="27" t="str">
        <f t="shared" si="0"/>
        <v>124</v>
      </c>
      <c r="N9" s="27" t="str">
        <f t="shared" si="1"/>
        <v>TOC</v>
      </c>
      <c r="O9" s="28">
        <f>(E9-((G9^3*standards!$B$25+G9^2*standards!$B$26+G9*standards!$B$27+standards!$B$28)+(A9^3*standards!$C$25+standards!$C$26*A9^2+standards!$C$27*A9+standards!$C$28)))*standards!$R$27+standards!$R$26</f>
        <v>-26.110129202252001</v>
      </c>
      <c r="P9" s="28">
        <f>(H9-((J9^3*standards!$B$31+J9^2*standards!$B$32+J9*standards!$B$33+standards!$B$34)+(A9^3*standards!$C$31+standards!$C$32*A9^2+standards!$C$33*A9+standards!$C$34)))*standards!$S$27+standards!$S$26</f>
        <v>4.842495685793244</v>
      </c>
      <c r="Q9" s="29">
        <f>((F9*standards!$R$31+standards!$R$30)*F9)/D9</f>
        <v>0.76059479957440579</v>
      </c>
      <c r="R9" s="34">
        <f>((I9*standards!$S$31+standards!$S$30)*I9)/D9</f>
        <v>0.14653364230945987</v>
      </c>
      <c r="S9" s="29">
        <f t="shared" si="2"/>
        <v>5.1905814090673399</v>
      </c>
      <c r="T9" s="30">
        <f t="shared" si="3"/>
        <v>5.9298690325306298</v>
      </c>
      <c r="U9" s="30">
        <f t="shared" si="4"/>
        <v>22.2882096069869</v>
      </c>
    </row>
    <row r="10" spans="1:23" x14ac:dyDescent="0.2">
      <c r="A10" s="1">
        <v>20</v>
      </c>
      <c r="B10" s="1" t="s">
        <v>71</v>
      </c>
      <c r="C10" t="s">
        <v>69</v>
      </c>
      <c r="D10" s="1">
        <v>7.383</v>
      </c>
      <c r="E10" s="1">
        <v>-27.76</v>
      </c>
      <c r="F10" s="1">
        <v>196.03200000000001</v>
      </c>
      <c r="G10" s="1">
        <v>5974</v>
      </c>
      <c r="H10" s="1">
        <v>2.7810000000000001</v>
      </c>
      <c r="I10" s="1">
        <v>13.468999999999999</v>
      </c>
      <c r="J10" s="1">
        <v>543</v>
      </c>
      <c r="M10" s="27" t="str">
        <f t="shared" si="0"/>
        <v>127</v>
      </c>
      <c r="N10" s="27" t="str">
        <f t="shared" si="1"/>
        <v>TOC</v>
      </c>
      <c r="O10" s="28">
        <f>(E10-((G10^3*standards!$B$25+G10^2*standards!$B$26+G10*standards!$B$27+standards!$B$28)+(A10^3*standards!$C$25+standards!$C$26*A10^2+standards!$C$27*A10+standards!$C$28)))*standards!$R$27+standards!$R$26</f>
        <v>-26.471271294947574</v>
      </c>
      <c r="P10" s="28">
        <f>(H10-((J10^3*standards!$B$31+J10^2*standards!$B$32+J10*standards!$B$33+standards!$B$34)+(A10^3*standards!$C$31+standards!$C$32*A10^2+standards!$C$33*A10+standards!$C$34)))*standards!$S$27+standards!$S$26</f>
        <v>4.5227118024145101</v>
      </c>
      <c r="Q10" s="29">
        <f>((F10*standards!$R$31+standards!$R$30)*F10)/D10</f>
        <v>0.68040214794558329</v>
      </c>
      <c r="R10" s="34">
        <f>((I10*standards!$S$31+standards!$S$30)*I10)/D10</f>
        <v>0.12962046883838751</v>
      </c>
      <c r="S10" s="29">
        <f t="shared" si="2"/>
        <v>5.2491875244944337</v>
      </c>
      <c r="T10" s="30">
        <f t="shared" si="3"/>
        <v>6.7972045530632741</v>
      </c>
      <c r="U10" s="30">
        <f t="shared" si="4"/>
        <v>27.193370165745858</v>
      </c>
    </row>
    <row r="11" spans="1:23" x14ac:dyDescent="0.2">
      <c r="A11" s="1">
        <v>21</v>
      </c>
      <c r="B11" s="1" t="s">
        <v>72</v>
      </c>
      <c r="C11" t="s">
        <v>69</v>
      </c>
      <c r="D11" s="1">
        <v>7.39</v>
      </c>
      <c r="E11" s="1">
        <v>-27.866</v>
      </c>
      <c r="F11" s="1">
        <v>263.99</v>
      </c>
      <c r="G11" s="1">
        <v>8224</v>
      </c>
      <c r="H11" s="1">
        <v>2.7839999999999998</v>
      </c>
      <c r="I11" s="1">
        <v>16.308</v>
      </c>
      <c r="J11" s="1">
        <v>692</v>
      </c>
      <c r="M11" s="27" t="str">
        <f t="shared" si="0"/>
        <v>126</v>
      </c>
      <c r="N11" s="27" t="str">
        <f t="shared" si="1"/>
        <v>TOC</v>
      </c>
      <c r="O11" s="28">
        <f>(E11-((G11^3*standards!$B$25+G11^2*standards!$B$26+G11*standards!$B$27+standards!$B$28)+(A11^3*standards!$C$25+standards!$C$26*A11^2+standards!$C$27*A11+standards!$C$28)))*standards!$R$27+standards!$R$26</f>
        <v>-26.451100053889114</v>
      </c>
      <c r="P11" s="28">
        <f>(H11-((J11^3*standards!$B$31+J11^2*standards!$B$32+J11*standards!$B$33+standards!$B$34)+(A11^3*standards!$C$31+standards!$C$32*A11^2+standards!$C$33*A11+standards!$C$34)))*standards!$S$27+standards!$S$26</f>
        <v>4.525006902055984</v>
      </c>
      <c r="Q11" s="29">
        <f>((F11*standards!$R$31+standards!$R$30)*F11)/D11</f>
        <v>0.91442439709360135</v>
      </c>
      <c r="R11" s="34">
        <f>((I11*standards!$S$31+standards!$S$30)*I11)/D11</f>
        <v>0.15544448460781898</v>
      </c>
      <c r="S11" s="29">
        <f t="shared" si="2"/>
        <v>5.882642921687844</v>
      </c>
      <c r="T11" s="30">
        <f t="shared" si="3"/>
        <v>4.9422422178988326</v>
      </c>
      <c r="U11" s="30">
        <f t="shared" si="4"/>
        <v>21.358381502890172</v>
      </c>
    </row>
    <row r="12" spans="1:23" x14ac:dyDescent="0.2">
      <c r="A12" s="1">
        <v>22</v>
      </c>
      <c r="B12" s="1" t="s">
        <v>73</v>
      </c>
      <c r="C12" t="s">
        <v>69</v>
      </c>
      <c r="D12" s="1">
        <v>6.0439999999999996</v>
      </c>
      <c r="E12" s="1">
        <v>-27.721</v>
      </c>
      <c r="F12" s="1">
        <v>187.15700000000001</v>
      </c>
      <c r="G12" s="1">
        <v>5903</v>
      </c>
      <c r="H12">
        <v>3.1120000000000001</v>
      </c>
      <c r="I12">
        <v>13.042</v>
      </c>
      <c r="J12">
        <v>569</v>
      </c>
      <c r="M12" s="27" t="str">
        <f t="shared" si="0"/>
        <v>123</v>
      </c>
      <c r="N12" s="27" t="str">
        <f t="shared" si="1"/>
        <v>TOC</v>
      </c>
      <c r="O12" s="28">
        <f>(E12-((G12^3*standards!$B$25+G12^2*standards!$B$26+G12*standards!$B$27+standards!$B$28)+(A12^3*standards!$C$25+standards!$C$26*A12^2+standards!$C$27*A12+standards!$C$28)))*standards!$R$27+standards!$R$26</f>
        <v>-26.436401157024804</v>
      </c>
      <c r="P12" s="28">
        <f>(H12-((J12^3*standards!$B$31+J12^2*standards!$B$32+J12*standards!$B$33+standards!$B$34)+(A12^3*standards!$C$31+standards!$C$32*A12^2+standards!$C$33*A12+standards!$C$34)))*standards!$S$27+standards!$S$26</f>
        <v>4.775937796190493</v>
      </c>
      <c r="Q12" s="29">
        <f>((F12*standards!$R$31+standards!$R$30)*F12)/D12</f>
        <v>0.79362276824691902</v>
      </c>
      <c r="R12" s="34">
        <f>((I12*standards!$S$31+standards!$S$30)*I12)/D12</f>
        <v>0.15351555152780386</v>
      </c>
      <c r="S12" s="29">
        <f t="shared" si="2"/>
        <v>5.1696571477527646</v>
      </c>
      <c r="T12" s="30">
        <f t="shared" si="3"/>
        <v>5.6313738776893105</v>
      </c>
      <c r="U12" s="30">
        <f t="shared" si="4"/>
        <v>21.244288224956062</v>
      </c>
    </row>
    <row r="13" spans="1:23" x14ac:dyDescent="0.2">
      <c r="A13" s="1">
        <v>23</v>
      </c>
      <c r="B13" s="1" t="s">
        <v>74</v>
      </c>
      <c r="C13" t="s">
        <v>69</v>
      </c>
      <c r="D13" s="1">
        <v>6.8330000000000002</v>
      </c>
      <c r="E13" s="1">
        <v>-28.445</v>
      </c>
      <c r="F13" s="1">
        <v>266.21800000000002</v>
      </c>
      <c r="G13" s="1">
        <v>8086</v>
      </c>
      <c r="H13" s="1">
        <v>2.464</v>
      </c>
      <c r="I13" s="1">
        <v>13.051</v>
      </c>
      <c r="J13" s="1">
        <v>526</v>
      </c>
      <c r="M13" s="27" t="str">
        <f t="shared" si="0"/>
        <v>112</v>
      </c>
      <c r="N13" s="27" t="str">
        <f t="shared" si="1"/>
        <v>TOC</v>
      </c>
      <c r="O13" s="28">
        <f>(E13-((G13^3*standards!$B$25+G13^2*standards!$B$26+G13*standards!$B$27+standards!$B$28)+(A13^3*standards!$C$25+standards!$C$26*A13^2+standards!$C$27*A13+standards!$C$28)))*standards!$R$27+standards!$R$26</f>
        <v>-27.040781881074562</v>
      </c>
      <c r="P13" s="28">
        <f>(H13-((J13^3*standards!$B$31+J13^2*standards!$B$32+J13*standards!$B$33+standards!$B$34)+(A13^3*standards!$C$31+standards!$C$32*A13^2+standards!$C$33*A13+standards!$C$34)))*standards!$S$27+standards!$S$26</f>
        <v>4.2801962736320736</v>
      </c>
      <c r="Q13" s="29">
        <f>((F13*standards!$R$31+standards!$R$30)*F13)/D13</f>
        <v>0.99727618911427307</v>
      </c>
      <c r="R13" s="34">
        <f>((I13*standards!$S$31+standards!$S$30)*I13)/D13</f>
        <v>0.13587926150434296</v>
      </c>
      <c r="S13" s="29">
        <f t="shared" si="2"/>
        <v>7.3394289759397777</v>
      </c>
      <c r="T13" s="30">
        <f t="shared" si="3"/>
        <v>4.6477244620331435</v>
      </c>
      <c r="U13" s="30">
        <f t="shared" si="4"/>
        <v>25.980988593155892</v>
      </c>
    </row>
    <row r="14" spans="1:23" x14ac:dyDescent="0.2">
      <c r="A14" s="1">
        <v>24</v>
      </c>
      <c r="B14" s="1" t="s">
        <v>75</v>
      </c>
      <c r="C14" t="s">
        <v>69</v>
      </c>
      <c r="D14" s="1">
        <v>5.2309999999999999</v>
      </c>
      <c r="E14" s="1">
        <v>-28.715</v>
      </c>
      <c r="F14" s="1">
        <v>304.755</v>
      </c>
      <c r="G14" s="1">
        <v>9329</v>
      </c>
      <c r="H14">
        <v>2.2450000000000001</v>
      </c>
      <c r="I14">
        <v>12.35</v>
      </c>
      <c r="J14">
        <v>503</v>
      </c>
      <c r="M14" s="27" t="str">
        <f t="shared" si="0"/>
        <v>84</v>
      </c>
      <c r="N14" s="27" t="str">
        <f t="shared" si="1"/>
        <v>TOC</v>
      </c>
      <c r="O14" s="28">
        <f>(E14-((G14^3*standards!$B$25+G14^2*standards!$B$26+G14*standards!$B$27+standards!$B$28)+(A14^3*standards!$C$25+standards!$C$26*A14^2+standards!$C$27*A14+standards!$C$28)))*standards!$R$27+standards!$R$26</f>
        <v>-27.251288302640567</v>
      </c>
      <c r="P14" s="28">
        <f>(H14-((J14^3*standards!$B$31+J14^2*standards!$B$32+J14*standards!$B$33+standards!$B$34)+(A14^3*standards!$C$31+standards!$C$32*A14^2+standards!$C$33*A14+standards!$C$34)))*standards!$S$27+standards!$S$26</f>
        <v>4.1126539998044596</v>
      </c>
      <c r="Q14" s="29">
        <f>((F14*standards!$R$31+standards!$R$30)*F14)/D14</f>
        <v>1.490358088988782</v>
      </c>
      <c r="R14" s="34">
        <f>((I14*standards!$S$31+standards!$S$30)*I14)/D14</f>
        <v>0.16831520945406561</v>
      </c>
      <c r="S14" s="29">
        <f t="shared" si="2"/>
        <v>8.854565750907442</v>
      </c>
      <c r="T14" s="30">
        <f t="shared" si="3"/>
        <v>3.0839854218029799</v>
      </c>
      <c r="U14" s="30">
        <f t="shared" si="4"/>
        <v>20.79920477137177</v>
      </c>
    </row>
    <row r="15" spans="1:23" x14ac:dyDescent="0.2">
      <c r="A15" s="1">
        <v>25</v>
      </c>
      <c r="B15" s="1" t="s">
        <v>76</v>
      </c>
      <c r="C15" t="s">
        <v>69</v>
      </c>
      <c r="D15" s="1">
        <v>0.67200000000000004</v>
      </c>
      <c r="E15" s="1">
        <v>-27.501000000000001</v>
      </c>
      <c r="F15" s="1">
        <v>339.71600000000001</v>
      </c>
      <c r="G15" s="1">
        <v>10702</v>
      </c>
      <c r="H15">
        <v>-7.2999999999999995E-2</v>
      </c>
      <c r="I15">
        <v>5.7160000000000002</v>
      </c>
      <c r="J15">
        <v>241</v>
      </c>
      <c r="M15" s="27" t="str">
        <f t="shared" si="0"/>
        <v>38.5</v>
      </c>
      <c r="N15" s="27" t="str">
        <f t="shared" si="1"/>
        <v>TOC</v>
      </c>
      <c r="O15" s="28">
        <f>(E15-((G15^3*standards!$B$25+G15^2*standards!$B$26+G15*standards!$B$27+standards!$B$28)+(A15^3*standards!$C$25+standards!$C$26*A15^2+standards!$C$27*A15+standards!$C$28)))*standards!$R$27+standards!$R$26</f>
        <v>-25.970297459928908</v>
      </c>
      <c r="P15" s="28">
        <f>(H15-((J15^3*standards!$B$31+J15^2*standards!$B$32+J15*standards!$B$33+standards!$B$34)+(A15^3*standards!$C$31+standards!$C$32*A15^2+standards!$C$33*A15+standards!$C$34)))*standards!$S$27+standards!$S$26</f>
        <v>2.3393070101587541</v>
      </c>
      <c r="Q15" s="29">
        <f>((F15*standards!$R$31+standards!$R$30)*F15)/D15</f>
        <v>12.925005564528778</v>
      </c>
      <c r="R15" s="34">
        <f>((I15*standards!$S$31+standards!$S$30)*I15)/D15</f>
        <v>0.61855506508341973</v>
      </c>
      <c r="S15" s="29">
        <f t="shared" si="2"/>
        <v>20.895480926642616</v>
      </c>
      <c r="T15" s="30">
        <f t="shared" si="3"/>
        <v>0.34535600822276213</v>
      </c>
      <c r="U15" s="30">
        <f t="shared" si="4"/>
        <v>5.5767634854771782</v>
      </c>
    </row>
    <row r="16" spans="1:23" x14ac:dyDescent="0.2">
      <c r="A16" s="1">
        <v>26</v>
      </c>
      <c r="B16" s="1" t="s">
        <v>77</v>
      </c>
      <c r="C16" t="s">
        <v>69</v>
      </c>
      <c r="D16" s="1">
        <v>0.53800000000000003</v>
      </c>
      <c r="E16" s="1">
        <v>-25.184000000000001</v>
      </c>
      <c r="F16" s="1">
        <v>340.39299999999997</v>
      </c>
      <c r="G16" s="1">
        <v>10597</v>
      </c>
      <c r="H16" s="1">
        <v>0.53600000000000003</v>
      </c>
      <c r="I16" s="1">
        <v>10.801</v>
      </c>
      <c r="J16" s="1">
        <v>453</v>
      </c>
      <c r="M16" s="27" t="str">
        <f t="shared" si="0"/>
        <v>26</v>
      </c>
      <c r="N16" s="27" t="str">
        <f t="shared" si="1"/>
        <v>TOC</v>
      </c>
      <c r="O16" s="28">
        <f>(E16-((G16^3*standards!$B$25+G16^2*standards!$B$26+G16*standards!$B$27+standards!$B$28)+(A16^3*standards!$C$25+standards!$C$26*A16^2+standards!$C$27*A16+standards!$C$28)))*standards!$R$27+standards!$R$26</f>
        <v>-23.6433361549953</v>
      </c>
      <c r="P16" s="28">
        <f>(H16-((J16^3*standards!$B$31+J16^2*standards!$B$32+J16*standards!$B$33+standards!$B$34)+(A16^3*standards!$C$31+standards!$C$32*A16^2+standards!$C$33*A16+standards!$C$34)))*standards!$S$27+standards!$S$26</f>
        <v>2.8052122373780097</v>
      </c>
      <c r="Q16" s="29">
        <f>((F16*standards!$R$31+standards!$R$30)*F16)/D16</f>
        <v>16.176244267974965</v>
      </c>
      <c r="R16" s="34">
        <f>((I16*standards!$S$31+standards!$S$30)*I16)/D16</f>
        <v>1.4379690756276713</v>
      </c>
      <c r="S16" s="29">
        <f t="shared" si="2"/>
        <v>11.249368670125302</v>
      </c>
      <c r="T16" s="30">
        <f t="shared" si="3"/>
        <v>0.27922997074643768</v>
      </c>
      <c r="U16" s="30">
        <f t="shared" si="4"/>
        <v>2.3752759381898456</v>
      </c>
    </row>
    <row r="17" spans="1:21" x14ac:dyDescent="0.2">
      <c r="A17" s="1">
        <v>27</v>
      </c>
      <c r="B17" s="1" t="s">
        <v>78</v>
      </c>
      <c r="C17" t="s">
        <v>69</v>
      </c>
      <c r="D17" s="1">
        <v>0.95599999999999996</v>
      </c>
      <c r="E17" s="1">
        <v>-24.93</v>
      </c>
      <c r="F17" s="1">
        <v>626.24199999999996</v>
      </c>
      <c r="G17" s="1">
        <v>19570</v>
      </c>
      <c r="H17">
        <v>1.083</v>
      </c>
      <c r="I17">
        <v>20.937999999999999</v>
      </c>
      <c r="J17">
        <v>895</v>
      </c>
      <c r="M17" s="27" t="str">
        <f t="shared" si="0"/>
        <v>30</v>
      </c>
      <c r="N17" s="27" t="str">
        <f t="shared" si="1"/>
        <v>TOC</v>
      </c>
      <c r="O17" s="28">
        <f>(E17-((G17^3*standards!$B$25+G17^2*standards!$B$26+G17*standards!$B$27+standards!$B$28)+(A17^3*standards!$C$25+standards!$C$26*A17^2+standards!$C$27*A17+standards!$C$28)))*standards!$R$27+standards!$R$26</f>
        <v>-23.201347180225746</v>
      </c>
      <c r="P17" s="28">
        <f>(H17-((J17^3*standards!$B$31+J17^2*standards!$B$32+J17*standards!$B$33+standards!$B$34)+(A17^3*standards!$C$31+standards!$C$32*A17^2+standards!$C$33*A17+standards!$C$34)))*standards!$S$27+standards!$S$26</f>
        <v>3.2236854053401323</v>
      </c>
      <c r="Q17" s="29">
        <f>((F17*standards!$R$31+standards!$R$30)*F17)/D17</f>
        <v>16.672174185879037</v>
      </c>
      <c r="R17" s="34">
        <f>((I17*standards!$S$31+standards!$S$30)*I17)/D17</f>
        <v>1.5209218415596051</v>
      </c>
      <c r="S17" s="29">
        <f t="shared" si="2"/>
        <v>10.961887541034207</v>
      </c>
      <c r="T17" s="30">
        <f t="shared" si="3"/>
        <v>0.26867654573326522</v>
      </c>
      <c r="U17" s="30">
        <f t="shared" si="4"/>
        <v>2.1363128491620111</v>
      </c>
    </row>
    <row r="18" spans="1:21" x14ac:dyDescent="0.2">
      <c r="A18" s="1">
        <v>28</v>
      </c>
      <c r="B18" s="1" t="s">
        <v>79</v>
      </c>
      <c r="C18" t="s">
        <v>69</v>
      </c>
      <c r="D18" s="1">
        <v>13.923999999999999</v>
      </c>
      <c r="E18" s="1">
        <v>-26.745999999999999</v>
      </c>
      <c r="F18" s="1">
        <v>271.12700000000001</v>
      </c>
      <c r="G18" s="1">
        <v>8330</v>
      </c>
      <c r="H18">
        <v>3.4260000000000002</v>
      </c>
      <c r="I18">
        <v>26.227</v>
      </c>
      <c r="J18">
        <v>1098</v>
      </c>
      <c r="M18" s="27" t="str">
        <f t="shared" si="0"/>
        <v>174</v>
      </c>
      <c r="N18" s="27" t="str">
        <f t="shared" si="1"/>
        <v>TOC</v>
      </c>
      <c r="O18" s="28">
        <f>(E18-((G18^3*standards!$B$25+G18^2*standards!$B$26+G18*standards!$B$27+standards!$B$28)+(A18^3*standards!$C$25+standards!$C$26*A18^2+standards!$C$27*A18+standards!$C$28)))*standards!$R$27+standards!$R$26</f>
        <v>-25.318809152536833</v>
      </c>
      <c r="P18" s="28">
        <f>(H18-((J18^3*standards!$B$31+J18^2*standards!$B$32+J18*standards!$B$33+standards!$B$34)+(A18^3*standards!$C$31+standards!$C$32*A18^2+standards!$C$33*A18+standards!$C$34)))*standards!$S$27+standards!$S$26</f>
        <v>5.0161582253314556</v>
      </c>
      <c r="Q18" s="29">
        <f>((F18*standards!$R$31+standards!$R$30)*F18)/D18</f>
        <v>0.4983844316908691</v>
      </c>
      <c r="R18" s="34">
        <f>((I18*standards!$S$31+standards!$S$30)*I18)/D18</f>
        <v>0.12865720826421356</v>
      </c>
      <c r="S18" s="29">
        <f t="shared" si="2"/>
        <v>3.8737388943445339</v>
      </c>
      <c r="T18" s="30">
        <f t="shared" si="3"/>
        <v>9.1935174069627852</v>
      </c>
      <c r="U18" s="30">
        <f t="shared" si="4"/>
        <v>25.362477231329692</v>
      </c>
    </row>
    <row r="19" spans="1:21" x14ac:dyDescent="0.2">
      <c r="A19" s="1">
        <v>29</v>
      </c>
      <c r="B19" s="1" t="s">
        <v>80</v>
      </c>
      <c r="C19" t="s">
        <v>69</v>
      </c>
      <c r="D19" s="1">
        <v>13.988</v>
      </c>
      <c r="E19" s="1">
        <v>-30.416</v>
      </c>
      <c r="F19" s="1">
        <v>295.61399999999998</v>
      </c>
      <c r="G19" s="1">
        <v>9268</v>
      </c>
      <c r="H19">
        <v>3.5579999999999998</v>
      </c>
      <c r="I19">
        <v>27.254000000000001</v>
      </c>
      <c r="J19">
        <v>1196</v>
      </c>
      <c r="M19" s="27" t="str">
        <f t="shared" si="0"/>
        <v>185</v>
      </c>
      <c r="N19" s="27" t="str">
        <f t="shared" si="1"/>
        <v>TOC</v>
      </c>
      <c r="O19" s="28">
        <f>(E19-((G19^3*standards!$B$25+G19^2*standards!$B$26+G19*standards!$B$27+standards!$B$28)+(A19^3*standards!$C$25+standards!$C$26*A19^2+standards!$C$27*A19+standards!$C$28)))*standards!$R$27+standards!$R$26</f>
        <v>-28.965566550566756</v>
      </c>
      <c r="P19" s="28">
        <f>(H19-((J19^3*standards!$B$31+J19^2*standards!$B$32+J19*standards!$B$33+standards!$B$34)+(A19^3*standards!$C$31+standards!$C$32*A19^2+standards!$C$33*A19+standards!$C$34)))*standards!$S$27+standards!$S$26</f>
        <v>5.1171426095563186</v>
      </c>
      <c r="Q19" s="29">
        <f>((F19*standards!$R$31+standards!$R$30)*F19)/D19</f>
        <v>0.54070046554018814</v>
      </c>
      <c r="R19" s="34">
        <f>((I19*standards!$S$31+standards!$S$30)*I19)/D19</f>
        <v>0.13265269539500998</v>
      </c>
      <c r="S19" s="29">
        <f t="shared" si="2"/>
        <v>4.076060904228922</v>
      </c>
      <c r="T19" s="30">
        <f t="shared" si="3"/>
        <v>8.3010358221838576</v>
      </c>
      <c r="U19" s="30">
        <f t="shared" si="4"/>
        <v>23.391304347826086</v>
      </c>
    </row>
    <row r="20" spans="1:21" x14ac:dyDescent="0.2">
      <c r="A20" s="1">
        <v>30</v>
      </c>
      <c r="B20" s="1" t="s">
        <v>81</v>
      </c>
      <c r="C20" t="s">
        <v>69</v>
      </c>
      <c r="D20" s="1">
        <v>13.311</v>
      </c>
      <c r="E20" s="1">
        <v>-26.475000000000001</v>
      </c>
      <c r="F20" s="1">
        <v>242.25399999999999</v>
      </c>
      <c r="G20" s="1">
        <v>7391</v>
      </c>
      <c r="H20" s="1">
        <v>3.1709999999999998</v>
      </c>
      <c r="I20" s="1">
        <v>24.613</v>
      </c>
      <c r="J20" s="1">
        <v>1026</v>
      </c>
      <c r="M20" s="27" t="str">
        <f t="shared" si="0"/>
        <v>186</v>
      </c>
      <c r="N20" s="27" t="str">
        <f t="shared" si="1"/>
        <v>TOC</v>
      </c>
      <c r="O20" s="28">
        <f>(E20-((G20^3*standards!$B$25+G20^2*standards!$B$26+G20*standards!$B$27+standards!$B$28)+(A20^3*standards!$C$25+standards!$C$26*A20^2+standards!$C$27*A20+standards!$C$28)))*standards!$R$27+standards!$R$26</f>
        <v>-25.095886011506362</v>
      </c>
      <c r="P20" s="28">
        <f>(H20-((J20^3*standards!$B$31+J20^2*standards!$B$32+J20*standards!$B$33+standards!$B$34)+(A20^3*standards!$C$31+standards!$C$32*A20^2+standards!$C$33*A20+standards!$C$34)))*standards!$S$27+standards!$S$26</f>
        <v>4.8210747558061513</v>
      </c>
      <c r="Q20" s="29">
        <f>((F20*standards!$R$31+standards!$R$30)*F20)/D20</f>
        <v>0.46603056416740579</v>
      </c>
      <c r="R20" s="34">
        <f>((I20*standards!$S$31+standards!$S$30)*I20)/D20</f>
        <v>0.12694251100109233</v>
      </c>
      <c r="S20" s="29">
        <f t="shared" si="2"/>
        <v>3.6711938379995939</v>
      </c>
      <c r="T20" s="30">
        <f t="shared" si="3"/>
        <v>9.905357867676905</v>
      </c>
      <c r="U20" s="30">
        <f t="shared" si="4"/>
        <v>25.94736842105263</v>
      </c>
    </row>
    <row r="21" spans="1:21" x14ac:dyDescent="0.2">
      <c r="A21" s="1">
        <v>31</v>
      </c>
      <c r="B21" s="1" t="s">
        <v>82</v>
      </c>
      <c r="C21" t="s">
        <v>69</v>
      </c>
      <c r="D21" s="1">
        <v>11.244999999999999</v>
      </c>
      <c r="E21" s="1">
        <v>-26.312000000000001</v>
      </c>
      <c r="F21" s="1">
        <v>219.97900000000001</v>
      </c>
      <c r="G21" s="1">
        <v>6955</v>
      </c>
      <c r="H21" s="1">
        <v>3.5430000000000001</v>
      </c>
      <c r="I21" s="1">
        <v>22.859000000000002</v>
      </c>
      <c r="J21" s="1">
        <v>1006</v>
      </c>
      <c r="M21" s="27" t="str">
        <f t="shared" si="0"/>
        <v>194</v>
      </c>
      <c r="N21" s="27" t="str">
        <f t="shared" si="1"/>
        <v>TOC</v>
      </c>
      <c r="O21" s="28">
        <f>(E21-((G21^3*standards!$B$25+G21^2*standards!$B$26+G21*standards!$B$27+standards!$B$28)+(A21^3*standards!$C$25+standards!$C$26*A21^2+standards!$C$27*A21+standards!$C$28)))*standards!$R$27+standards!$R$26</f>
        <v>-24.956317201109126</v>
      </c>
      <c r="P21" s="28">
        <f>(H21-((J21^3*standards!$B$31+J21^2*standards!$B$32+J21*standards!$B$33+standards!$B$34)+(A21^3*standards!$C$31+standards!$C$32*A21^2+standards!$C$33*A21+standards!$C$34)))*standards!$S$27+standards!$S$26</f>
        <v>5.1056671113489482</v>
      </c>
      <c r="Q21" s="29">
        <f>((F21*standards!$R$31+standards!$R$30)*F21)/D21</f>
        <v>0.50110519080932092</v>
      </c>
      <c r="R21" s="34">
        <f>((I21*standards!$S$31+standards!$S$30)*I21)/D21</f>
        <v>0.14032440789068468</v>
      </c>
      <c r="S21" s="29">
        <f t="shared" si="2"/>
        <v>3.5710479619460869</v>
      </c>
      <c r="T21" s="30">
        <f t="shared" si="3"/>
        <v>8.8925233644859798</v>
      </c>
      <c r="U21" s="30">
        <f t="shared" si="4"/>
        <v>22.355864811133202</v>
      </c>
    </row>
    <row r="22" spans="1:21" x14ac:dyDescent="0.2">
      <c r="A22" s="1">
        <v>32</v>
      </c>
      <c r="B22" s="1" t="s">
        <v>83</v>
      </c>
      <c r="C22" t="s">
        <v>69</v>
      </c>
      <c r="D22" s="1">
        <v>12.215999999999999</v>
      </c>
      <c r="E22" s="1">
        <v>-26.712</v>
      </c>
      <c r="F22" s="1">
        <v>206.43199999999999</v>
      </c>
      <c r="G22" s="1">
        <v>6439</v>
      </c>
      <c r="H22" s="1">
        <v>3.202</v>
      </c>
      <c r="I22" s="1">
        <v>21.484000000000002</v>
      </c>
      <c r="J22" s="1">
        <v>925</v>
      </c>
      <c r="M22" s="27" t="str">
        <f t="shared" si="0"/>
        <v>193</v>
      </c>
      <c r="N22" s="27" t="str">
        <f t="shared" si="1"/>
        <v>TOC</v>
      </c>
      <c r="O22" s="28">
        <f>(E22-((G22^3*standards!$B$25+G22^2*standards!$B$26+G22*standards!$B$27+standards!$B$28)+(A22^3*standards!$C$25+standards!$C$26*A22^2+standards!$C$27*A22+standards!$C$28)))*standards!$R$27+standards!$R$26</f>
        <v>-25.388780759969077</v>
      </c>
      <c r="P22" s="28">
        <f>(H22-((J22^3*standards!$B$31+J22^2*standards!$B$32+J22*standards!$B$33+standards!$B$34)+(A22^3*standards!$C$31+standards!$C$32*A22^2+standards!$C$33*A22+standards!$C$34)))*standards!$S$27+standards!$S$26</f>
        <v>4.8447907854347179</v>
      </c>
      <c r="Q22" s="29">
        <f>((F22*standards!$R$31+standards!$R$30)*F22)/D22</f>
        <v>0.43296038808138321</v>
      </c>
      <c r="R22" s="34">
        <f>((I22*standards!$S$31+standards!$S$30)*I22)/D22</f>
        <v>0.12192140609122638</v>
      </c>
      <c r="S22" s="29">
        <f t="shared" si="2"/>
        <v>3.5511433304617999</v>
      </c>
      <c r="T22" s="30">
        <f t="shared" si="3"/>
        <v>10.434539524770926</v>
      </c>
      <c r="U22" s="30">
        <f t="shared" si="4"/>
        <v>26.412972972972973</v>
      </c>
    </row>
    <row r="23" spans="1:21" x14ac:dyDescent="0.2">
      <c r="A23" s="1">
        <v>33</v>
      </c>
      <c r="B23" s="1" t="s">
        <v>65</v>
      </c>
      <c r="D23" s="1">
        <v>0.23200000000000001</v>
      </c>
      <c r="E23" s="1">
        <v>-15.477</v>
      </c>
      <c r="F23" s="1">
        <v>393.91300000000001</v>
      </c>
      <c r="G23" s="1">
        <v>12479</v>
      </c>
      <c r="H23" s="1">
        <v>-1.179</v>
      </c>
      <c r="I23" s="1">
        <v>4.3499999999999996</v>
      </c>
      <c r="J23" s="1">
        <v>184</v>
      </c>
      <c r="M23" s="27" t="str">
        <f t="shared" si="0"/>
        <v>Sorghum</v>
      </c>
      <c r="N23" s="27">
        <f t="shared" si="1"/>
        <v>0</v>
      </c>
      <c r="O23" s="28">
        <f>(E23-((G23^3*standards!$B$25+G23^2*standards!$B$26+G23*standards!$B$27+standards!$B$28)+(A23^3*standards!$C$25+standards!$C$26*A23^2+standards!$C$27*A23+standards!$C$28)))*standards!$R$27+standards!$R$26</f>
        <v>-13.807927171434713</v>
      </c>
      <c r="P23" s="28">
        <f>(H23-((J23^3*standards!$B$31+J23^2*standards!$B$32+J23*standards!$B$33+standards!$B$34)+(A23^3*standards!$C$31+standards!$C$32*A23^2+standards!$C$33*A23+standards!$C$34)))*standards!$S$27+standards!$S$26</f>
        <v>1.4931802756686117</v>
      </c>
      <c r="Q23" s="29">
        <f>((F23*standards!$R$31+standards!$R$30)*F23)/D23</f>
        <v>43.373378276575032</v>
      </c>
      <c r="R23" s="34">
        <f>((I23*standards!$S$31+standards!$S$30)*I23)/D23</f>
        <v>1.3690188749274421</v>
      </c>
      <c r="S23" s="29">
        <f t="shared" si="2"/>
        <v>31.682089320261429</v>
      </c>
      <c r="T23" s="30">
        <f t="shared" si="3"/>
        <v>0.10225178299543233</v>
      </c>
      <c r="U23" s="30">
        <f t="shared" si="4"/>
        <v>2.5217391304347827</v>
      </c>
    </row>
    <row r="24" spans="1:21" x14ac:dyDescent="0.2">
      <c r="A24" s="1">
        <v>34</v>
      </c>
      <c r="B24" s="1" t="s">
        <v>66</v>
      </c>
      <c r="D24" s="1">
        <v>6.9530000000000003</v>
      </c>
      <c r="E24" s="1">
        <v>-27.983000000000001</v>
      </c>
      <c r="F24" s="1">
        <v>278.12400000000002</v>
      </c>
      <c r="G24" s="1">
        <v>8739</v>
      </c>
      <c r="H24">
        <v>6.351</v>
      </c>
      <c r="I24">
        <v>10.801</v>
      </c>
      <c r="J24">
        <v>460</v>
      </c>
      <c r="M24" s="27" t="str">
        <f t="shared" si="0"/>
        <v>LOC</v>
      </c>
      <c r="N24" s="27">
        <f t="shared" si="1"/>
        <v>0</v>
      </c>
      <c r="O24" s="28">
        <f>(E24-((G24^3*standards!$B$25+G24^2*standards!$B$26+G24*standards!$B$27+standards!$B$28)+(A24^3*standards!$C$25+standards!$C$26*A24^2+standards!$C$27*A24+standards!$C$28)))*standards!$R$27+standards!$R$26</f>
        <v>-26.542963392738798</v>
      </c>
      <c r="P24" s="28">
        <f>(H24-((J24^3*standards!$B$31+J24^2*standards!$B$32+J24*standards!$B$33+standards!$B$34)+(A24^3*standards!$C$31+standards!$C$32*A24^2+standards!$C$33*A24+standards!$C$34)))*standards!$S$27+standards!$S$26</f>
        <v>7.253880375768766</v>
      </c>
      <c r="Q24" s="29">
        <f>((F24*standards!$R$31+standards!$R$30)*F24)/D24</f>
        <v>1.0237027131365299</v>
      </c>
      <c r="R24" s="34">
        <f>((I24*standards!$S$31+standards!$S$30)*I24)/D24</f>
        <v>0.11126526142495141</v>
      </c>
      <c r="S24" s="29">
        <f t="shared" si="2"/>
        <v>9.2005599953316874</v>
      </c>
      <c r="T24" s="30">
        <f t="shared" si="3"/>
        <v>4.3759583476370292</v>
      </c>
      <c r="U24" s="30">
        <f t="shared" si="4"/>
        <v>30.230434782608697</v>
      </c>
    </row>
    <row r="25" spans="1:21" x14ac:dyDescent="0.2">
      <c r="A25" s="1">
        <v>35</v>
      </c>
      <c r="B25" s="1" t="s">
        <v>67</v>
      </c>
      <c r="D25" s="1">
        <v>0.49299999999999999</v>
      </c>
      <c r="E25" s="1">
        <v>-29.172999999999998</v>
      </c>
      <c r="F25" s="1">
        <v>114.617</v>
      </c>
      <c r="G25" s="1">
        <v>3596</v>
      </c>
      <c r="H25">
        <v>2.5569999999999999</v>
      </c>
      <c r="I25">
        <v>3.4750000000000001</v>
      </c>
      <c r="J25">
        <v>144</v>
      </c>
      <c r="M25" s="27" t="str">
        <f t="shared" si="0"/>
        <v>HOC</v>
      </c>
      <c r="N25" s="27">
        <f t="shared" si="1"/>
        <v>0</v>
      </c>
      <c r="O25" s="28">
        <f>(E25-((G25^3*standards!$B$25+G25^2*standards!$B$26+G25*standards!$B$27+standards!$B$28)+(A25^3*standards!$C$25+standards!$C$26*A25^2+standards!$C$27*A25+standards!$C$28)))*standards!$R$27+standards!$R$26</f>
        <v>-28.051504960306801</v>
      </c>
      <c r="P25" s="28">
        <f>(H25-((J25^3*standards!$B$31+J25^2*standards!$B$32+J25*standards!$B$33+standards!$B$34)+(A25^3*standards!$C$31+standards!$C$32*A25^2+standards!$C$33*A25+standards!$C$34)))*standards!$S$27+standards!$S$26</f>
        <v>4.3513443625177723</v>
      </c>
      <c r="Q25" s="29">
        <f>((F25*standards!$R$31+standards!$R$30)*F25)/D25</f>
        <v>5.9652997966121077</v>
      </c>
      <c r="R25" s="34">
        <f>((I25*standards!$S$31+standards!$S$30)*I25)/D25</f>
        <v>0.51598262659410354</v>
      </c>
      <c r="S25" s="29">
        <f t="shared" si="2"/>
        <v>11.56104777400712</v>
      </c>
      <c r="T25" s="30">
        <f t="shared" si="3"/>
        <v>0.75403225806451613</v>
      </c>
      <c r="U25" s="30">
        <f t="shared" si="4"/>
        <v>6.8472222222222223</v>
      </c>
    </row>
    <row r="26" spans="1:21" x14ac:dyDescent="0.2">
      <c r="A26" s="1">
        <v>36</v>
      </c>
      <c r="B26" s="1" t="s">
        <v>67</v>
      </c>
      <c r="D26" s="1">
        <v>0.96199999999999997</v>
      </c>
      <c r="E26" s="1">
        <v>-29.263999999999999</v>
      </c>
      <c r="F26" s="1">
        <v>217.36199999999999</v>
      </c>
      <c r="G26" s="1">
        <v>6883</v>
      </c>
      <c r="H26">
        <v>4.0650000000000004</v>
      </c>
      <c r="I26">
        <v>7.0529999999999999</v>
      </c>
      <c r="J26">
        <v>305</v>
      </c>
      <c r="M26" s="27" t="str">
        <f t="shared" si="0"/>
        <v>HOC</v>
      </c>
      <c r="N26" s="27">
        <f t="shared" si="1"/>
        <v>0</v>
      </c>
      <c r="O26" s="28">
        <f>(E26-((G26^3*standards!$B$25+G26^2*standards!$B$26+G26*standards!$B$27+standards!$B$28)+(A26^3*standards!$C$25+standards!$C$26*A26^2+standards!$C$27*A26+standards!$C$28)))*standards!$R$27+standards!$R$26</f>
        <v>-27.930547865723558</v>
      </c>
      <c r="P26" s="28">
        <f>(H26-((J26^3*standards!$B$31+J26^2*standards!$B$32+J26*standards!$B$33+standards!$B$34)+(A26^3*standards!$C$31+standards!$C$32*A26^2+standards!$C$33*A26+standards!$C$34)))*standards!$S$27+standards!$S$26</f>
        <v>5.5050144489654524</v>
      </c>
      <c r="Q26" s="29">
        <f>((F26*standards!$R$31+standards!$R$30)*F26)/D26</f>
        <v>5.7880684746452902</v>
      </c>
      <c r="R26" s="34">
        <f>((I26*standards!$S$31+standards!$S$30)*I26)/D26</f>
        <v>0.53104560862759342</v>
      </c>
      <c r="S26" s="29">
        <f t="shared" si="2"/>
        <v>10.899381108910161</v>
      </c>
      <c r="T26" s="30">
        <f t="shared" si="3"/>
        <v>0.76870550631991863</v>
      </c>
      <c r="U26" s="30">
        <f t="shared" si="4"/>
        <v>6.3081967213114751</v>
      </c>
    </row>
    <row r="27" spans="1:21" x14ac:dyDescent="0.2">
      <c r="A27" s="1">
        <v>37</v>
      </c>
      <c r="B27" s="1" t="s">
        <v>67</v>
      </c>
      <c r="D27" s="1">
        <v>2.4220000000000002</v>
      </c>
      <c r="E27" s="1">
        <v>-29.722999999999999</v>
      </c>
      <c r="F27" s="1">
        <v>553.29600000000005</v>
      </c>
      <c r="G27" s="1">
        <v>17358</v>
      </c>
      <c r="H27" s="1">
        <v>4.2460000000000004</v>
      </c>
      <c r="I27" s="1">
        <v>17.007000000000001</v>
      </c>
      <c r="J27" s="1">
        <v>739</v>
      </c>
      <c r="M27" s="27" t="str">
        <f t="shared" si="0"/>
        <v>HOC</v>
      </c>
      <c r="N27" s="27">
        <f t="shared" si="1"/>
        <v>0</v>
      </c>
      <c r="O27" s="28">
        <f>(E27-((G27^3*standards!$B$25+G27^2*standards!$B$26+G27*standards!$B$27+standards!$B$28)+(A27^3*standards!$C$25+standards!$C$26*A27^2+standards!$C$27*A27+standards!$C$28)))*standards!$R$27+standards!$R$26</f>
        <v>-28.036387841448985</v>
      </c>
      <c r="P27" s="28">
        <f>(H27-((J27^3*standards!$B$31+J27^2*standards!$B$32+J27*standards!$B$33+standards!$B$34)+(A27^3*standards!$C$31+standards!$C$32*A27^2+standards!$C$33*A27+standards!$C$34)))*standards!$S$27+standards!$S$26</f>
        <v>5.643485460667728</v>
      </c>
      <c r="Q27" s="29">
        <f>((F27*standards!$R$31+standards!$R$30)*F27)/D27</f>
        <v>5.8209687651100284</v>
      </c>
      <c r="R27" s="34">
        <f>((I27*standards!$S$31+standards!$S$30)*I27)/D27</f>
        <v>0.49356439849982708</v>
      </c>
      <c r="S27" s="29">
        <f t="shared" si="2"/>
        <v>11.793737114756805</v>
      </c>
      <c r="T27" s="30">
        <f t="shared" si="3"/>
        <v>0.76742712294043092</v>
      </c>
      <c r="U27" s="30">
        <f t="shared" si="4"/>
        <v>6.5548037889039241</v>
      </c>
    </row>
    <row r="28" spans="1:21" x14ac:dyDescent="0.2">
      <c r="A28" s="1">
        <v>38</v>
      </c>
      <c r="B28" s="1" t="s">
        <v>67</v>
      </c>
      <c r="D28" s="1">
        <v>4.0910000000000002</v>
      </c>
      <c r="E28" s="1">
        <v>-29.506</v>
      </c>
      <c r="F28" s="1">
        <v>936.12900000000002</v>
      </c>
      <c r="G28" s="1">
        <v>28967</v>
      </c>
      <c r="H28" s="1">
        <v>4.5030000000000001</v>
      </c>
      <c r="I28" s="1">
        <v>28.183</v>
      </c>
      <c r="J28" s="1">
        <v>1219</v>
      </c>
      <c r="M28" s="27" t="str">
        <f t="shared" si="0"/>
        <v>HOC</v>
      </c>
      <c r="N28" s="27">
        <f t="shared" si="1"/>
        <v>0</v>
      </c>
      <c r="O28" s="28">
        <f>(E28-((G28^3*standards!$B$25+G28^2*standards!$B$26+G28*standards!$B$27+standards!$B$28)+(A28^3*standards!$C$25+standards!$C$26*A28^2+standards!$C$27*A28+standards!$C$28)))*standards!$R$27+standards!$R$26</f>
        <v>-27.994893578544055</v>
      </c>
      <c r="P28" s="28">
        <f>(H28-((J28^3*standards!$B$31+J28^2*standards!$B$32+J28*standards!$B$33+standards!$B$34)+(A28^3*standards!$C$31+standards!$C$32*A28^2+standards!$C$33*A28+standards!$C$34)))*standards!$S$27+standards!$S$26</f>
        <v>5.8400989966206804</v>
      </c>
      <c r="Q28" s="29">
        <f>((F28*standards!$R$31+standards!$R$30)*F28)/D28</f>
        <v>5.7951783783143886</v>
      </c>
      <c r="R28" s="34">
        <f>((I28*standards!$S$31+standards!$S$30)*I28)/D28</f>
        <v>0.46765064739063777</v>
      </c>
      <c r="S28" s="29">
        <f t="shared" si="2"/>
        <v>12.392110244367014</v>
      </c>
      <c r="T28" s="30">
        <f t="shared" si="3"/>
        <v>0.77676321331169951</v>
      </c>
      <c r="U28" s="30">
        <f t="shared" si="4"/>
        <v>6.7120590648072191</v>
      </c>
    </row>
    <row r="29" spans="1:21" x14ac:dyDescent="0.2">
      <c r="A29" s="1">
        <v>39</v>
      </c>
      <c r="B29" s="1" t="s">
        <v>84</v>
      </c>
      <c r="C29" t="s">
        <v>69</v>
      </c>
      <c r="D29" s="1">
        <v>13.09</v>
      </c>
      <c r="E29" s="1">
        <v>-26.445</v>
      </c>
      <c r="F29" s="1">
        <v>266.322</v>
      </c>
      <c r="G29" s="1">
        <v>8101</v>
      </c>
      <c r="H29" s="1">
        <v>3.4580000000000002</v>
      </c>
      <c r="I29" s="1">
        <v>26.94</v>
      </c>
      <c r="J29" s="1">
        <v>1118</v>
      </c>
      <c r="M29" s="27" t="str">
        <f t="shared" si="0"/>
        <v>195</v>
      </c>
      <c r="N29" s="27" t="str">
        <f t="shared" si="1"/>
        <v>TOC</v>
      </c>
      <c r="O29" s="28">
        <f>(E29-((G29^3*standards!$B$25+G29^2*standards!$B$26+G29*standards!$B$27+standards!$B$28)+(A29^3*standards!$C$25+standards!$C$26*A29^2+standards!$C$27*A29+standards!$C$28)))*standards!$R$27+standards!$R$26</f>
        <v>-25.027730125397795</v>
      </c>
      <c r="P29" s="28">
        <f>(H29-((J29^3*standards!$B$31+J29^2*standards!$B$32+J29*standards!$B$33+standards!$B$34)+(A29^3*standards!$C$31+standards!$C$32*A29^2+standards!$C$33*A29+standards!$C$34)))*standards!$S$27+standards!$S$26</f>
        <v>5.0406392881738462</v>
      </c>
      <c r="Q29" s="29">
        <f>((F29*standards!$R$31+standards!$R$30)*F29)/D29</f>
        <v>0.52078220554931165</v>
      </c>
      <c r="R29" s="34">
        <f>((I29*standards!$S$31+standards!$S$30)*I29)/D29</f>
        <v>0.14025888786296925</v>
      </c>
      <c r="S29" s="29">
        <f t="shared" si="2"/>
        <v>3.7130068082252854</v>
      </c>
      <c r="T29" s="30">
        <f t="shared" si="3"/>
        <v>8.8871744229107517</v>
      </c>
      <c r="U29" s="30">
        <f t="shared" si="4"/>
        <v>23.416815742397137</v>
      </c>
    </row>
    <row r="30" spans="1:21" x14ac:dyDescent="0.2">
      <c r="A30" s="1">
        <v>40</v>
      </c>
      <c r="B30" s="1" t="s">
        <v>85</v>
      </c>
      <c r="C30" t="s">
        <v>69</v>
      </c>
      <c r="D30" s="1">
        <v>9.4499999999999993</v>
      </c>
      <c r="E30" s="1">
        <v>-25.052</v>
      </c>
      <c r="F30" s="1">
        <v>271.42099999999999</v>
      </c>
      <c r="G30" s="1">
        <v>8505</v>
      </c>
      <c r="H30" s="1">
        <v>3.294</v>
      </c>
      <c r="I30" s="1">
        <v>19.103999999999999</v>
      </c>
      <c r="J30" s="1">
        <v>818</v>
      </c>
      <c r="M30" s="27" t="str">
        <f t="shared" si="0"/>
        <v>149</v>
      </c>
      <c r="N30" s="27" t="str">
        <f t="shared" si="1"/>
        <v>TOC</v>
      </c>
      <c r="O30" s="28">
        <f>(E30-((G30^3*standards!$B$25+G30^2*standards!$B$26+G30*standards!$B$27+standards!$B$28)+(A30^3*standards!$C$25+standards!$C$26*A30^2+standards!$C$27*A30+standards!$C$28)))*standards!$R$27+standards!$R$26</f>
        <v>-23.605578647973747</v>
      </c>
      <c r="P30" s="28">
        <f>(H30-((J30^3*standards!$B$31+J30^2*standards!$B$32+J30*standards!$B$33+standards!$B$34)+(A30^3*standards!$C$31+standards!$C$32*A30^2+standards!$C$33*A30+standards!$C$34)))*standards!$S$27+standards!$S$26</f>
        <v>4.9151738411065917</v>
      </c>
      <c r="Q30" s="29">
        <f>((F30*standards!$R$31+standards!$R$30)*F30)/D30</f>
        <v>0.7351320044149785</v>
      </c>
      <c r="R30" s="34">
        <f>((I30*standards!$S$31+standards!$S$30)*I30)/D30</f>
        <v>0.14118364048151677</v>
      </c>
      <c r="S30" s="29">
        <f t="shared" si="2"/>
        <v>5.2069205887293943</v>
      </c>
      <c r="T30" s="30">
        <f t="shared" si="3"/>
        <v>6.1111111111111098</v>
      </c>
      <c r="U30" s="30">
        <f t="shared" si="4"/>
        <v>23.105134474327627</v>
      </c>
    </row>
    <row r="31" spans="1:21" x14ac:dyDescent="0.2">
      <c r="A31" s="1">
        <v>41</v>
      </c>
      <c r="B31" s="1">
        <v>147</v>
      </c>
      <c r="C31" t="s">
        <v>69</v>
      </c>
      <c r="D31" s="1">
        <v>9.0950000000000006</v>
      </c>
      <c r="E31" s="1">
        <v>-25.388000000000002</v>
      </c>
      <c r="F31" s="1">
        <v>241.21299999999999</v>
      </c>
      <c r="G31" s="1">
        <v>7554</v>
      </c>
      <c r="H31" s="1">
        <v>3.0539999999999998</v>
      </c>
      <c r="I31" s="1">
        <v>17.888999999999999</v>
      </c>
      <c r="J31" s="1">
        <v>768</v>
      </c>
      <c r="M31" s="27">
        <f t="shared" si="0"/>
        <v>147</v>
      </c>
      <c r="N31" s="27" t="str">
        <f t="shared" si="1"/>
        <v>TOC</v>
      </c>
      <c r="O31" s="28">
        <f>(E31-((G31^3*standards!$B$25+G31^2*standards!$B$26+G31*standards!$B$27+standards!$B$28)+(A31^3*standards!$C$25+standards!$C$26*A31^2+standards!$C$27*A31+standards!$C$28)))*standards!$R$27+standards!$R$26</f>
        <v>-23.993299590406028</v>
      </c>
      <c r="P31" s="28">
        <f>(H31-((J31^3*standards!$B$31+J31^2*standards!$B$32+J31*standards!$B$33+standards!$B$34)+(A31^3*standards!$C$31+standards!$C$32*A31^2+standards!$C$33*A31+standards!$C$34)))*standards!$S$27+standards!$S$26</f>
        <v>4.7315658697886587</v>
      </c>
      <c r="Q31" s="29">
        <f>((F31*standards!$R$31+standards!$R$30)*F31)/D31</f>
        <v>0.67913996177108282</v>
      </c>
      <c r="R31" s="34">
        <f>((I31*standards!$S$31+standards!$S$30)*I31)/D31</f>
        <v>0.13787921746221565</v>
      </c>
      <c r="S31" s="29">
        <f t="shared" si="2"/>
        <v>4.925615145423885</v>
      </c>
      <c r="T31" s="30">
        <f t="shared" si="3"/>
        <v>6.6219883505427584</v>
      </c>
      <c r="U31" s="30">
        <f t="shared" si="4"/>
        <v>23.684895833333332</v>
      </c>
    </row>
    <row r="32" spans="1:21" x14ac:dyDescent="0.2">
      <c r="A32" s="1">
        <v>42</v>
      </c>
      <c r="B32" s="1" t="s">
        <v>86</v>
      </c>
      <c r="C32" t="s">
        <v>69</v>
      </c>
      <c r="D32" s="1">
        <v>10.010999999999999</v>
      </c>
      <c r="E32" s="1">
        <v>-26.741</v>
      </c>
      <c r="F32" s="1">
        <v>272.12</v>
      </c>
      <c r="G32" s="1">
        <v>8593</v>
      </c>
      <c r="H32" s="1">
        <v>3.0249999999999999</v>
      </c>
      <c r="I32" s="1">
        <v>19.870999999999999</v>
      </c>
      <c r="J32" s="1">
        <v>864</v>
      </c>
      <c r="M32" s="27" t="str">
        <f t="shared" si="0"/>
        <v>143</v>
      </c>
      <c r="N32" s="27" t="str">
        <f t="shared" si="1"/>
        <v>TOC</v>
      </c>
      <c r="O32" s="28">
        <f>(E32-((G32^3*standards!$B$25+G32^2*standards!$B$26+G32*standards!$B$27+standards!$B$28)+(A32^3*standards!$C$25+standards!$C$26*A32^2+standards!$C$27*A32+standards!$C$28)))*standards!$R$27+standards!$R$26</f>
        <v>-25.300551599516961</v>
      </c>
      <c r="P32" s="28">
        <f>(H32-((J32^3*standards!$B$31+J32^2*standards!$B$32+J32*standards!$B$33+standards!$B$34)+(A32^3*standards!$C$31+standards!$C$32*A32^2+standards!$C$33*A32+standards!$C$34)))*standards!$S$27+standards!$S$26</f>
        <v>4.709379906587742</v>
      </c>
      <c r="Q32" s="29">
        <f>((F32*standards!$R$31+standards!$R$30)*F32)/D32</f>
        <v>0.69571583604509646</v>
      </c>
      <c r="R32" s="34">
        <f>((I32*standards!$S$31+standards!$S$30)*I32)/D32</f>
        <v>0.13829487316616157</v>
      </c>
      <c r="S32" s="29">
        <f t="shared" si="2"/>
        <v>5.0306697574333974</v>
      </c>
      <c r="T32" s="30">
        <f t="shared" si="3"/>
        <v>6.4075992086582092</v>
      </c>
      <c r="U32" s="30">
        <f t="shared" si="4"/>
        <v>23.173611111111111</v>
      </c>
    </row>
    <row r="33" spans="1:21" x14ac:dyDescent="0.2">
      <c r="A33" s="1">
        <v>43</v>
      </c>
      <c r="B33" s="1" t="s">
        <v>87</v>
      </c>
      <c r="C33" t="s">
        <v>69</v>
      </c>
      <c r="D33" s="1">
        <v>9.2560000000000002</v>
      </c>
      <c r="E33" s="1">
        <v>-27.035</v>
      </c>
      <c r="F33" s="1">
        <v>230.03700000000001</v>
      </c>
      <c r="G33" s="1">
        <v>7269</v>
      </c>
      <c r="H33" s="1">
        <v>3.298</v>
      </c>
      <c r="I33" s="1">
        <v>18.707999999999998</v>
      </c>
      <c r="J33" s="1">
        <v>816</v>
      </c>
      <c r="M33" s="27" t="str">
        <f t="shared" si="0"/>
        <v>148</v>
      </c>
      <c r="N33" s="27" t="str">
        <f t="shared" si="1"/>
        <v>TOC</v>
      </c>
      <c r="O33" s="28">
        <f>(E33-((G33^3*standards!$B$25+G33^2*standards!$B$26+G33*standards!$B$27+standards!$B$28)+(A33^3*standards!$C$25+standards!$C$26*A33^2+standards!$C$27*A33+standards!$C$28)))*standards!$R$27+standards!$R$26</f>
        <v>-25.666073328386005</v>
      </c>
      <c r="P33" s="28">
        <f>(H33-((J33^3*standards!$B$31+J33^2*standards!$B$32+J33*standards!$B$33+standards!$B$34)+(A33^3*standards!$C$31+standards!$C$32*A33^2+standards!$C$33*A33+standards!$C$34)))*standards!$S$27+standards!$S$26</f>
        <v>4.9182339739618914</v>
      </c>
      <c r="Q33" s="29">
        <f>((F33*standards!$R$31+standards!$R$30)*F33)/D33</f>
        <v>0.63652051230470119</v>
      </c>
      <c r="R33" s="34">
        <f>((I33*standards!$S$31+standards!$S$30)*I33)/D33</f>
        <v>0.14132718948602724</v>
      </c>
      <c r="S33" s="29">
        <f t="shared" si="2"/>
        <v>4.503878656467819</v>
      </c>
      <c r="T33" s="30">
        <f t="shared" si="3"/>
        <v>7.003439262622094</v>
      </c>
      <c r="U33" s="30">
        <f t="shared" si="4"/>
        <v>22.686274509803923</v>
      </c>
    </row>
    <row r="34" spans="1:21" x14ac:dyDescent="0.2">
      <c r="A34" s="1">
        <v>44</v>
      </c>
      <c r="B34" s="1" t="s">
        <v>88</v>
      </c>
      <c r="C34" t="s">
        <v>69</v>
      </c>
      <c r="D34" s="1">
        <v>8.4730000000000008</v>
      </c>
      <c r="E34" s="1">
        <v>-33.405000000000001</v>
      </c>
      <c r="F34" s="1">
        <v>195.214</v>
      </c>
      <c r="G34" s="1">
        <v>5857</v>
      </c>
      <c r="H34" s="1">
        <v>2.5329999999999999</v>
      </c>
      <c r="I34" s="1">
        <v>14.977</v>
      </c>
      <c r="J34" s="1">
        <v>599</v>
      </c>
      <c r="M34" s="27" t="str">
        <f t="shared" si="0"/>
        <v>150</v>
      </c>
      <c r="N34" s="27" t="str">
        <f t="shared" si="1"/>
        <v>TOC</v>
      </c>
      <c r="O34" s="28">
        <f>(E34-((G34^3*standards!$B$25+G34^2*standards!$B$26+G34*standards!$B$27+standards!$B$28)+(A34^3*standards!$C$25+standards!$C$26*A34^2+standards!$C$27*A34+standards!$C$28)))*standards!$R$27+standards!$R$26</f>
        <v>-32.158123094232465</v>
      </c>
      <c r="P34" s="28">
        <f>(H34-((J34^3*standards!$B$31+J34^2*standards!$B$32+J34*standards!$B$33+standards!$B$34)+(A34^3*standards!$C$31+standards!$C$32*A34^2+standards!$C$33*A34+standards!$C$34)))*standards!$S$27+standards!$S$26</f>
        <v>4.3329835653859785</v>
      </c>
      <c r="Q34" s="29">
        <f>((F34*standards!$R$31+standards!$R$30)*F34)/D34</f>
        <v>0.59040624610983539</v>
      </c>
      <c r="R34" s="34">
        <f>((I34*standards!$S$31+standards!$S$30)*I34)/D34</f>
        <v>0.12501720235064551</v>
      </c>
      <c r="S34" s="29">
        <f t="shared" si="2"/>
        <v>4.7226000503024927</v>
      </c>
      <c r="T34" s="30">
        <f t="shared" si="3"/>
        <v>7.9565477206761157</v>
      </c>
      <c r="U34" s="30">
        <f t="shared" si="4"/>
        <v>28.290484140233723</v>
      </c>
    </row>
    <row r="35" spans="1:21" x14ac:dyDescent="0.2">
      <c r="A35" s="1">
        <v>45</v>
      </c>
      <c r="B35" s="1" t="s">
        <v>89</v>
      </c>
      <c r="C35" t="s">
        <v>69</v>
      </c>
      <c r="D35" s="1">
        <v>8.6029999999999998</v>
      </c>
      <c r="E35" s="1">
        <v>-27.416</v>
      </c>
      <c r="F35" s="1">
        <v>221.81399999999999</v>
      </c>
      <c r="G35" s="1">
        <v>6665</v>
      </c>
      <c r="H35" s="1">
        <v>2.0710000000000002</v>
      </c>
      <c r="I35" s="1">
        <v>14.513</v>
      </c>
      <c r="J35" s="1">
        <v>569</v>
      </c>
      <c r="M35" s="27" t="str">
        <f t="shared" si="0"/>
        <v>141</v>
      </c>
      <c r="N35" s="27" t="str">
        <f t="shared" si="1"/>
        <v>TOC</v>
      </c>
      <c r="O35" s="28">
        <f>(E35-((G35^3*standards!$B$25+G35^2*standards!$B$26+G35*standards!$B$27+standards!$B$28)+(A35^3*standards!$C$25+standards!$C$26*A35^2+standards!$C$27*A35+standards!$C$28)))*standards!$R$27+standards!$R$26</f>
        <v>-26.083811233215808</v>
      </c>
      <c r="P35" s="28">
        <f>(H35-((J35^3*standards!$B$31+J35^2*standards!$B$32+J35*standards!$B$33+standards!$B$34)+(A35^3*standards!$C$31+standards!$C$32*A35^2+standards!$C$33*A35+standards!$C$34)))*standards!$S$27+standards!$S$26</f>
        <v>3.9795382205989576</v>
      </c>
      <c r="Q35" s="29">
        <f>((F35*standards!$R$31+standards!$R$30)*F35)/D35</f>
        <v>0.6604402994092845</v>
      </c>
      <c r="R35" s="34">
        <f>((I35*standards!$S$31+standards!$S$30)*I35)/D35</f>
        <v>0.11948197165557477</v>
      </c>
      <c r="S35" s="29">
        <f t="shared" si="2"/>
        <v>5.527530976079853</v>
      </c>
      <c r="T35" s="30">
        <f t="shared" si="3"/>
        <v>7.0992498124531132</v>
      </c>
      <c r="U35" s="30">
        <f t="shared" si="4"/>
        <v>30.239015817223198</v>
      </c>
    </row>
    <row r="36" spans="1:21" x14ac:dyDescent="0.2">
      <c r="A36" s="1">
        <v>46</v>
      </c>
      <c r="B36" s="1" t="s">
        <v>90</v>
      </c>
      <c r="C36" t="s">
        <v>69</v>
      </c>
      <c r="D36" s="1">
        <v>9.2270000000000003</v>
      </c>
      <c r="E36" s="1">
        <v>-26.326000000000001</v>
      </c>
      <c r="F36" s="1">
        <v>208.203</v>
      </c>
      <c r="G36" s="1">
        <v>6649</v>
      </c>
      <c r="H36" s="1">
        <v>3.2570000000000001</v>
      </c>
      <c r="I36" s="1">
        <v>18.690999999999999</v>
      </c>
      <c r="J36" s="1">
        <v>833</v>
      </c>
      <c r="M36" s="27" t="str">
        <f t="shared" si="0"/>
        <v>165</v>
      </c>
      <c r="N36" s="27" t="str">
        <f t="shared" si="1"/>
        <v>TOC</v>
      </c>
      <c r="O36" s="28">
        <f>(E36-((G36^3*standards!$B$25+G36^2*standards!$B$26+G36*standards!$B$27+standards!$B$28)+(A36^3*standards!$C$25+standards!$C$26*A36^2+standards!$C$27*A36+standards!$C$28)))*standards!$R$27+standards!$R$26</f>
        <v>-24.988055939189778</v>
      </c>
      <c r="P36" s="28">
        <f>(H36-((J36^3*standards!$B$31+J36^2*standards!$B$32+J36*standards!$B$33+standards!$B$34)+(A36^3*standards!$C$31+standards!$C$32*A36^2+standards!$C$33*A36+standards!$C$34)))*standards!$S$27+standards!$S$26</f>
        <v>4.8868676121950774</v>
      </c>
      <c r="Q36" s="29">
        <f>((F36*standards!$R$31+standards!$R$30)*F36)/D36</f>
        <v>0.57811530854001347</v>
      </c>
      <c r="R36" s="34">
        <f>((I36*standards!$S$31+standards!$S$30)*I36)/D36</f>
        <v>0.14164995955096552</v>
      </c>
      <c r="S36" s="29">
        <f t="shared" si="2"/>
        <v>4.0812952603209753</v>
      </c>
      <c r="T36" s="30">
        <f t="shared" si="3"/>
        <v>7.6325011279891717</v>
      </c>
      <c r="U36" s="30">
        <f t="shared" si="4"/>
        <v>22.153661464585834</v>
      </c>
    </row>
    <row r="37" spans="1:21" x14ac:dyDescent="0.2">
      <c r="A37" s="1">
        <v>47</v>
      </c>
      <c r="B37" s="1" t="s">
        <v>91</v>
      </c>
      <c r="C37" t="s">
        <v>69</v>
      </c>
      <c r="D37" s="1">
        <v>9.1170000000000009</v>
      </c>
      <c r="E37" s="1">
        <v>-24.553000000000001</v>
      </c>
      <c r="F37" s="1">
        <v>225.9</v>
      </c>
      <c r="G37" s="1">
        <v>7192</v>
      </c>
      <c r="H37" s="1">
        <v>3.2069999999999999</v>
      </c>
      <c r="I37" s="1">
        <v>17.763000000000002</v>
      </c>
      <c r="J37" s="1">
        <v>787</v>
      </c>
      <c r="M37" s="27" t="str">
        <f t="shared" si="0"/>
        <v>169</v>
      </c>
      <c r="N37" s="27" t="str">
        <f t="shared" si="1"/>
        <v>TOC</v>
      </c>
      <c r="O37" s="28">
        <f>(E37-((G37^3*standards!$B$25+G37^2*standards!$B$26+G37*standards!$B$27+standards!$B$28)+(A37^3*standards!$C$25+standards!$C$26*A37^2+standards!$C$27*A37+standards!$C$28)))*standards!$R$27+standards!$R$26</f>
        <v>-23.17313781272918</v>
      </c>
      <c r="P37" s="28">
        <f>(H37-((J37^3*standards!$B$31+J37^2*standards!$B$32+J37*standards!$B$33+standards!$B$34)+(A37^3*standards!$C$31+standards!$C$32*A37^2+standards!$C$33*A37+standards!$C$34)))*standards!$S$27+standards!$S$26</f>
        <v>4.8486159515038416</v>
      </c>
      <c r="Q37" s="29">
        <f>((F37*standards!$R$31+standards!$R$30)*F37)/D37</f>
        <v>0.63464483052028375</v>
      </c>
      <c r="R37" s="34">
        <f>((I37*standards!$S$31+standards!$S$30)*I37)/D37</f>
        <v>0.13663055549189634</v>
      </c>
      <c r="S37" s="29">
        <f t="shared" si="2"/>
        <v>4.6449699939771163</v>
      </c>
      <c r="T37" s="30">
        <f t="shared" si="3"/>
        <v>6.972121802002226</v>
      </c>
      <c r="U37" s="30">
        <f t="shared" si="4"/>
        <v>23.168996188055907</v>
      </c>
    </row>
    <row r="38" spans="1:21" x14ac:dyDescent="0.2">
      <c r="A38" s="1">
        <v>48</v>
      </c>
      <c r="B38" s="1" t="s">
        <v>92</v>
      </c>
      <c r="C38" t="s">
        <v>69</v>
      </c>
      <c r="D38" s="1">
        <v>13.417999999999999</v>
      </c>
      <c r="E38" s="1">
        <v>-26.738</v>
      </c>
      <c r="F38" s="1">
        <v>257.36799999999999</v>
      </c>
      <c r="G38" s="1">
        <v>8016</v>
      </c>
      <c r="H38" s="1">
        <v>3.4609999999999999</v>
      </c>
      <c r="I38" s="1">
        <v>25.187000000000001</v>
      </c>
      <c r="J38" s="1">
        <v>1076</v>
      </c>
      <c r="M38" s="27" t="str">
        <f t="shared" si="0"/>
        <v>189</v>
      </c>
      <c r="N38" s="27" t="str">
        <f t="shared" si="1"/>
        <v>TOC</v>
      </c>
      <c r="O38" s="28">
        <f>(E38-((G38^3*standards!$B$25+G38^2*standards!$B$26+G38*standards!$B$27+standards!$B$28)+(A38^3*standards!$C$25+standards!$C$26*A38^2+standards!$C$27*A38+standards!$C$28)))*standards!$R$27+standards!$R$26</f>
        <v>-25.326955610987376</v>
      </c>
      <c r="P38" s="28">
        <f>(H38-((J38^3*standards!$B$31+J38^2*standards!$B$32+J38*standards!$B$33+standards!$B$34)+(A38^3*standards!$C$31+standards!$C$32*A38^2+standards!$C$33*A38+standards!$C$34)))*standards!$S$27+standards!$S$26</f>
        <v>5.0429343878153201</v>
      </c>
      <c r="Q38" s="29">
        <f>((F38*standards!$R$31+standards!$R$30)*F38)/D38</f>
        <v>0.49104018650265746</v>
      </c>
      <c r="R38" s="34">
        <f>((I38*standards!$S$31+standards!$S$30)*I38)/D38</f>
        <v>0.12863508378484159</v>
      </c>
      <c r="S38" s="29">
        <f t="shared" si="2"/>
        <v>3.8173115145163985</v>
      </c>
      <c r="T38" s="30">
        <f t="shared" si="3"/>
        <v>9.2064620758483038</v>
      </c>
      <c r="U38" s="30">
        <f t="shared" si="4"/>
        <v>24.940520446096656</v>
      </c>
    </row>
    <row r="39" spans="1:21" x14ac:dyDescent="0.2">
      <c r="A39" s="1">
        <v>49</v>
      </c>
      <c r="B39" s="1" t="s">
        <v>93</v>
      </c>
      <c r="C39" t="s">
        <v>69</v>
      </c>
      <c r="D39" s="1">
        <v>13.833</v>
      </c>
      <c r="E39" s="1">
        <v>-25.936</v>
      </c>
      <c r="F39" s="1">
        <v>242.43100000000001</v>
      </c>
      <c r="G39" s="1">
        <v>7497</v>
      </c>
      <c r="H39" s="1">
        <v>3.2679999999999998</v>
      </c>
      <c r="I39" s="1">
        <v>25.007000000000001</v>
      </c>
      <c r="J39" s="1">
        <v>1058</v>
      </c>
      <c r="M39" s="27" t="str">
        <f t="shared" si="0"/>
        <v>188</v>
      </c>
      <c r="N39" s="27" t="str">
        <f t="shared" si="1"/>
        <v>TOC</v>
      </c>
      <c r="O39" s="28">
        <f>(E39-((G39^3*standards!$B$25+G39^2*standards!$B$26+G39*standards!$B$27+standards!$B$28)+(A39^3*standards!$C$25+standards!$C$26*A39^2+standards!$C$27*A39+standards!$C$28)))*standards!$R$27+standards!$R$26</f>
        <v>-24.547766788732851</v>
      </c>
      <c r="P39" s="28">
        <f>(H39-((J39^3*standards!$B$31+J39^2*standards!$B$32+J39*standards!$B$33+standards!$B$34)+(A39^3*standards!$C$31+standards!$C$32*A39^2+standards!$C$33*A39+standards!$C$34)))*standards!$S$27+standards!$S$26</f>
        <v>4.8952829775471489</v>
      </c>
      <c r="Q39" s="29">
        <f>((F39*standards!$R$31+standards!$R$30)*F39)/D39</f>
        <v>0.44877089918430768</v>
      </c>
      <c r="R39" s="34">
        <f>((I39*standards!$S$31+standards!$S$30)*I39)/D39</f>
        <v>0.12395427559672567</v>
      </c>
      <c r="S39" s="29">
        <f t="shared" si="2"/>
        <v>3.6204551801371041</v>
      </c>
      <c r="T39" s="30">
        <f t="shared" si="3"/>
        <v>10.148259303721488</v>
      </c>
      <c r="U39" s="30">
        <f t="shared" si="4"/>
        <v>26.149338374291116</v>
      </c>
    </row>
    <row r="40" spans="1:21" x14ac:dyDescent="0.2">
      <c r="A40" s="1">
        <v>50</v>
      </c>
      <c r="B40" s="1" t="s">
        <v>94</v>
      </c>
      <c r="C40" t="s">
        <v>69</v>
      </c>
      <c r="D40" s="1">
        <v>8.7129999999999992</v>
      </c>
      <c r="E40" s="1">
        <v>-26.768999999999998</v>
      </c>
      <c r="F40" s="1">
        <v>186.89</v>
      </c>
      <c r="G40" s="1">
        <v>5953</v>
      </c>
      <c r="H40" s="1">
        <v>2.95</v>
      </c>
      <c r="I40" s="1">
        <v>15.68</v>
      </c>
      <c r="J40" s="1">
        <v>691</v>
      </c>
      <c r="M40" s="27" t="str">
        <f t="shared" si="0"/>
        <v>146</v>
      </c>
      <c r="N40" s="27" t="str">
        <f t="shared" si="1"/>
        <v>TOC</v>
      </c>
      <c r="O40" s="28">
        <f>(E40-((G40^3*standards!$B$25+G40^2*standards!$B$26+G40*standards!$B$27+standards!$B$28)+(A40^3*standards!$C$25+standards!$C$26*A40^2+standards!$C$27*A40+standards!$C$28)))*standards!$R$27+standards!$R$26</f>
        <v>-25.475480091498351</v>
      </c>
      <c r="P40" s="28">
        <f>(H40-((J40^3*standards!$B$31+J40^2*standards!$B$32+J40*standards!$B$33+standards!$B$34)+(A40^3*standards!$C$31+standards!$C$32*A40^2+standards!$C$33*A40+standards!$C$34)))*standards!$S$27+standards!$S$26</f>
        <v>4.6520024155508883</v>
      </c>
      <c r="Q40" s="29">
        <f>((F40*standards!$R$31+standards!$R$30)*F40)/D40</f>
        <v>0.54973410637646858</v>
      </c>
      <c r="R40" s="34">
        <f>((I40*standards!$S$31+standards!$S$30)*I40)/D40</f>
        <v>0.12700773318601871</v>
      </c>
      <c r="S40" s="29">
        <f t="shared" si="2"/>
        <v>4.3283514522010575</v>
      </c>
      <c r="T40" s="30">
        <f t="shared" si="3"/>
        <v>8.0499748026205271</v>
      </c>
      <c r="U40" s="30">
        <f t="shared" si="4"/>
        <v>25.218523878437047</v>
      </c>
    </row>
    <row r="41" spans="1:21" x14ac:dyDescent="0.2">
      <c r="A41" s="1">
        <v>51</v>
      </c>
      <c r="B41" s="1" t="s">
        <v>95</v>
      </c>
      <c r="C41" t="s">
        <v>69</v>
      </c>
      <c r="D41" s="1">
        <v>11.379</v>
      </c>
      <c r="E41" s="1">
        <v>-26.219000000000001</v>
      </c>
      <c r="F41" s="1">
        <v>248.73099999999999</v>
      </c>
      <c r="G41" s="1">
        <v>7949</v>
      </c>
      <c r="H41" s="1">
        <v>3.4980000000000002</v>
      </c>
      <c r="I41" s="1">
        <v>23.664000000000001</v>
      </c>
      <c r="J41" s="1">
        <v>1059</v>
      </c>
      <c r="M41" s="27" t="str">
        <f t="shared" si="0"/>
        <v>164</v>
      </c>
      <c r="N41" s="27" t="str">
        <f t="shared" si="1"/>
        <v>TOC</v>
      </c>
      <c r="O41" s="28">
        <f>(E41-((G41^3*standards!$B$25+G41^2*standards!$B$26+G41*standards!$B$27+standards!$B$28)+(A41^3*standards!$C$25+standards!$C$26*A41^2+standards!$C$27*A41+standards!$C$28)))*standards!$R$27+standards!$R$26</f>
        <v>-24.808283455303659</v>
      </c>
      <c r="P41" s="28">
        <f>(H41-((J41^3*standards!$B$31+J41^2*standards!$B$32+J41*standards!$B$33+standards!$B$34)+(A41^3*standards!$C$31+standards!$C$32*A41^2+standards!$C$33*A41+standards!$C$34)))*standards!$S$27+standards!$S$26</f>
        <v>5.0712406167268362</v>
      </c>
      <c r="Q41" s="29">
        <f>((F41*standards!$R$31+standards!$R$30)*F41)/D41</f>
        <v>0.55967440207533359</v>
      </c>
      <c r="R41" s="34">
        <f>((I41*standards!$S$31+standards!$S$30)*I41)/D41</f>
        <v>0.14319498333073477</v>
      </c>
      <c r="S41" s="29">
        <f t="shared" si="2"/>
        <v>3.9084777207778578</v>
      </c>
      <c r="T41" s="30">
        <f t="shared" si="3"/>
        <v>7.8732544974210592</v>
      </c>
      <c r="U41" s="30">
        <f t="shared" si="4"/>
        <v>21.490084985835693</v>
      </c>
    </row>
    <row r="42" spans="1:21" x14ac:dyDescent="0.2">
      <c r="A42" s="1">
        <v>52</v>
      </c>
      <c r="B42" s="1" t="s">
        <v>96</v>
      </c>
      <c r="C42" t="s">
        <v>69</v>
      </c>
      <c r="D42" s="1">
        <v>12.888</v>
      </c>
      <c r="E42" s="1">
        <v>-26.411999999999999</v>
      </c>
      <c r="F42" s="1">
        <v>249.267</v>
      </c>
      <c r="G42" s="1">
        <v>7856</v>
      </c>
      <c r="H42" s="1">
        <v>2.8140000000000001</v>
      </c>
      <c r="I42" s="1">
        <v>22.311</v>
      </c>
      <c r="J42" s="1">
        <v>978</v>
      </c>
      <c r="M42" s="27" t="str">
        <f t="shared" si="0"/>
        <v>190</v>
      </c>
      <c r="N42" s="27" t="str">
        <f t="shared" si="1"/>
        <v>TOC</v>
      </c>
      <c r="O42" s="28">
        <f>(E42-((G42^3*standards!$B$25+G42^2*standards!$B$26+G42*standards!$B$27+standards!$B$28)+(A42^3*standards!$C$25+standards!$C$26*A42^2+standards!$C$27*A42+standards!$C$28)))*standards!$R$27+standards!$R$26</f>
        <v>-25.007376675580712</v>
      </c>
      <c r="P42" s="28">
        <f>(H42-((J42^3*standards!$B$31+J42^2*standards!$B$32+J42*standards!$B$33+standards!$B$34)+(A42^3*standards!$C$31+standards!$C$32*A42^2+standards!$C$33*A42+standards!$C$34)))*standards!$S$27+standards!$S$26</f>
        <v>4.5479578984707256</v>
      </c>
      <c r="Q42" s="29">
        <f>((F42*standards!$R$31+standards!$R$30)*F42)/D42</f>
        <v>0.49520520636010573</v>
      </c>
      <c r="R42" s="34">
        <f>((I42*standards!$S$31+standards!$S$30)*I42)/D42</f>
        <v>0.11970452469434978</v>
      </c>
      <c r="S42" s="29">
        <f t="shared" si="2"/>
        <v>4.1368963088450412</v>
      </c>
      <c r="T42" s="30">
        <f t="shared" si="3"/>
        <v>9.0229124236252538</v>
      </c>
      <c r="U42" s="30">
        <f t="shared" si="4"/>
        <v>26.355828220858896</v>
      </c>
    </row>
    <row r="43" spans="1:21" x14ac:dyDescent="0.2">
      <c r="A43" s="1">
        <v>53</v>
      </c>
      <c r="B43" s="1" t="s">
        <v>88</v>
      </c>
      <c r="C43" t="s">
        <v>69</v>
      </c>
      <c r="D43" s="1">
        <v>11.016999999999999</v>
      </c>
      <c r="E43" s="1">
        <v>-27.331</v>
      </c>
      <c r="F43" s="1">
        <v>251.93899999999999</v>
      </c>
      <c r="G43" s="1">
        <v>7870</v>
      </c>
      <c r="H43" s="1">
        <v>2.919</v>
      </c>
      <c r="I43" s="1">
        <v>19.132999999999999</v>
      </c>
      <c r="J43" s="1">
        <v>809</v>
      </c>
      <c r="M43" s="27" t="str">
        <f t="shared" si="0"/>
        <v>150</v>
      </c>
      <c r="N43" s="27" t="str">
        <f t="shared" si="1"/>
        <v>TOC</v>
      </c>
      <c r="O43" s="28">
        <f>(E43-((G43^3*standards!$B$25+G43^2*standards!$B$26+G43*standards!$B$27+standards!$B$28)+(A43^3*standards!$C$25+standards!$C$26*A43^2+standards!$C$27*A43+standards!$C$28)))*standards!$R$27+standards!$R$26</f>
        <v>-25.931274573611773</v>
      </c>
      <c r="P43" s="28">
        <f>(H43-((J43^3*standards!$B$31+J43^2*standards!$B$32+J43*standards!$B$33+standards!$B$34)+(A43^3*standards!$C$31+standards!$C$32*A43^2+standards!$C$33*A43+standards!$C$34)))*standards!$S$27+standards!$S$26</f>
        <v>4.6282863859223218</v>
      </c>
      <c r="Q43" s="29">
        <f>((F43*standards!$R$31+standards!$R$30)*F43)/D43</f>
        <v>0.58549020549673703</v>
      </c>
      <c r="R43" s="34">
        <f>((I43*standards!$S$31+standards!$S$30)*I43)/D43</f>
        <v>0.12127541545706412</v>
      </c>
      <c r="S43" s="29">
        <f t="shared" si="2"/>
        <v>4.8277732406863754</v>
      </c>
      <c r="T43" s="30">
        <f t="shared" si="3"/>
        <v>7.6993011435832273</v>
      </c>
      <c r="U43" s="30">
        <f t="shared" si="4"/>
        <v>27.236093943139679</v>
      </c>
    </row>
    <row r="44" spans="1:21" x14ac:dyDescent="0.2">
      <c r="A44">
        <v>54</v>
      </c>
      <c r="B44" t="s">
        <v>97</v>
      </c>
      <c r="C44" t="s">
        <v>69</v>
      </c>
      <c r="D44">
        <v>12.356999999999999</v>
      </c>
      <c r="E44">
        <v>-27.035</v>
      </c>
      <c r="F44">
        <v>238.39699999999999</v>
      </c>
      <c r="G44">
        <v>7455</v>
      </c>
      <c r="H44">
        <v>3.2469999999999999</v>
      </c>
      <c r="I44">
        <v>22.905999999999999</v>
      </c>
      <c r="J44">
        <v>979</v>
      </c>
      <c r="M44" s="27" t="str">
        <f t="shared" ref="M44:M49" si="5">B44</f>
        <v>171</v>
      </c>
      <c r="N44" s="27" t="str">
        <f t="shared" ref="N44:N49" si="6">C44</f>
        <v>TOC</v>
      </c>
      <c r="O44" s="28">
        <f>(E44-((G44^3*standards!$B$25+G44^2*standards!$B$26+G44*standards!$B$27+standards!$B$28)+(A44^3*standards!$C$25+standards!$C$26*A44^2+standards!$C$27*A44+standards!$C$28)))*standards!$R$27+standards!$R$26</f>
        <v>-25.655807437907875</v>
      </c>
      <c r="P44" s="28">
        <f>(H44-((J44^3*standards!$B$31+J44^2*standards!$B$32+J44*standards!$B$33+standards!$B$34)+(A44^3*standards!$C$31+standards!$C$32*A44^2+standards!$C$33*A44+standards!$C$34)))*standards!$S$27+standards!$S$26</f>
        <v>4.8792172800568299</v>
      </c>
      <c r="Q44" s="29">
        <f>((F44*standards!$R$31+standards!$R$30)*F44)/D44</f>
        <v>0.49404711167298138</v>
      </c>
      <c r="R44" s="34">
        <f>((I44*standards!$S$31+standards!$S$30)*I44)/D44</f>
        <v>0.12794048602408786</v>
      </c>
      <c r="S44" s="29">
        <f t="shared" ref="S44:S49" si="7">Q44/R44</f>
        <v>3.8615384936083887</v>
      </c>
      <c r="T44" s="30">
        <f t="shared" ref="T44:T49" si="8">($V$2*D44)/G44</f>
        <v>9.1164989939637824</v>
      </c>
      <c r="U44" s="30">
        <f t="shared" ref="U44:U49" si="9">($V$3*D44)/J44</f>
        <v>25.244126659856995</v>
      </c>
    </row>
    <row r="45" spans="1:21" x14ac:dyDescent="0.2">
      <c r="A45">
        <v>55</v>
      </c>
      <c r="B45" t="s">
        <v>76</v>
      </c>
      <c r="C45" t="s">
        <v>69</v>
      </c>
      <c r="D45">
        <v>0.28199999999999997</v>
      </c>
      <c r="E45">
        <v>-27.451000000000001</v>
      </c>
      <c r="F45">
        <v>161.578</v>
      </c>
      <c r="G45">
        <v>5121</v>
      </c>
      <c r="H45">
        <v>-1.274</v>
      </c>
      <c r="I45">
        <v>3.07</v>
      </c>
      <c r="J45">
        <v>127</v>
      </c>
      <c r="M45" s="27" t="str">
        <f t="shared" si="5"/>
        <v>38.5</v>
      </c>
      <c r="N45" s="27" t="str">
        <f t="shared" si="6"/>
        <v>TOC</v>
      </c>
      <c r="O45" s="28">
        <f>(E45-((G45^3*standards!$B$25+G45^2*standards!$B$26+G45*standards!$B$27+standards!$B$28)+(A45^3*standards!$C$25+standards!$C$26*A45^2+standards!$C$27*A45+standards!$C$28)))*standards!$R$27+standards!$R$26</f>
        <v>-26.214353436110127</v>
      </c>
      <c r="P45" s="28">
        <f>(H45-((J45^3*standards!$B$31+J45^2*standards!$B$32+J45*standards!$B$33+standards!$B$34)+(A45^3*standards!$C$31+standards!$C$32*A45^2+standards!$C$33*A45+standards!$C$34)))*standards!$S$27+standards!$S$26</f>
        <v>1.420502120355263</v>
      </c>
      <c r="Q45" s="29">
        <f>((F45*standards!$R$31+standards!$R$30)*F45)/D45</f>
        <v>14.69065527829264</v>
      </c>
      <c r="R45" s="34">
        <f>((I45*standards!$S$31+standards!$S$30)*I45)/D45</f>
        <v>0.79787237914125642</v>
      </c>
      <c r="S45" s="29">
        <f t="shared" si="7"/>
        <v>18.412287055361002</v>
      </c>
      <c r="T45" s="30">
        <f t="shared" si="8"/>
        <v>0.30287053309900408</v>
      </c>
      <c r="U45" s="30">
        <f t="shared" si="9"/>
        <v>4.4409448818897639</v>
      </c>
    </row>
    <row r="46" spans="1:21" x14ac:dyDescent="0.2">
      <c r="A46">
        <v>56</v>
      </c>
      <c r="B46" t="s">
        <v>98</v>
      </c>
      <c r="C46" t="s">
        <v>69</v>
      </c>
      <c r="D46">
        <v>5.2140000000000004</v>
      </c>
      <c r="E46">
        <v>-28.616</v>
      </c>
      <c r="F46">
        <v>242.38900000000001</v>
      </c>
      <c r="G46">
        <v>7601</v>
      </c>
      <c r="H46">
        <v>2.2709999999999999</v>
      </c>
      <c r="I46">
        <v>11.071</v>
      </c>
      <c r="J46">
        <v>471</v>
      </c>
      <c r="M46" s="27" t="str">
        <f t="shared" si="5"/>
        <v>95</v>
      </c>
      <c r="N46" s="27" t="str">
        <f t="shared" si="6"/>
        <v>TOC</v>
      </c>
      <c r="O46" s="28">
        <f>(E46-((G46^3*standards!$B$25+G46^2*standards!$B$26+G46*standards!$B$27+standards!$B$28)+(A46^3*standards!$C$25+standards!$C$26*A46^2+standards!$C$27*A46+standards!$C$28)))*standards!$R$27+standards!$R$26</f>
        <v>-27.238558913023866</v>
      </c>
      <c r="P46" s="28">
        <f>(H46-((J46^3*standards!$B$31+J46^2*standards!$B$32+J46*standards!$B$33+standards!$B$34)+(A46^3*standards!$C$31+standards!$C$32*A46^2+standards!$C$33*A46+standards!$C$34)))*standards!$S$27+standards!$S$26</f>
        <v>4.1325448633639024</v>
      </c>
      <c r="Q46" s="29">
        <f>((F46*standards!$R$31+standards!$R$30)*F46)/D46</f>
        <v>1.1904059249514374</v>
      </c>
      <c r="R46" s="34">
        <f>((I46*standards!$S$31+standards!$S$30)*I46)/D46</f>
        <v>0.1519606310363929</v>
      </c>
      <c r="S46" s="29">
        <f t="shared" si="7"/>
        <v>7.8336468915185558</v>
      </c>
      <c r="T46" s="30">
        <f t="shared" si="8"/>
        <v>3.7727930535455867</v>
      </c>
      <c r="U46" s="30">
        <f t="shared" si="9"/>
        <v>22.140127388535031</v>
      </c>
    </row>
    <row r="47" spans="1:21" x14ac:dyDescent="0.2">
      <c r="A47">
        <v>57</v>
      </c>
      <c r="B47" t="s">
        <v>65</v>
      </c>
      <c r="D47">
        <v>0.23300000000000001</v>
      </c>
      <c r="E47">
        <v>-13.763</v>
      </c>
      <c r="F47">
        <v>383.363</v>
      </c>
      <c r="G47">
        <v>12197</v>
      </c>
      <c r="H47">
        <v>11</v>
      </c>
      <c r="I47">
        <v>51.896999999999998</v>
      </c>
      <c r="J47">
        <v>2300</v>
      </c>
      <c r="M47" s="27" t="str">
        <f t="shared" si="5"/>
        <v>Sorghum</v>
      </c>
      <c r="N47" s="27">
        <f t="shared" si="6"/>
        <v>0</v>
      </c>
      <c r="O47" s="28">
        <f>(E47-((G47^3*standards!$B$25+G47^2*standards!$B$26+G47*standards!$B$27+standards!$B$28)+(A47^3*standards!$C$25+standards!$C$26*A47^2+standards!$C$27*A47+standards!$C$28)))*standards!$R$27+standards!$R$26</f>
        <v>-12.092719360608141</v>
      </c>
      <c r="P47" s="28">
        <f>(H47-((J47^3*standards!$B$31+J47^2*standards!$B$32+J47*standards!$B$33+standards!$B$34)+(A47^3*standards!$C$31+standards!$C$32*A47^2+standards!$C$33*A47+standards!$C$34)))*standards!$S$27+standards!$S$26</f>
        <v>10.810519786839897</v>
      </c>
      <c r="Q47" s="29">
        <f>((F47*standards!$R$31+standards!$R$30)*F47)/D47</f>
        <v>42.037593442688063</v>
      </c>
      <c r="R47" s="34">
        <f>((I47*standards!$S$31+standards!$S$30)*I47)/D47</f>
        <v>13.982821522920524</v>
      </c>
      <c r="S47" s="29">
        <f t="shared" si="7"/>
        <v>3.0063741694607482</v>
      </c>
      <c r="T47" s="30">
        <f t="shared" si="8"/>
        <v>0.1050668197097647</v>
      </c>
      <c r="U47" s="30">
        <f t="shared" si="9"/>
        <v>0.2026086956521739</v>
      </c>
    </row>
    <row r="48" spans="1:21" x14ac:dyDescent="0.2">
      <c r="A48">
        <v>58</v>
      </c>
      <c r="B48" t="s">
        <v>66</v>
      </c>
      <c r="D48">
        <v>6.976</v>
      </c>
      <c r="E48">
        <v>-15.601000000000001</v>
      </c>
      <c r="F48">
        <v>401.93700000000001</v>
      </c>
      <c r="G48">
        <v>12816</v>
      </c>
      <c r="H48">
        <v>-1.367</v>
      </c>
      <c r="I48">
        <v>3.9569999999999999</v>
      </c>
      <c r="J48">
        <v>170</v>
      </c>
      <c r="M48" s="27" t="str">
        <f t="shared" si="5"/>
        <v>LOC</v>
      </c>
      <c r="N48" s="27">
        <f t="shared" si="6"/>
        <v>0</v>
      </c>
      <c r="O48" s="28">
        <f>(E48-((G48^3*standards!$B$25+G48^2*standards!$B$26+G48*standards!$B$27+standards!$B$28)+(A48^3*standards!$C$25+standards!$C$26*A48^2+standards!$C$27*A48+standards!$C$28)))*standards!$R$27+standards!$R$26</f>
        <v>-13.922027252297083</v>
      </c>
      <c r="P48" s="28">
        <f>(H48-((J48^3*standards!$B$31+J48^2*standards!$B$32+J48*standards!$B$33+standards!$B$34)+(A48^3*standards!$C$31+standards!$C$32*A48^2+standards!$C$33*A48+standards!$C$34)))*standards!$S$27+standards!$S$26</f>
        <v>1.349354031469564</v>
      </c>
      <c r="Q48" s="29">
        <f>((F48*standards!$R$31+standards!$R$30)*F48)/D48</f>
        <v>1.4716589359973813</v>
      </c>
      <c r="R48" s="34">
        <f>((I48*standards!$S$31+standards!$S$30)*I48)/D48</f>
        <v>4.1463952773416544E-2</v>
      </c>
      <c r="S48" s="29">
        <f t="shared" si="7"/>
        <v>35.492490164635107</v>
      </c>
      <c r="T48" s="30">
        <f t="shared" si="8"/>
        <v>2.993757802746567</v>
      </c>
      <c r="U48" s="30">
        <f t="shared" si="9"/>
        <v>82.070588235294125</v>
      </c>
    </row>
    <row r="49" spans="1:21" x14ac:dyDescent="0.2">
      <c r="A49">
        <v>59</v>
      </c>
      <c r="B49" t="s">
        <v>67</v>
      </c>
      <c r="D49">
        <v>1.3380000000000001</v>
      </c>
      <c r="E49">
        <v>-29.317</v>
      </c>
      <c r="F49">
        <v>299.72800000000001</v>
      </c>
      <c r="G49">
        <v>9198</v>
      </c>
      <c r="H49">
        <v>3.472</v>
      </c>
      <c r="I49">
        <v>9.5950000000000006</v>
      </c>
      <c r="J49">
        <v>383</v>
      </c>
      <c r="M49" s="27" t="str">
        <f t="shared" si="5"/>
        <v>HOC</v>
      </c>
      <c r="N49" s="27">
        <f t="shared" si="6"/>
        <v>0</v>
      </c>
      <c r="O49" s="28">
        <f>(E49-((G49^3*standards!$B$25+G49^2*standards!$B$26+G49*standards!$B$27+standards!$B$28)+(A49^3*standards!$C$25+standards!$C$26*A49^2+standards!$C$27*A49+standards!$C$28)))*standards!$R$27+standards!$R$26</f>
        <v>-27.863102414452452</v>
      </c>
      <c r="P49" s="28">
        <f>(H49-((J49^3*standards!$B$31+J49^2*standards!$B$32+J49*standards!$B$33+standards!$B$34)+(A49^3*standards!$C$31+standards!$C$32*A49^2+standards!$C$33*A49+standards!$C$34)))*standards!$S$27+standards!$S$26</f>
        <v>5.0513497531673925</v>
      </c>
      <c r="Q49" s="29">
        <f>((F49*standards!$R$31+standards!$R$30)*F49)/D49</f>
        <v>5.7309983309038568</v>
      </c>
      <c r="R49" s="34">
        <f>((I49*standards!$S$31+standards!$S$30)*I49)/D49</f>
        <v>0.51549937734722828</v>
      </c>
      <c r="S49" s="29">
        <f t="shared" si="7"/>
        <v>11.117371975104426</v>
      </c>
      <c r="T49" s="30">
        <f t="shared" si="8"/>
        <v>0.80006523157208087</v>
      </c>
      <c r="U49" s="30">
        <f t="shared" si="9"/>
        <v>6.9869451697127936</v>
      </c>
    </row>
  </sheetData>
  <sortState xmlns:xlrd2="http://schemas.microsoft.com/office/spreadsheetml/2017/richdata2" ref="A51:I92">
    <sortCondition ref="A50"/>
  </sortState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</vt:lpstr>
      <vt:lpstr>standards</vt:lpstr>
      <vt:lpstr>data reduction</vt:lpstr>
    </vt:vector>
  </TitlesOfParts>
  <Company>University of St Andrews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 Whan</dc:creator>
  <cp:lastModifiedBy>Maria Jose Rivera</cp:lastModifiedBy>
  <dcterms:created xsi:type="dcterms:W3CDTF">2011-09-02T04:23:25Z</dcterms:created>
  <dcterms:modified xsi:type="dcterms:W3CDTF">2019-04-13T12:09:35Z</dcterms:modified>
</cp:coreProperties>
</file>