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.vega\Desktop\"/>
    </mc:Choice>
  </mc:AlternateContent>
  <xr:revisionPtr revIDLastSave="0" documentId="13_ncr:1_{8368E4B3-9373-43E2-82CA-21B957C8F335}" xr6:coauthVersionLast="47" xr6:coauthVersionMax="47" xr10:uidLastSave="{00000000-0000-0000-0000-000000000000}"/>
  <bookViews>
    <workbookView xWindow="-108" yWindow="-108" windowWidth="23256" windowHeight="12576" tabRatio="605" xr2:uid="{00000000-000D-0000-FFFF-FFFF00000000}"/>
  </bookViews>
  <sheets>
    <sheet name="Anchoveta ZN" sheetId="1" r:id="rId1"/>
    <sheet name="Anchoveta ZCN" sheetId="6" r:id="rId2"/>
    <sheet name="Anchoveta ZCS" sheetId="3" r:id="rId3"/>
    <sheet name="Sardina común ZCS" sheetId="4" r:id="rId4"/>
    <sheet name="Sardina austral ZS" sheetId="7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6" i="7" l="1"/>
  <c r="F16" i="7"/>
  <c r="E16" i="7"/>
  <c r="G15" i="7"/>
  <c r="F15" i="7"/>
  <c r="E15" i="7"/>
  <c r="E12" i="7"/>
  <c r="F12" i="7"/>
  <c r="G12" i="7"/>
  <c r="E13" i="7"/>
  <c r="F13" i="7"/>
  <c r="G13" i="7"/>
  <c r="E31" i="4"/>
  <c r="E30" i="4"/>
  <c r="E29" i="4"/>
  <c r="E28" i="4"/>
  <c r="E23" i="4"/>
  <c r="E21" i="4"/>
  <c r="E20" i="4"/>
  <c r="G5" i="4"/>
  <c r="G6" i="4"/>
  <c r="G7" i="4"/>
  <c r="G8" i="4"/>
  <c r="G9" i="4"/>
  <c r="G10" i="4"/>
  <c r="G13" i="4"/>
  <c r="Q12" i="4"/>
  <c r="Q11" i="4"/>
  <c r="Q10" i="4"/>
  <c r="Q8" i="4"/>
  <c r="Q7" i="4"/>
  <c r="Q6" i="4"/>
  <c r="Q5" i="4"/>
  <c r="J6" i="4"/>
  <c r="J7" i="4"/>
  <c r="J8" i="4"/>
  <c r="J9" i="4"/>
  <c r="J10" i="4"/>
  <c r="J13" i="4"/>
  <c r="I14" i="4"/>
  <c r="J14" i="4" s="1"/>
  <c r="I12" i="4"/>
  <c r="J12" i="4" s="1"/>
  <c r="I11" i="4"/>
  <c r="J11" i="4" s="1"/>
  <c r="J5" i="4"/>
  <c r="E23" i="3"/>
  <c r="I14" i="3"/>
  <c r="I12" i="3"/>
  <c r="I11" i="3"/>
  <c r="Q12" i="3"/>
  <c r="Q11" i="3"/>
  <c r="Q10" i="3"/>
  <c r="Q8" i="3"/>
  <c r="Q7" i="3"/>
  <c r="Q6" i="3"/>
  <c r="Q5" i="3"/>
  <c r="J9" i="3"/>
  <c r="J10" i="3"/>
  <c r="J13" i="3"/>
  <c r="J5" i="3"/>
  <c r="F32" i="1"/>
  <c r="E32" i="1"/>
  <c r="D32" i="1"/>
  <c r="E31" i="1"/>
  <c r="F31" i="1"/>
  <c r="D31" i="1"/>
  <c r="Q6" i="1"/>
  <c r="Q7" i="1"/>
  <c r="Q8" i="1"/>
  <c r="Q9" i="1"/>
  <c r="Q10" i="1"/>
  <c r="Q11" i="1"/>
  <c r="Q12" i="1"/>
  <c r="Q13" i="1"/>
  <c r="Q14" i="1"/>
  <c r="Q5" i="1"/>
  <c r="J12" i="1"/>
  <c r="J11" i="1"/>
  <c r="J9" i="1"/>
  <c r="J7" i="1"/>
  <c r="J8" i="1"/>
  <c r="J10" i="1"/>
  <c r="J13" i="1"/>
  <c r="J14" i="1"/>
  <c r="J6" i="1"/>
  <c r="J5" i="1"/>
  <c r="J6" i="3" l="1"/>
  <c r="J7" i="3"/>
  <c r="J8" i="3"/>
  <c r="K8" i="7" l="1"/>
  <c r="H5" i="7"/>
  <c r="K6" i="7"/>
  <c r="H7" i="7"/>
  <c r="H13" i="7"/>
  <c r="H4" i="7"/>
  <c r="K4" i="7"/>
  <c r="K5" i="7"/>
  <c r="K7" i="7"/>
  <c r="K9" i="6"/>
  <c r="H9" i="6"/>
  <c r="H16" i="7"/>
  <c r="H6" i="7"/>
  <c r="H8" i="7"/>
  <c r="H15" i="7" l="1"/>
  <c r="H12" i="7"/>
  <c r="K7" i="6" l="1"/>
  <c r="H6" i="6"/>
  <c r="J4" i="6"/>
  <c r="K4" i="6" s="1"/>
  <c r="E13" i="6" l="1"/>
  <c r="E14" i="6"/>
  <c r="F14" i="6"/>
  <c r="F13" i="6"/>
  <c r="G13" i="6"/>
  <c r="G14" i="6"/>
  <c r="K5" i="6"/>
  <c r="H7" i="6"/>
  <c r="H5" i="6"/>
  <c r="K6" i="6"/>
  <c r="H14" i="6" l="1"/>
  <c r="H13" i="6"/>
  <c r="I19" i="1" l="1"/>
  <c r="E19" i="1"/>
  <c r="J19" i="1"/>
  <c r="H19" i="1"/>
  <c r="F19" i="1"/>
  <c r="D19" i="1"/>
  <c r="E31" i="3"/>
  <c r="E30" i="3"/>
  <c r="E29" i="3"/>
  <c r="E28" i="3"/>
  <c r="F31" i="3"/>
  <c r="D31" i="3"/>
  <c r="F30" i="3"/>
  <c r="D30" i="3"/>
  <c r="F29" i="3"/>
  <c r="F28" i="3"/>
  <c r="D28" i="3"/>
  <c r="D31" i="4"/>
  <c r="D28" i="4"/>
  <c r="D20" i="4"/>
  <c r="G30" i="3" l="1"/>
  <c r="G31" i="3"/>
  <c r="G28" i="3"/>
  <c r="D21" i="3"/>
  <c r="D29" i="3"/>
  <c r="G29" i="3" s="1"/>
  <c r="G19" i="1"/>
  <c r="K19" i="1"/>
  <c r="F31" i="4"/>
  <c r="G31" i="4" s="1"/>
  <c r="D23" i="4"/>
  <c r="E20" i="3"/>
  <c r="D20" i="3"/>
  <c r="D23" i="3"/>
  <c r="E21" i="3"/>
  <c r="F21" i="3"/>
  <c r="F23" i="3"/>
  <c r="F20" i="3"/>
  <c r="G13" i="3"/>
  <c r="G10" i="3"/>
  <c r="G9" i="3"/>
  <c r="G8" i="3"/>
  <c r="G7" i="3"/>
  <c r="G6" i="3"/>
  <c r="G5" i="3"/>
  <c r="G23" i="3" l="1"/>
  <c r="G21" i="3"/>
  <c r="G20" i="3"/>
  <c r="G32" i="1"/>
  <c r="I26" i="1"/>
  <c r="F25" i="1"/>
  <c r="F26" i="1"/>
  <c r="D25" i="1"/>
  <c r="D26" i="1"/>
  <c r="H25" i="1" l="1"/>
  <c r="J25" i="1"/>
  <c r="K25" i="1" s="1"/>
  <c r="H26" i="1"/>
  <c r="J26" i="1"/>
  <c r="K26" i="1" s="1"/>
  <c r="D20" i="1"/>
  <c r="G25" i="1"/>
  <c r="F20" i="1"/>
  <c r="I25" i="1"/>
  <c r="I20" i="1"/>
  <c r="E25" i="1"/>
  <c r="E20" i="1"/>
  <c r="H20" i="1"/>
  <c r="J20" i="1"/>
  <c r="G26" i="1"/>
  <c r="E26" i="1"/>
  <c r="N11" i="1"/>
  <c r="N12" i="1"/>
  <c r="G12" i="1"/>
  <c r="N13" i="1"/>
  <c r="N14" i="1"/>
  <c r="G13" i="1"/>
  <c r="G14" i="1"/>
  <c r="G11" i="1"/>
  <c r="F30" i="4"/>
  <c r="D30" i="4"/>
  <c r="G30" i="4" l="1"/>
  <c r="F28" i="4"/>
  <c r="G28" i="4" s="1"/>
  <c r="F20" i="4"/>
  <c r="G20" i="4" s="1"/>
  <c r="F23" i="4"/>
  <c r="G23" i="4" s="1"/>
  <c r="F29" i="4"/>
  <c r="F21" i="4"/>
  <c r="D29" i="4"/>
  <c r="D21" i="4"/>
  <c r="K20" i="1"/>
  <c r="G20" i="1"/>
  <c r="G29" i="4" l="1"/>
  <c r="G21" i="4"/>
  <c r="G5" i="1" l="1"/>
  <c r="N10" i="1" l="1"/>
  <c r="G10" i="1"/>
  <c r="N9" i="1"/>
  <c r="G9" i="1"/>
  <c r="N8" i="1"/>
  <c r="G8" i="1"/>
  <c r="N7" i="1"/>
  <c r="G7" i="1"/>
  <c r="N6" i="1"/>
  <c r="G6" i="1"/>
  <c r="N5" i="1"/>
  <c r="G31" i="1" l="1"/>
</calcChain>
</file>

<file path=xl/sharedStrings.xml><?xml version="1.0" encoding="utf-8"?>
<sst xmlns="http://schemas.openxmlformats.org/spreadsheetml/2006/main" count="349" uniqueCount="61">
  <si>
    <t>Año</t>
  </si>
  <si>
    <t>Semestre</t>
  </si>
  <si>
    <t>Flota</t>
  </si>
  <si>
    <t>% descarte</t>
  </si>
  <si>
    <t>n (viajes)</t>
  </si>
  <si>
    <t>N_h</t>
  </si>
  <si>
    <t>% cobertura</t>
  </si>
  <si>
    <t>Artesanal</t>
  </si>
  <si>
    <t>2017.0</t>
  </si>
  <si>
    <t>2018.0</t>
  </si>
  <si>
    <t>2018.5</t>
  </si>
  <si>
    <t>2019.0</t>
  </si>
  <si>
    <t>2019.5</t>
  </si>
  <si>
    <t>2020/2021</t>
  </si>
  <si>
    <t>2021/2022</t>
  </si>
  <si>
    <t>2018/2019</t>
  </si>
  <si>
    <t>2019/2020</t>
  </si>
  <si>
    <t>2017/2018</t>
  </si>
  <si>
    <t>Año/semestre</t>
  </si>
  <si>
    <t>Año biológico</t>
  </si>
  <si>
    <t>Periodo</t>
  </si>
  <si>
    <t>Investigación</t>
  </si>
  <si>
    <t>Monitoreo</t>
  </si>
  <si>
    <t>-</t>
  </si>
  <si>
    <t>S1</t>
  </si>
  <si>
    <t>S2</t>
  </si>
  <si>
    <t>CT (t)</t>
  </si>
  <si>
    <t>CR (t)</t>
  </si>
  <si>
    <t>CD (t)</t>
  </si>
  <si>
    <t>ANCHOVETA ZONA NORTE (REGIONES DE ARICA Y PARINACOTA HASTA ANTOFAGASTA)</t>
  </si>
  <si>
    <t>Año / Semestre</t>
  </si>
  <si>
    <t>2019 - 2021</t>
  </si>
  <si>
    <t>2017 - 2021</t>
  </si>
  <si>
    <t>2018 - 2021</t>
  </si>
  <si>
    <t>2017 - 2020</t>
  </si>
  <si>
    <t>2018 - 2020</t>
  </si>
  <si>
    <t>SARDINA AUSTRAL (REGIÓN DE LOS LAGOS)</t>
  </si>
  <si>
    <t>* Lances prohibidos desde 2021</t>
  </si>
  <si>
    <t xml:space="preserve">Alto valor anómalo que eleva </t>
  </si>
  <si>
    <t>el descarte (%) del 1er semestre</t>
  </si>
  <si>
    <t xml:space="preserve">Alto valor que eleva el </t>
  </si>
  <si>
    <t>descarte (%) del 1er semestre de 2021</t>
  </si>
  <si>
    <t xml:space="preserve">Valor de descarte por esta causa extremadamente </t>
  </si>
  <si>
    <t>alto que influye mayormente en la estimación (10,4%)</t>
  </si>
  <si>
    <t>Elevada diferencia en el descarte de las dos especies objetivo</t>
  </si>
  <si>
    <t>2017 / 2018</t>
  </si>
  <si>
    <t>2018 / 2019</t>
  </si>
  <si>
    <t>2019 / 2020</t>
  </si>
  <si>
    <t>2020 / 2021</t>
  </si>
  <si>
    <t>FLOTA ARTESANAL</t>
  </si>
  <si>
    <t>FLOTA INDUSTRIAL</t>
  </si>
  <si>
    <t>FLOTA ARTESANAL (2019 - 2021)</t>
  </si>
  <si>
    <t>FLOTA INDUSTRIAL (2019 - 2021)</t>
  </si>
  <si>
    <t>ZONA NORTE (ART + IND; 2019 - 2021)</t>
  </si>
  <si>
    <t>ANCHOVETA ZONA CENTRO NORTE  (REGIONES ATACAMA Y COQUIMBO)</t>
  </si>
  <si>
    <t>Cuadro en rojo: lance eliminado en re-estimación de 2021.</t>
  </si>
  <si>
    <t>ANCHOVETA ZONA CENTRO SUR  (REGIONES VALPARAÍSO A LOS LAGOS) (PERIODO MONITOREO)</t>
  </si>
  <si>
    <t>SARDINA COMÚN ZONA CENTRO SUR  (REGIONES DE VALPARAÍSO A LOS LAGOS) (PERIODO MONITOREO)</t>
  </si>
  <si>
    <t xml:space="preserve">En amarillo valores </t>
  </si>
  <si>
    <t>Valor observado 1er semestre</t>
  </si>
  <si>
    <t>observados en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</si>
</sst>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%"/>
  </numFmts>
  <fonts count="23" x14ac:knownFonts="1">
    <font>
      <sz val="12"/>
      <color rgb="FF000000"/>
      <name val="Calibri"/>
      <family val="2"/>
      <charset val="1"/>
    </font>
    <font>
      <sz val="10"/>
      <name val="Arial"/>
      <family val="2"/>
    </font>
    <font>
      <sz val="12"/>
      <color rgb="FF000000"/>
      <name val="Arial Narrow"/>
      <family val="2"/>
      <charset val="1"/>
    </font>
    <font>
      <b/>
      <sz val="12"/>
      <color rgb="FF000000"/>
      <name val="Arial Narrow"/>
      <family val="2"/>
    </font>
    <font>
      <b/>
      <sz val="12"/>
      <color rgb="FF000000"/>
      <name val="Arial Narrow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charset val="1"/>
    </font>
    <font>
      <b/>
      <sz val="14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Calibri"/>
      <family val="2"/>
      <charset val="1"/>
    </font>
    <font>
      <b/>
      <sz val="20"/>
      <color rgb="FFFF0000"/>
      <name val="Arial Narrow"/>
      <family val="2"/>
    </font>
    <font>
      <b/>
      <sz val="10"/>
      <color rgb="FFFF0000"/>
      <name val="Arial"/>
      <family val="2"/>
    </font>
    <font>
      <b/>
      <sz val="12"/>
      <color rgb="FFFF0000"/>
      <name val="Arial Narrow"/>
      <family val="2"/>
      <charset val="1"/>
    </font>
    <font>
      <sz val="12"/>
      <color theme="1"/>
      <name val="Arial Narrow"/>
      <family val="2"/>
    </font>
    <font>
      <sz val="12"/>
      <name val="Arial Narrow"/>
      <family val="2"/>
      <charset val="1"/>
    </font>
    <font>
      <sz val="12"/>
      <color rgb="FFFF0000"/>
      <name val="Arial Narrow"/>
      <family val="2"/>
      <charset val="1"/>
    </font>
    <font>
      <sz val="12"/>
      <color theme="9"/>
      <name val="Arial Narrow"/>
      <family val="2"/>
    </font>
    <font>
      <sz val="12"/>
      <name val="Arial Narrow"/>
      <family val="2"/>
    </font>
    <font>
      <sz val="12"/>
      <color rgb="FFFF0000"/>
      <name val="Arial Narrow"/>
      <family val="2"/>
    </font>
    <font>
      <b/>
      <sz val="18"/>
      <color rgb="FFFF0000"/>
      <name val="Arial Narrow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308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/>
    <xf numFmtId="2" fontId="2" fillId="0" borderId="0" xfId="0" applyNumberFormat="1" applyFont="1" applyFill="1"/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6" fontId="1" fillId="0" borderId="0" xfId="1" applyNumberForma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66" fontId="5" fillId="0" borderId="0" xfId="1" applyNumberFormat="1" applyFont="1" applyBorder="1" applyAlignment="1">
      <alignment horizontal="center" vertical="center"/>
    </xf>
    <xf numFmtId="9" fontId="1" fillId="0" borderId="0" xfId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166" fontId="6" fillId="0" borderId="5" xfId="1" applyNumberFormat="1" applyFont="1" applyBorder="1" applyAlignment="1">
      <alignment horizontal="center"/>
    </xf>
    <xf numFmtId="0" fontId="11" fillId="0" borderId="0" xfId="0" applyFont="1" applyAlignment="1">
      <alignment wrapText="1"/>
    </xf>
    <xf numFmtId="1" fontId="10" fillId="0" borderId="0" xfId="0" applyNumberFormat="1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/>
    </xf>
    <xf numFmtId="1" fontId="10" fillId="0" borderId="4" xfId="0" applyNumberFormat="1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12" xfId="0" applyFont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/>
    <xf numFmtId="0" fontId="2" fillId="2" borderId="17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1" fontId="2" fillId="0" borderId="7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/>
    </xf>
    <xf numFmtId="9" fontId="5" fillId="0" borderId="0" xfId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9" fontId="5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166" fontId="1" fillId="0" borderId="0" xfId="1" applyNumberForma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/>
    </xf>
    <xf numFmtId="164" fontId="15" fillId="0" borderId="7" xfId="0" applyNumberFormat="1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" fontId="19" fillId="0" borderId="4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" fontId="19" fillId="0" borderId="0" xfId="0" applyNumberFormat="1" applyFont="1" applyBorder="1" applyAlignment="1">
      <alignment horizontal="center" vertical="center"/>
    </xf>
    <xf numFmtId="166" fontId="5" fillId="0" borderId="0" xfId="1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/>
    </xf>
    <xf numFmtId="166" fontId="13" fillId="0" borderId="0" xfId="1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2" fillId="0" borderId="9" xfId="0" applyFont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15" fillId="0" borderId="4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166" fontId="2" fillId="0" borderId="0" xfId="0" applyNumberFormat="1" applyFont="1" applyFill="1" applyAlignment="1">
      <alignment horizontal="center"/>
    </xf>
    <xf numFmtId="166" fontId="10" fillId="0" borderId="0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10" fontId="1" fillId="0" borderId="0" xfId="1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" fontId="17" fillId="0" borderId="0" xfId="0" applyNumberFormat="1" applyFont="1" applyFill="1" applyBorder="1" applyAlignment="1">
      <alignment horizontal="left" vertical="center"/>
    </xf>
    <xf numFmtId="0" fontId="17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1" fontId="2" fillId="5" borderId="7" xfId="0" applyNumberFormat="1" applyFont="1" applyFill="1" applyBorder="1" applyAlignment="1">
      <alignment horizontal="center"/>
    </xf>
    <xf numFmtId="166" fontId="1" fillId="5" borderId="8" xfId="1" applyNumberFormat="1" applyFill="1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" fontId="2" fillId="0" borderId="7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66" fontId="6" fillId="0" borderId="2" xfId="1" applyNumberFormat="1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/>
    <xf numFmtId="166" fontId="6" fillId="0" borderId="0" xfId="1" applyNumberFormat="1" applyFont="1" applyBorder="1" applyAlignment="1">
      <alignment horizontal="center"/>
    </xf>
    <xf numFmtId="166" fontId="6" fillId="4" borderId="0" xfId="1" applyNumberFormat="1" applyFont="1" applyFill="1" applyBorder="1" applyAlignment="1">
      <alignment horizontal="center"/>
    </xf>
    <xf numFmtId="166" fontId="6" fillId="4" borderId="7" xfId="1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6" fontId="6" fillId="0" borderId="2" xfId="1" applyNumberFormat="1" applyFont="1" applyBorder="1" applyAlignment="1">
      <alignment horizontal="center"/>
    </xf>
    <xf numFmtId="166" fontId="6" fillId="0" borderId="3" xfId="1" applyNumberFormat="1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1" fontId="2" fillId="6" borderId="0" xfId="0" applyNumberFormat="1" applyFont="1" applyFill="1" applyBorder="1" applyAlignment="1">
      <alignment horizontal="center"/>
    </xf>
    <xf numFmtId="166" fontId="6" fillId="6" borderId="0" xfId="1" applyNumberFormat="1" applyFont="1" applyFill="1" applyBorder="1" applyAlignment="1">
      <alignment horizontal="center"/>
    </xf>
    <xf numFmtId="1" fontId="2" fillId="6" borderId="4" xfId="0" applyNumberFormat="1" applyFont="1" applyFill="1" applyBorder="1" applyAlignment="1">
      <alignment horizontal="center"/>
    </xf>
    <xf numFmtId="166" fontId="6" fillId="6" borderId="5" xfId="1" applyNumberFormat="1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1" fontId="2" fillId="6" borderId="7" xfId="0" applyNumberFormat="1" applyFont="1" applyFill="1" applyBorder="1" applyAlignment="1">
      <alignment horizontal="center"/>
    </xf>
    <xf numFmtId="166" fontId="6" fillId="6" borderId="7" xfId="1" applyNumberFormat="1" applyFont="1" applyFill="1" applyBorder="1" applyAlignment="1">
      <alignment horizontal="center"/>
    </xf>
    <xf numFmtId="1" fontId="2" fillId="6" borderId="6" xfId="0" applyNumberFormat="1" applyFont="1" applyFill="1" applyBorder="1" applyAlignment="1">
      <alignment horizontal="center"/>
    </xf>
    <xf numFmtId="166" fontId="6" fillId="6" borderId="8" xfId="1" applyNumberFormat="1" applyFont="1" applyFill="1" applyBorder="1" applyAlignment="1">
      <alignment horizontal="center"/>
    </xf>
    <xf numFmtId="1" fontId="10" fillId="6" borderId="0" xfId="0" applyNumberFormat="1" applyFont="1" applyFill="1" applyBorder="1" applyAlignment="1">
      <alignment horizontal="center" vertical="center"/>
    </xf>
    <xf numFmtId="1" fontId="10" fillId="6" borderId="7" xfId="0" applyNumberFormat="1" applyFont="1" applyFill="1" applyBorder="1" applyAlignment="1">
      <alignment horizontal="center" vertical="center"/>
    </xf>
    <xf numFmtId="166" fontId="16" fillId="0" borderId="3" xfId="0" applyNumberFormat="1" applyFont="1" applyBorder="1" applyAlignment="1">
      <alignment horizontal="center"/>
    </xf>
    <xf numFmtId="166" fontId="2" fillId="0" borderId="8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16" fillId="0" borderId="19" xfId="0" applyFont="1" applyBorder="1"/>
    <xf numFmtId="0" fontId="2" fillId="0" borderId="21" xfId="0" applyFont="1" applyBorder="1"/>
    <xf numFmtId="166" fontId="16" fillId="0" borderId="2" xfId="0" applyNumberFormat="1" applyFont="1" applyBorder="1" applyAlignment="1">
      <alignment horizontal="center"/>
    </xf>
    <xf numFmtId="166" fontId="10" fillId="0" borderId="7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6" borderId="0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" fontId="16" fillId="0" borderId="2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" fontId="10" fillId="0" borderId="7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1" fontId="10" fillId="0" borderId="26" xfId="0" applyNumberFormat="1" applyFont="1" applyBorder="1" applyAlignment="1">
      <alignment horizontal="center"/>
    </xf>
    <xf numFmtId="166" fontId="10" fillId="4" borderId="30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10" fillId="0" borderId="7" xfId="0" applyNumberFormat="1" applyFont="1" applyBorder="1" applyAlignment="1">
      <alignment horizontal="center"/>
    </xf>
    <xf numFmtId="166" fontId="10" fillId="4" borderId="8" xfId="0" applyNumberFormat="1" applyFont="1" applyFill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66" fontId="10" fillId="4" borderId="3" xfId="0" applyNumberFormat="1" applyFont="1" applyFill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166" fontId="1" fillId="4" borderId="5" xfId="1" applyNumberFormat="1" applyFont="1" applyFill="1" applyBorder="1" applyAlignment="1">
      <alignment horizontal="center"/>
    </xf>
    <xf numFmtId="166" fontId="1" fillId="4" borderId="8" xfId="1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12" fillId="0" borderId="0" xfId="0" applyFont="1" applyAlignment="1"/>
    <xf numFmtId="0" fontId="12" fillId="0" borderId="0" xfId="0" applyFont="1" applyBorder="1" applyAlignment="1"/>
    <xf numFmtId="0" fontId="20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2" fontId="10" fillId="6" borderId="0" xfId="0" applyNumberFormat="1" applyFont="1" applyFill="1" applyBorder="1" applyAlignment="1">
      <alignment horizontal="center" vertical="center"/>
    </xf>
    <xf numFmtId="2" fontId="19" fillId="0" borderId="0" xfId="0" applyNumberFormat="1" applyFont="1" applyBorder="1" applyAlignment="1">
      <alignment horizontal="center" vertical="center"/>
    </xf>
    <xf numFmtId="1" fontId="19" fillId="6" borderId="0" xfId="0" applyNumberFormat="1" applyFont="1" applyFill="1" applyBorder="1" applyAlignment="1">
      <alignment horizontal="center" vertical="center"/>
    </xf>
    <xf numFmtId="2" fontId="19" fillId="6" borderId="0" xfId="0" applyNumberFormat="1" applyFont="1" applyFill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 vertical="center"/>
    </xf>
    <xf numFmtId="2" fontId="2" fillId="6" borderId="5" xfId="0" applyNumberFormat="1" applyFont="1" applyFill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166" fontId="1" fillId="4" borderId="3" xfId="1" applyNumberFormat="1" applyFill="1" applyBorder="1" applyAlignment="1">
      <alignment horizontal="center"/>
    </xf>
    <xf numFmtId="0" fontId="19" fillId="5" borderId="22" xfId="0" applyFont="1" applyFill="1" applyBorder="1" applyAlignment="1">
      <alignment horizontal="center" vertical="center"/>
    </xf>
    <xf numFmtId="1" fontId="19" fillId="5" borderId="23" xfId="0" applyNumberFormat="1" applyFont="1" applyFill="1" applyBorder="1" applyAlignment="1">
      <alignment horizontal="center" vertical="center" wrapText="1"/>
    </xf>
    <xf numFmtId="2" fontId="19" fillId="4" borderId="23" xfId="0" applyNumberFormat="1" applyFont="1" applyFill="1" applyBorder="1" applyAlignment="1">
      <alignment horizontal="center" vertical="center"/>
    </xf>
    <xf numFmtId="2" fontId="19" fillId="5" borderId="24" xfId="0" applyNumberFormat="1" applyFont="1" applyFill="1" applyBorder="1" applyAlignment="1">
      <alignment horizontal="center" vertical="center"/>
    </xf>
    <xf numFmtId="1" fontId="19" fillId="5" borderId="25" xfId="0" applyNumberFormat="1" applyFont="1" applyFill="1" applyBorder="1" applyAlignment="1">
      <alignment horizontal="center" vertical="center"/>
    </xf>
    <xf numFmtId="0" fontId="19" fillId="5" borderId="24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2" fillId="3" borderId="0" xfId="0" applyFont="1" applyFill="1"/>
    <xf numFmtId="166" fontId="1" fillId="0" borderId="8" xfId="1" applyNumberFormat="1" applyFont="1" applyBorder="1" applyAlignment="1">
      <alignment horizontal="center" vertical="center"/>
    </xf>
    <xf numFmtId="166" fontId="1" fillId="0" borderId="5" xfId="1" applyNumberFormat="1" applyFont="1" applyBorder="1" applyAlignment="1">
      <alignment horizontal="center" vertical="center"/>
    </xf>
    <xf numFmtId="166" fontId="1" fillId="0" borderId="0" xfId="1" applyNumberFormat="1" applyFont="1" applyBorder="1" applyAlignment="1">
      <alignment horizontal="center" vertical="center"/>
    </xf>
    <xf numFmtId="164" fontId="19" fillId="0" borderId="0" xfId="0" applyNumberFormat="1" applyFont="1" applyBorder="1" applyAlignment="1">
      <alignment horizontal="center" vertical="center"/>
    </xf>
    <xf numFmtId="166" fontId="1" fillId="4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 wrapText="1"/>
    </xf>
    <xf numFmtId="164" fontId="15" fillId="4" borderId="0" xfId="0" applyNumberFormat="1" applyFont="1" applyFill="1" applyBorder="1" applyAlignment="1">
      <alignment horizontal="center" vertical="center"/>
    </xf>
    <xf numFmtId="166" fontId="22" fillId="0" borderId="5" xfId="1" applyNumberFormat="1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4" xfId="0" applyNumberFormat="1" applyFont="1" applyBorder="1" applyAlignment="1">
      <alignment horizontal="center" vertical="center"/>
    </xf>
    <xf numFmtId="1" fontId="20" fillId="0" borderId="0" xfId="0" applyNumberFormat="1" applyFont="1" applyBorder="1" applyAlignment="1">
      <alignment horizontal="center" vertical="center"/>
    </xf>
    <xf numFmtId="166" fontId="22" fillId="0" borderId="0" xfId="1" applyNumberFormat="1" applyFont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1" fontId="19" fillId="6" borderId="10" xfId="0" applyNumberFormat="1" applyFont="1" applyFill="1" applyBorder="1" applyAlignment="1">
      <alignment horizontal="center" vertical="center"/>
    </xf>
    <xf numFmtId="1" fontId="19" fillId="6" borderId="10" xfId="0" applyNumberFormat="1" applyFont="1" applyFill="1" applyBorder="1" applyAlignment="1">
      <alignment horizontal="center" vertical="center" wrapText="1"/>
    </xf>
    <xf numFmtId="2" fontId="19" fillId="4" borderId="10" xfId="0" applyNumberFormat="1" applyFont="1" applyFill="1" applyBorder="1" applyAlignment="1">
      <alignment horizontal="center" vertical="center"/>
    </xf>
    <xf numFmtId="2" fontId="19" fillId="6" borderId="11" xfId="0" applyNumberFormat="1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1" fontId="16" fillId="6" borderId="4" xfId="0" applyNumberFormat="1" applyFont="1" applyFill="1" applyBorder="1" applyAlignment="1">
      <alignment horizontal="center" vertical="center"/>
    </xf>
    <xf numFmtId="1" fontId="16" fillId="6" borderId="0" xfId="0" applyNumberFormat="1" applyFont="1" applyFill="1" applyBorder="1" applyAlignment="1">
      <alignment horizontal="center" vertical="center"/>
    </xf>
    <xf numFmtId="166" fontId="1" fillId="6" borderId="0" xfId="1" applyNumberFormat="1" applyFont="1" applyFill="1" applyBorder="1" applyAlignment="1">
      <alignment horizontal="center" vertical="center"/>
    </xf>
    <xf numFmtId="166" fontId="1" fillId="6" borderId="5" xfId="1" applyNumberFormat="1" applyFont="1" applyFill="1" applyBorder="1" applyAlignment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166" fontId="22" fillId="6" borderId="5" xfId="1" applyNumberFormat="1" applyFont="1" applyFill="1" applyBorder="1" applyAlignment="1">
      <alignment horizontal="center" vertical="center"/>
    </xf>
    <xf numFmtId="1" fontId="2" fillId="6" borderId="4" xfId="0" applyNumberFormat="1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166" fontId="22" fillId="6" borderId="0" xfId="1" applyNumberFormat="1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64" fontId="19" fillId="0" borderId="5" xfId="0" applyNumberFormat="1" applyFont="1" applyBorder="1" applyAlignment="1">
      <alignment horizontal="center" vertical="center"/>
    </xf>
    <xf numFmtId="164" fontId="15" fillId="0" borderId="8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164" fontId="15" fillId="4" borderId="5" xfId="0" applyNumberFormat="1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 wrapText="1"/>
    </xf>
    <xf numFmtId="166" fontId="1" fillId="4" borderId="3" xfId="1" applyNumberFormat="1" applyFont="1" applyFill="1" applyBorder="1" applyAlignment="1">
      <alignment horizontal="center" vertical="center"/>
    </xf>
    <xf numFmtId="166" fontId="1" fillId="0" borderId="28" xfId="1" applyNumberFormat="1" applyFont="1" applyBorder="1" applyAlignment="1">
      <alignment horizontal="center" vertical="center"/>
    </xf>
    <xf numFmtId="166" fontId="1" fillId="4" borderId="11" xfId="1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166" fontId="1" fillId="4" borderId="28" xfId="1" applyNumberFormat="1" applyFont="1" applyFill="1" applyBorder="1" applyAlignment="1">
      <alignment horizontal="center" vertical="center"/>
    </xf>
    <xf numFmtId="2" fontId="20" fillId="4" borderId="7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" fontId="20" fillId="0" borderId="2" xfId="0" applyNumberFormat="1" applyFont="1" applyFill="1" applyBorder="1" applyAlignment="1">
      <alignment horizontal="center" vertical="center"/>
    </xf>
    <xf numFmtId="2" fontId="20" fillId="0" borderId="2" xfId="0" applyNumberFormat="1" applyFont="1" applyFill="1" applyBorder="1" applyAlignment="1">
      <alignment horizontal="center" vertical="center"/>
    </xf>
    <xf numFmtId="2" fontId="20" fillId="0" borderId="3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1" fontId="19" fillId="0" borderId="7" xfId="0" applyNumberFormat="1" applyFont="1" applyFill="1" applyBorder="1" applyAlignment="1">
      <alignment horizontal="center" vertical="center"/>
    </xf>
    <xf numFmtId="2" fontId="10" fillId="0" borderId="8" xfId="0" applyNumberFormat="1" applyFont="1" applyFill="1" applyBorder="1" applyAlignment="1">
      <alignment horizontal="center"/>
    </xf>
    <xf numFmtId="1" fontId="20" fillId="0" borderId="7" xfId="0" applyNumberFormat="1" applyFont="1" applyFill="1" applyBorder="1" applyAlignment="1">
      <alignment horizontal="center" vertical="center"/>
    </xf>
    <xf numFmtId="1" fontId="20" fillId="0" borderId="7" xfId="0" applyNumberFormat="1" applyFont="1" applyFill="1" applyBorder="1" applyAlignment="1">
      <alignment horizontal="center" vertical="center" wrapText="1"/>
    </xf>
    <xf numFmtId="2" fontId="20" fillId="0" borderId="8" xfId="0" applyNumberFormat="1" applyFont="1" applyFill="1" applyBorder="1" applyAlignment="1">
      <alignment horizontal="center"/>
    </xf>
    <xf numFmtId="2" fontId="10" fillId="6" borderId="5" xfId="0" applyNumberFormat="1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 vertical="center"/>
    </xf>
    <xf numFmtId="1" fontId="19" fillId="6" borderId="2" xfId="0" applyNumberFormat="1" applyFont="1" applyFill="1" applyBorder="1" applyAlignment="1">
      <alignment horizontal="center" vertical="center"/>
    </xf>
    <xf numFmtId="2" fontId="19" fillId="6" borderId="3" xfId="0" applyNumberFormat="1" applyFont="1" applyFill="1" applyBorder="1" applyAlignment="1">
      <alignment horizontal="center"/>
    </xf>
    <xf numFmtId="0" fontId="19" fillId="4" borderId="7" xfId="0" applyFont="1" applyFill="1" applyBorder="1" applyAlignment="1">
      <alignment horizontal="center" vertical="center"/>
    </xf>
    <xf numFmtId="2" fontId="19" fillId="0" borderId="7" xfId="0" applyNumberFormat="1" applyFont="1" applyFill="1" applyBorder="1" applyAlignment="1">
      <alignment horizontal="center" vertical="center"/>
    </xf>
    <xf numFmtId="2" fontId="19" fillId="6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10" fontId="1" fillId="0" borderId="5" xfId="1" applyNumberFormat="1" applyBorder="1" applyAlignment="1">
      <alignment horizontal="center"/>
    </xf>
    <xf numFmtId="1" fontId="10" fillId="5" borderId="0" xfId="0" applyNumberFormat="1" applyFont="1" applyFill="1" applyBorder="1" applyAlignment="1">
      <alignment horizontal="center" vertical="center" wrapText="1"/>
    </xf>
    <xf numFmtId="1" fontId="10" fillId="5" borderId="7" xfId="0" applyNumberFormat="1" applyFont="1" applyFill="1" applyBorder="1" applyAlignment="1">
      <alignment horizontal="center" vertical="center" wrapText="1"/>
    </xf>
    <xf numFmtId="166" fontId="1" fillId="5" borderId="5" xfId="1" applyNumberFormat="1" applyFont="1" applyFill="1" applyBorder="1" applyAlignment="1">
      <alignment horizontal="center" vertical="center"/>
    </xf>
    <xf numFmtId="166" fontId="1" fillId="5" borderId="8" xfId="1" applyNumberFormat="1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10" fontId="1" fillId="0" borderId="8" xfId="1" applyNumberFormat="1" applyFill="1" applyBorder="1" applyAlignment="1">
      <alignment horizontal="center"/>
    </xf>
    <xf numFmtId="10" fontId="1" fillId="0" borderId="3" xfId="1" applyNumberFormat="1" applyFill="1" applyBorder="1" applyAlignment="1">
      <alignment horizontal="center"/>
    </xf>
    <xf numFmtId="10" fontId="1" fillId="0" borderId="8" xfId="1" applyNumberForma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5" fillId="0" borderId="4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645583</xdr:colOff>
      <xdr:row>16</xdr:row>
      <xdr:rowOff>1</xdr:rowOff>
    </xdr:from>
    <xdr:to>
      <xdr:col>17</xdr:col>
      <xdr:colOff>402166</xdr:colOff>
      <xdr:row>20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7CC06DF-BDAA-2EAC-C501-733A036338C7}"/>
            </a:ext>
          </a:extLst>
        </xdr:cNvPr>
        <xdr:cNvSpPr txBox="1"/>
      </xdr:nvSpPr>
      <xdr:spPr>
        <a:xfrm>
          <a:off x="11239500" y="3407834"/>
          <a:ext cx="5535083" cy="836083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/>
            <a:t>Valor</a:t>
          </a:r>
          <a:r>
            <a:rPr lang="es-CL" sz="1600" baseline="0"/>
            <a:t> promedio según programa de investigación y flota.</a:t>
          </a:r>
          <a:endParaRPr lang="es-CL" sz="1600"/>
        </a:p>
      </xdr:txBody>
    </xdr:sp>
    <xdr:clientData/>
  </xdr:twoCellAnchor>
  <xdr:twoCellAnchor>
    <xdr:from>
      <xdr:col>11</xdr:col>
      <xdr:colOff>190500</xdr:colOff>
      <xdr:row>16</xdr:row>
      <xdr:rowOff>10584</xdr:rowOff>
    </xdr:from>
    <xdr:to>
      <xdr:col>11</xdr:col>
      <xdr:colOff>476250</xdr:colOff>
      <xdr:row>20</xdr:row>
      <xdr:rowOff>10583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B4739DAC-C95F-E958-521A-3D5FB9B5F2DE}"/>
            </a:ext>
          </a:extLst>
        </xdr:cNvPr>
        <xdr:cNvSpPr/>
      </xdr:nvSpPr>
      <xdr:spPr>
        <a:xfrm>
          <a:off x="10784417" y="3418417"/>
          <a:ext cx="285750" cy="836083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660399</xdr:colOff>
      <xdr:row>22</xdr:row>
      <xdr:rowOff>14818</xdr:rowOff>
    </xdr:from>
    <xdr:to>
      <xdr:col>17</xdr:col>
      <xdr:colOff>416982</xdr:colOff>
      <xdr:row>25</xdr:row>
      <xdr:rowOff>179917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2B0D1FAF-A9D3-4739-99F5-DB7D29FB6C61}"/>
            </a:ext>
          </a:extLst>
        </xdr:cNvPr>
        <xdr:cNvSpPr txBox="1"/>
      </xdr:nvSpPr>
      <xdr:spPr>
        <a:xfrm>
          <a:off x="11254316" y="4660901"/>
          <a:ext cx="5535083" cy="800099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/>
            <a:t>Valor</a:t>
          </a:r>
          <a:r>
            <a:rPr lang="es-CL" sz="1600" baseline="0"/>
            <a:t> promedio según semestre y flota, obtenido al considerar solo el periodo de monitoreo (2019 - 2021).</a:t>
          </a:r>
          <a:endParaRPr lang="es-CL" sz="1600"/>
        </a:p>
      </xdr:txBody>
    </xdr:sp>
    <xdr:clientData/>
  </xdr:twoCellAnchor>
  <xdr:twoCellAnchor>
    <xdr:from>
      <xdr:col>11</xdr:col>
      <xdr:colOff>205316</xdr:colOff>
      <xdr:row>22</xdr:row>
      <xdr:rowOff>25401</xdr:rowOff>
    </xdr:from>
    <xdr:to>
      <xdr:col>11</xdr:col>
      <xdr:colOff>465666</xdr:colOff>
      <xdr:row>26</xdr:row>
      <xdr:rowOff>1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B9EEBD26-8343-4AE0-AF59-DCBCF3BB20DE}"/>
            </a:ext>
          </a:extLst>
        </xdr:cNvPr>
        <xdr:cNvSpPr/>
      </xdr:nvSpPr>
      <xdr:spPr>
        <a:xfrm>
          <a:off x="10799233" y="4671484"/>
          <a:ext cx="260350" cy="810684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812799</xdr:colOff>
      <xdr:row>28</xdr:row>
      <xdr:rowOff>8468</xdr:rowOff>
    </xdr:from>
    <xdr:to>
      <xdr:col>15</xdr:col>
      <xdr:colOff>10583</xdr:colOff>
      <xdr:row>31</xdr:row>
      <xdr:rowOff>173567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0F6B8D4-B5A3-4ADD-9CC4-42121D96F977}"/>
            </a:ext>
          </a:extLst>
        </xdr:cNvPr>
        <xdr:cNvSpPr txBox="1"/>
      </xdr:nvSpPr>
      <xdr:spPr>
        <a:xfrm>
          <a:off x="7554382" y="5892801"/>
          <a:ext cx="6902451" cy="800099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/>
            <a:t>Valor</a:t>
          </a:r>
          <a:r>
            <a:rPr lang="es-CL" sz="1600" baseline="0"/>
            <a:t> promedio según semestre, para la zona norte (contiene ambas flotas), obtenido al considerar solo el periodo de monitoreo (2019 - 2021).</a:t>
          </a:r>
          <a:endParaRPr lang="es-CL" sz="1600"/>
        </a:p>
      </xdr:txBody>
    </xdr:sp>
    <xdr:clientData/>
  </xdr:twoCellAnchor>
  <xdr:twoCellAnchor>
    <xdr:from>
      <xdr:col>7</xdr:col>
      <xdr:colOff>357716</xdr:colOff>
      <xdr:row>28</xdr:row>
      <xdr:rowOff>19051</xdr:rowOff>
    </xdr:from>
    <xdr:to>
      <xdr:col>7</xdr:col>
      <xdr:colOff>618066</xdr:colOff>
      <xdr:row>31</xdr:row>
      <xdr:rowOff>194735</xdr:rowOff>
    </xdr:to>
    <xdr:sp macro="" textlink="">
      <xdr:nvSpPr>
        <xdr:cNvPr id="9" name="Cerrar llave 8">
          <a:extLst>
            <a:ext uri="{FF2B5EF4-FFF2-40B4-BE49-F238E27FC236}">
              <a16:creationId xmlns:a16="http://schemas.microsoft.com/office/drawing/2014/main" id="{198F8B9F-0B09-4A60-A836-E8DEE6512788}"/>
            </a:ext>
          </a:extLst>
        </xdr:cNvPr>
        <xdr:cNvSpPr/>
      </xdr:nvSpPr>
      <xdr:spPr>
        <a:xfrm>
          <a:off x="7099299" y="5903384"/>
          <a:ext cx="260350" cy="810684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17</xdr:col>
      <xdr:colOff>514350</xdr:colOff>
      <xdr:row>11</xdr:row>
      <xdr:rowOff>152400</xdr:rowOff>
    </xdr:from>
    <xdr:to>
      <xdr:col>19</xdr:col>
      <xdr:colOff>438150</xdr:colOff>
      <xdr:row>14</xdr:row>
      <xdr:rowOff>76200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31FCDEEB-7C00-DEF1-8A73-CE3D72D4EB00}"/>
            </a:ext>
          </a:extLst>
        </xdr:cNvPr>
        <xdr:cNvSpPr/>
      </xdr:nvSpPr>
      <xdr:spPr>
        <a:xfrm>
          <a:off x="16868775" y="2552700"/>
          <a:ext cx="1419225" cy="533400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ln w="19050"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18</xdr:row>
      <xdr:rowOff>152400</xdr:rowOff>
    </xdr:from>
    <xdr:to>
      <xdr:col>16</xdr:col>
      <xdr:colOff>29210</xdr:colOff>
      <xdr:row>32</xdr:row>
      <xdr:rowOff>95251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507A931-8CA5-6D19-D38E-D988226A9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8134350"/>
          <a:ext cx="10728960" cy="2743200"/>
        </a:xfrm>
        <a:prstGeom prst="rect">
          <a:avLst/>
        </a:prstGeom>
      </xdr:spPr>
    </xdr:pic>
    <xdr:clientData/>
  </xdr:twoCellAnchor>
  <xdr:twoCellAnchor>
    <xdr:from>
      <xdr:col>9</xdr:col>
      <xdr:colOff>152400</xdr:colOff>
      <xdr:row>25</xdr:row>
      <xdr:rowOff>76200</xdr:rowOff>
    </xdr:from>
    <xdr:to>
      <xdr:col>9</xdr:col>
      <xdr:colOff>161925</xdr:colOff>
      <xdr:row>33</xdr:row>
      <xdr:rowOff>180975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946DE794-9F56-627F-BBAC-18E0297EEAF6}"/>
            </a:ext>
          </a:extLst>
        </xdr:cNvPr>
        <xdr:cNvCxnSpPr/>
      </xdr:nvCxnSpPr>
      <xdr:spPr>
        <a:xfrm>
          <a:off x="7934325" y="9458325"/>
          <a:ext cx="9525" cy="17049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27</xdr:row>
      <xdr:rowOff>114300</xdr:rowOff>
    </xdr:from>
    <xdr:to>
      <xdr:col>16</xdr:col>
      <xdr:colOff>428625</xdr:colOff>
      <xdr:row>27</xdr:row>
      <xdr:rowOff>123825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DA9D6CE7-C4A1-691D-712F-FD0F2EC343B0}"/>
            </a:ext>
          </a:extLst>
        </xdr:cNvPr>
        <xdr:cNvCxnSpPr/>
      </xdr:nvCxnSpPr>
      <xdr:spPr>
        <a:xfrm>
          <a:off x="8124825" y="9896475"/>
          <a:ext cx="5067300" cy="952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18</xdr:row>
      <xdr:rowOff>190500</xdr:rowOff>
    </xdr:from>
    <xdr:to>
      <xdr:col>12</xdr:col>
      <xdr:colOff>409575</xdr:colOff>
      <xdr:row>29</xdr:row>
      <xdr:rowOff>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E53C4B78-B06F-EAC3-6D9C-F9E389158BF7}"/>
            </a:ext>
          </a:extLst>
        </xdr:cNvPr>
        <xdr:cNvSpPr/>
      </xdr:nvSpPr>
      <xdr:spPr>
        <a:xfrm>
          <a:off x="8143875" y="8172450"/>
          <a:ext cx="2295525" cy="2009775"/>
        </a:xfrm>
        <a:prstGeom prst="rect">
          <a:avLst/>
        </a:prstGeom>
        <a:solidFill>
          <a:schemeClr val="accent2">
            <a:lumMod val="20000"/>
            <a:lumOff val="80000"/>
            <a:alpha val="4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747890</xdr:colOff>
      <xdr:row>1</xdr:row>
      <xdr:rowOff>146754</xdr:rowOff>
    </xdr:from>
    <xdr:to>
      <xdr:col>19</xdr:col>
      <xdr:colOff>77612</xdr:colOff>
      <xdr:row>6</xdr:row>
      <xdr:rowOff>197553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EC5D55F9-CB96-4AE5-855A-2A35BDE4A6D5}"/>
            </a:ext>
          </a:extLst>
        </xdr:cNvPr>
        <xdr:cNvSpPr txBox="1"/>
      </xdr:nvSpPr>
      <xdr:spPr>
        <a:xfrm>
          <a:off x="9842501" y="344310"/>
          <a:ext cx="4981222" cy="1172632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Estimaciones de captura año 2017</a:t>
          </a:r>
          <a:r>
            <a:rPr lang="es-CL" sz="1100" baseline="0"/>
            <a:t>, no consideradas por bajo tamaño de muestreo.</a:t>
          </a:r>
          <a:endParaRPr lang="es-CL" sz="1100"/>
        </a:p>
        <a:p>
          <a:r>
            <a:rPr lang="es-CL" sz="1100"/>
            <a:t>Estimaciones</a:t>
          </a:r>
          <a:r>
            <a:rPr lang="es-CL" sz="1100" baseline="0"/>
            <a:t> de captura año 2021, solo considera información correspondiente al primer semestre (18 viajes de 629 realizados por la pesquería). En el 2do semestre solo se contó con 2 de 59 viajes realizados por la pesquería, por lo que, por poco representativo, no se consideró dicho semestre.</a:t>
          </a:r>
          <a:endParaRPr lang="es-CL" sz="1100"/>
        </a:p>
      </xdr:txBody>
    </xdr:sp>
    <xdr:clientData/>
  </xdr:twoCellAnchor>
  <xdr:twoCellAnchor>
    <xdr:from>
      <xdr:col>11</xdr:col>
      <xdr:colOff>56447</xdr:colOff>
      <xdr:row>8</xdr:row>
      <xdr:rowOff>108653</xdr:rowOff>
    </xdr:from>
    <xdr:to>
      <xdr:col>11</xdr:col>
      <xdr:colOff>704447</xdr:colOff>
      <xdr:row>8</xdr:row>
      <xdr:rowOff>108653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A06F6E62-8209-917A-4E52-3DD0025DD633}"/>
            </a:ext>
          </a:extLst>
        </xdr:cNvPr>
        <xdr:cNvCxnSpPr/>
      </xdr:nvCxnSpPr>
      <xdr:spPr>
        <a:xfrm>
          <a:off x="9151058" y="4504264"/>
          <a:ext cx="648000" cy="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303389</xdr:colOff>
      <xdr:row>2</xdr:row>
      <xdr:rowOff>14111</xdr:rowOff>
    </xdr:from>
    <xdr:to>
      <xdr:col>11</xdr:col>
      <xdr:colOff>589139</xdr:colOff>
      <xdr:row>7</xdr:row>
      <xdr:rowOff>0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DAE3A945-5BE1-4212-8D9A-8F99AD85672F}"/>
            </a:ext>
          </a:extLst>
        </xdr:cNvPr>
        <xdr:cNvSpPr/>
      </xdr:nvSpPr>
      <xdr:spPr>
        <a:xfrm>
          <a:off x="9398000" y="3224389"/>
          <a:ext cx="285750" cy="973667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745067</xdr:colOff>
      <xdr:row>7</xdr:row>
      <xdr:rowOff>108652</xdr:rowOff>
    </xdr:from>
    <xdr:to>
      <xdr:col>19</xdr:col>
      <xdr:colOff>63501</xdr:colOff>
      <xdr:row>11</xdr:row>
      <xdr:rowOff>98771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11C2FAC5-244D-4928-AAFD-A4F01C226F73}"/>
            </a:ext>
          </a:extLst>
        </xdr:cNvPr>
        <xdr:cNvSpPr txBox="1"/>
      </xdr:nvSpPr>
      <xdr:spPr>
        <a:xfrm>
          <a:off x="9839678" y="1632652"/>
          <a:ext cx="4969934" cy="801508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Estimaciones</a:t>
          </a:r>
          <a:r>
            <a:rPr lang="es-CL" sz="1100" baseline="0"/>
            <a:t> de captura año 2021, sin considerar lance con descarte anomalo (</a:t>
          </a:r>
          <a:r>
            <a:rPr lang="es-CL" sz="1100" b="1" i="0" baseline="0"/>
            <a:t>20 t, lance con poca pesca</a:t>
          </a:r>
          <a:r>
            <a:rPr lang="es-CL" sz="1100" baseline="0"/>
            <a:t>). Al eliminar dicho lance, el porcentaje de descarte para el año 2021 baja de 8.45% a un 5.52%.</a:t>
          </a:r>
          <a:endParaRPr lang="es-CL" sz="1100"/>
        </a:p>
      </xdr:txBody>
    </xdr:sp>
    <xdr:clientData/>
  </xdr:twoCellAnchor>
  <xdr:twoCellAnchor>
    <xdr:from>
      <xdr:col>8</xdr:col>
      <xdr:colOff>769056</xdr:colOff>
      <xdr:row>27</xdr:row>
      <xdr:rowOff>7056</xdr:rowOff>
    </xdr:from>
    <xdr:to>
      <xdr:col>9</xdr:col>
      <xdr:colOff>351054</xdr:colOff>
      <xdr:row>28</xdr:row>
      <xdr:rowOff>19944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970F85C6-0130-4917-9F46-C40BE83636E4}"/>
            </a:ext>
          </a:extLst>
        </xdr:cNvPr>
        <xdr:cNvSpPr/>
      </xdr:nvSpPr>
      <xdr:spPr>
        <a:xfrm>
          <a:off x="7500056" y="5305778"/>
          <a:ext cx="456887" cy="210444"/>
        </a:xfrm>
        <a:prstGeom prst="rect">
          <a:avLst/>
        </a:prstGeom>
        <a:solidFill>
          <a:srgbClr val="FF0000">
            <a:alpha val="41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98778</xdr:colOff>
      <xdr:row>11</xdr:row>
      <xdr:rowOff>21168</xdr:rowOff>
    </xdr:from>
    <xdr:to>
      <xdr:col>8</xdr:col>
      <xdr:colOff>384528</xdr:colOff>
      <xdr:row>13</xdr:row>
      <xdr:rowOff>197556</xdr:rowOff>
    </xdr:to>
    <xdr:sp macro="" textlink="">
      <xdr:nvSpPr>
        <xdr:cNvPr id="15" name="Cerrar llave 14">
          <a:extLst>
            <a:ext uri="{FF2B5EF4-FFF2-40B4-BE49-F238E27FC236}">
              <a16:creationId xmlns:a16="http://schemas.microsoft.com/office/drawing/2014/main" id="{4981D9C1-AD4F-4161-8696-900136437392}"/>
            </a:ext>
          </a:extLst>
        </xdr:cNvPr>
        <xdr:cNvSpPr/>
      </xdr:nvSpPr>
      <xdr:spPr>
        <a:xfrm>
          <a:off x="6829778" y="2159001"/>
          <a:ext cx="285750" cy="578555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500943</xdr:colOff>
      <xdr:row>11</xdr:row>
      <xdr:rowOff>2824</xdr:rowOff>
    </xdr:from>
    <xdr:to>
      <xdr:col>13</xdr:col>
      <xdr:colOff>508000</xdr:colOff>
      <xdr:row>16</xdr:row>
      <xdr:rowOff>77611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B7C4D75-E78F-4864-8031-B0B41EE39822}"/>
            </a:ext>
          </a:extLst>
        </xdr:cNvPr>
        <xdr:cNvSpPr txBox="1"/>
      </xdr:nvSpPr>
      <xdr:spPr>
        <a:xfrm>
          <a:off x="7231943" y="2338213"/>
          <a:ext cx="3739446" cy="1076676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</a:t>
          </a:r>
          <a:r>
            <a:rPr lang="es-C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promedio para el periodo 2019 - 2021.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L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azul se presenta el promedio, considerando el valor re-estimado para el año 2021. Al considerar dicha re-estimación, el porcentaje de descarte baja de 3.7% a un 2.9%.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L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L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7943</xdr:rowOff>
    </xdr:from>
    <xdr:to>
      <xdr:col>12</xdr:col>
      <xdr:colOff>557621</xdr:colOff>
      <xdr:row>49</xdr:row>
      <xdr:rowOff>73528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D7FDF9-3568-123D-EE01-A02A5B262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7875" y="16629068"/>
          <a:ext cx="11117898" cy="2310764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36</xdr:row>
      <xdr:rowOff>0</xdr:rowOff>
    </xdr:from>
    <xdr:to>
      <xdr:col>5</xdr:col>
      <xdr:colOff>485775</xdr:colOff>
      <xdr:row>37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2C70853D-BC76-3A8B-F191-43404E7F3E47}"/>
            </a:ext>
          </a:extLst>
        </xdr:cNvPr>
        <xdr:cNvCxnSpPr/>
      </xdr:nvCxnSpPr>
      <xdr:spPr>
        <a:xfrm>
          <a:off x="8039100" y="15059025"/>
          <a:ext cx="9525" cy="7905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18143</xdr:colOff>
      <xdr:row>16</xdr:row>
      <xdr:rowOff>172365</xdr:rowOff>
    </xdr:from>
    <xdr:to>
      <xdr:col>16</xdr:col>
      <xdr:colOff>943428</xdr:colOff>
      <xdr:row>30</xdr:row>
      <xdr:rowOff>18143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2DB42305-6F01-4B97-B072-9020D324F5E4}"/>
            </a:ext>
          </a:extLst>
        </xdr:cNvPr>
        <xdr:cNvSpPr txBox="1"/>
      </xdr:nvSpPr>
      <xdr:spPr>
        <a:xfrm>
          <a:off x="10522857" y="3546936"/>
          <a:ext cx="5733142" cy="2585350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200" b="1"/>
            <a:t>FLOTA ARTESANAL:</a:t>
          </a:r>
        </a:p>
        <a:p>
          <a:endParaRPr lang="es-CL" sz="1200"/>
        </a:p>
        <a:p>
          <a:r>
            <a:rPr lang="es-CL" sz="1200"/>
            <a:t>2017.0:</a:t>
          </a:r>
          <a:r>
            <a:rPr lang="es-CL" sz="1200" baseline="0"/>
            <a:t> Considera R5 y R8. R14 no representativa (7 de 746).</a:t>
          </a:r>
        </a:p>
        <a:p>
          <a:r>
            <a:rPr lang="es-CL" sz="1200"/>
            <a:t>2017.5:</a:t>
          </a:r>
          <a:r>
            <a:rPr lang="es-CL" sz="1200" baseline="0"/>
            <a:t> Considera R14. R8 no considerado (%D=20.06%). R5 no representativa (3 de 20).</a:t>
          </a:r>
        </a:p>
        <a:p>
          <a:r>
            <a:rPr lang="es-CL" sz="1200" baseline="0"/>
            <a:t>2018.0: Considera R8 y R14. R5 no representativa (4 de 129).</a:t>
          </a:r>
        </a:p>
        <a:p>
          <a:r>
            <a:rPr lang="es-CL" sz="1200" baseline="0"/>
            <a:t>2018.5: Considera R8 y R14. R5 no muestreado (0 de 87).</a:t>
          </a:r>
        </a:p>
        <a:p>
          <a:r>
            <a:rPr lang="es-CL" sz="1200" baseline="0"/>
            <a:t>2019.0: Considera R8. R14 no considerado (%D=15,84%). R5 no muestreado (0 de 277).</a:t>
          </a:r>
        </a:p>
        <a:p>
          <a:r>
            <a:rPr lang="es-CL" sz="1200" baseline="0"/>
            <a:t>2019.5: Considera R8 y R14. R5 no muestreado (0 de 47).</a:t>
          </a:r>
        </a:p>
        <a:p>
          <a:r>
            <a:rPr lang="es-CL" sz="1200" baseline="0"/>
            <a:t>2020.0: Sin estimación.</a:t>
          </a:r>
        </a:p>
        <a:p>
          <a:r>
            <a:rPr lang="es-CL" sz="1200" baseline="0"/>
            <a:t>2020.5: Sin estimación.</a:t>
          </a:r>
        </a:p>
        <a:p>
          <a:r>
            <a:rPr lang="es-CL" sz="1200" baseline="0"/>
            <a:t>2021.0: Considera R8. R5 (0 de 1) y R14 (0 de 690) no muestreado.</a:t>
          </a:r>
        </a:p>
        <a:p>
          <a:r>
            <a:rPr lang="es-CL" sz="1200" baseline="0"/>
            <a:t>2021.5: Sin estimación.</a:t>
          </a:r>
          <a:endParaRPr lang="es-CL" sz="1200"/>
        </a:p>
      </xdr:txBody>
    </xdr:sp>
    <xdr:clientData/>
  </xdr:twoCellAnchor>
  <xdr:twoCellAnchor>
    <xdr:from>
      <xdr:col>7</xdr:col>
      <xdr:colOff>482301</xdr:colOff>
      <xdr:row>17</xdr:row>
      <xdr:rowOff>99786</xdr:rowOff>
    </xdr:from>
    <xdr:to>
      <xdr:col>10</xdr:col>
      <xdr:colOff>789214</xdr:colOff>
      <xdr:row>21</xdr:row>
      <xdr:rowOff>18145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BA48766C-9C35-429C-81B1-AAAE03BB3F68}"/>
            </a:ext>
          </a:extLst>
        </xdr:cNvPr>
        <xdr:cNvSpPr txBox="1"/>
      </xdr:nvSpPr>
      <xdr:spPr>
        <a:xfrm>
          <a:off x="7140730" y="3692072"/>
          <a:ext cx="3191627" cy="752930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</a:t>
          </a:r>
          <a:r>
            <a:rPr lang="es-CL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promedio según semestre y flota, obtenido al considerar el periodo de monitoreo (2017 - 2021).</a:t>
          </a:r>
          <a:endParaRPr lang="es-CL" sz="1800">
            <a:effectLst/>
          </a:endParaRPr>
        </a:p>
      </xdr:txBody>
    </xdr:sp>
    <xdr:clientData/>
  </xdr:twoCellAnchor>
  <xdr:twoCellAnchor>
    <xdr:from>
      <xdr:col>7</xdr:col>
      <xdr:colOff>117928</xdr:colOff>
      <xdr:row>18</xdr:row>
      <xdr:rowOff>10582</xdr:rowOff>
    </xdr:from>
    <xdr:to>
      <xdr:col>7</xdr:col>
      <xdr:colOff>403678</xdr:colOff>
      <xdr:row>21</xdr:row>
      <xdr:rowOff>5725</xdr:rowOff>
    </xdr:to>
    <xdr:sp macro="" textlink="">
      <xdr:nvSpPr>
        <xdr:cNvPr id="9" name="Cerrar llave 8">
          <a:extLst>
            <a:ext uri="{FF2B5EF4-FFF2-40B4-BE49-F238E27FC236}">
              <a16:creationId xmlns:a16="http://schemas.microsoft.com/office/drawing/2014/main" id="{6473CF4B-15BB-444A-A6FB-78E5394F7CC3}"/>
            </a:ext>
          </a:extLst>
        </xdr:cNvPr>
        <xdr:cNvSpPr/>
      </xdr:nvSpPr>
      <xdr:spPr>
        <a:xfrm>
          <a:off x="6776357" y="3602868"/>
          <a:ext cx="285750" cy="6120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27214</xdr:colOff>
      <xdr:row>22</xdr:row>
      <xdr:rowOff>132040</xdr:rowOff>
    </xdr:from>
    <xdr:to>
      <xdr:col>7</xdr:col>
      <xdr:colOff>397526</xdr:colOff>
      <xdr:row>22</xdr:row>
      <xdr:rowOff>132040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6C1D5024-38F8-4252-BAE0-ACD0DE13870B}"/>
            </a:ext>
          </a:extLst>
        </xdr:cNvPr>
        <xdr:cNvCxnSpPr/>
      </xdr:nvCxnSpPr>
      <xdr:spPr>
        <a:xfrm>
          <a:off x="6685643" y="4758469"/>
          <a:ext cx="370312" cy="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480785</xdr:colOff>
      <xdr:row>21</xdr:row>
      <xdr:rowOff>127000</xdr:rowOff>
    </xdr:from>
    <xdr:to>
      <xdr:col>10</xdr:col>
      <xdr:colOff>798286</xdr:colOff>
      <xdr:row>30</xdr:row>
      <xdr:rowOff>27214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E4EA8BB2-A174-486E-A3D2-9979BBE0F44E}"/>
            </a:ext>
          </a:extLst>
        </xdr:cNvPr>
        <xdr:cNvSpPr txBox="1"/>
      </xdr:nvSpPr>
      <xdr:spPr>
        <a:xfrm>
          <a:off x="7139214" y="4553857"/>
          <a:ext cx="3202215" cy="1587500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Valor promedio según semestre y flota, obtenido</a:t>
          </a:r>
          <a:r>
            <a:rPr lang="es-CL" sz="1100" baseline="0"/>
            <a:t> sin considerar el año 2021. Al eliminar dicho año, el porcentaje de descarte promedio para el 1er semestre baja de 5.7% a un 1.8%.</a:t>
          </a:r>
        </a:p>
        <a:p>
          <a:endParaRPr lang="es-CL" sz="1100" baseline="0"/>
        </a:p>
        <a:p>
          <a:r>
            <a:rPr lang="es-CL" sz="1100" baseline="0"/>
            <a:t>Recordar que se consideró como no representativo el valor del año 2021, ya que corresponde a una sola región. Descartes anomalos.</a:t>
          </a:r>
          <a:endParaRPr lang="es-CL" sz="1100"/>
        </a:p>
      </xdr:txBody>
    </xdr:sp>
    <xdr:clientData/>
  </xdr:twoCellAnchor>
  <xdr:twoCellAnchor>
    <xdr:from>
      <xdr:col>7</xdr:col>
      <xdr:colOff>469899</xdr:colOff>
      <xdr:row>30</xdr:row>
      <xdr:rowOff>79828</xdr:rowOff>
    </xdr:from>
    <xdr:to>
      <xdr:col>16</xdr:col>
      <xdr:colOff>952500</xdr:colOff>
      <xdr:row>33</xdr:row>
      <xdr:rowOff>127000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CA0909B8-E644-4CCC-92E2-A5089929AA88}"/>
            </a:ext>
          </a:extLst>
        </xdr:cNvPr>
        <xdr:cNvSpPr txBox="1"/>
      </xdr:nvSpPr>
      <xdr:spPr>
        <a:xfrm>
          <a:off x="7128328" y="6193971"/>
          <a:ext cx="9136743" cy="645886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En</a:t>
          </a:r>
          <a:r>
            <a:rPr lang="es-CL" sz="1100" baseline="0"/>
            <a:t> azul se presentan los valores obtenidos al considerar año biológico (flota artesanal).</a:t>
          </a:r>
        </a:p>
        <a:p>
          <a:r>
            <a:rPr lang="es-CL" sz="1100" baseline="0"/>
            <a:t>Recordar que "2017 / 2018" y "2018 / 2019" son los unicos años con información de ambos semestres.</a:t>
          </a:r>
        </a:p>
      </xdr:txBody>
    </xdr:sp>
    <xdr:clientData/>
  </xdr:twoCellAnchor>
  <xdr:twoCellAnchor>
    <xdr:from>
      <xdr:col>7</xdr:col>
      <xdr:colOff>52614</xdr:colOff>
      <xdr:row>30</xdr:row>
      <xdr:rowOff>193726</xdr:rowOff>
    </xdr:from>
    <xdr:to>
      <xdr:col>7</xdr:col>
      <xdr:colOff>422926</xdr:colOff>
      <xdr:row>30</xdr:row>
      <xdr:rowOff>193726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DBF74A7B-C233-4AA8-8B2C-FF16DCC129E5}"/>
            </a:ext>
          </a:extLst>
        </xdr:cNvPr>
        <xdr:cNvCxnSpPr/>
      </xdr:nvCxnSpPr>
      <xdr:spPr>
        <a:xfrm>
          <a:off x="6711043" y="6307869"/>
          <a:ext cx="370312" cy="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13</xdr:row>
      <xdr:rowOff>50800</xdr:rowOff>
    </xdr:from>
    <xdr:to>
      <xdr:col>6</xdr:col>
      <xdr:colOff>465666</xdr:colOff>
      <xdr:row>15</xdr:row>
      <xdr:rowOff>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49010891-02AF-380F-1CAE-1F49A447B82D}"/>
            </a:ext>
          </a:extLst>
        </xdr:cNvPr>
        <xdr:cNvCxnSpPr/>
      </xdr:nvCxnSpPr>
      <xdr:spPr>
        <a:xfrm>
          <a:off x="6129867" y="2734733"/>
          <a:ext cx="8466" cy="37253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32657</xdr:colOff>
      <xdr:row>39</xdr:row>
      <xdr:rowOff>185061</xdr:rowOff>
    </xdr:from>
    <xdr:to>
      <xdr:col>11</xdr:col>
      <xdr:colOff>953496</xdr:colOff>
      <xdr:row>43</xdr:row>
      <xdr:rowOff>54432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374BCE-8A12-E08F-F226-FABDB18A7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9228" y="17362718"/>
          <a:ext cx="10546080" cy="1524000"/>
        </a:xfrm>
        <a:prstGeom prst="rect">
          <a:avLst/>
        </a:prstGeom>
      </xdr:spPr>
    </xdr:pic>
    <xdr:clientData/>
  </xdr:twoCellAnchor>
  <xdr:twoCellAnchor>
    <xdr:from>
      <xdr:col>5</xdr:col>
      <xdr:colOff>683984</xdr:colOff>
      <xdr:row>38</xdr:row>
      <xdr:rowOff>112488</xdr:rowOff>
    </xdr:from>
    <xdr:to>
      <xdr:col>7</xdr:col>
      <xdr:colOff>237670</xdr:colOff>
      <xdr:row>39</xdr:row>
      <xdr:rowOff>163289</xdr:rowOff>
    </xdr:to>
    <xdr:sp macro="" textlink="">
      <xdr:nvSpPr>
        <xdr:cNvPr id="3" name="Abrir llave 2">
          <a:extLst>
            <a:ext uri="{FF2B5EF4-FFF2-40B4-BE49-F238E27FC236}">
              <a16:creationId xmlns:a16="http://schemas.microsoft.com/office/drawing/2014/main" id="{EB86EFA8-DAA8-D9FB-5442-C36A5BC20C40}"/>
            </a:ext>
          </a:extLst>
        </xdr:cNvPr>
        <xdr:cNvSpPr/>
      </xdr:nvSpPr>
      <xdr:spPr>
        <a:xfrm rot="5400000">
          <a:off x="6105069" y="6955974"/>
          <a:ext cx="250373" cy="1476829"/>
        </a:xfrm>
        <a:prstGeom prst="leftBrace">
          <a:avLst>
            <a:gd name="adj1" fmla="val 8333"/>
            <a:gd name="adj2" fmla="val 48771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235855</xdr:colOff>
      <xdr:row>16</xdr:row>
      <xdr:rowOff>108861</xdr:rowOff>
    </xdr:from>
    <xdr:to>
      <xdr:col>17</xdr:col>
      <xdr:colOff>199573</xdr:colOff>
      <xdr:row>32</xdr:row>
      <xdr:rowOff>45355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80AB6298-1114-4960-9402-32B9EF87DA11}"/>
            </a:ext>
          </a:extLst>
        </xdr:cNvPr>
        <xdr:cNvSpPr txBox="1"/>
      </xdr:nvSpPr>
      <xdr:spPr>
        <a:xfrm>
          <a:off x="10813141" y="3447147"/>
          <a:ext cx="5733146" cy="2803065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200" b="1"/>
            <a:t>FLOTA ARTESANAL:</a:t>
          </a:r>
        </a:p>
        <a:p>
          <a:endParaRPr lang="es-CL" sz="1200"/>
        </a:p>
        <a:p>
          <a:r>
            <a:rPr lang="es-CL" sz="1200"/>
            <a:t>2017.0:</a:t>
          </a:r>
          <a:r>
            <a:rPr lang="es-CL" sz="1200" baseline="0"/>
            <a:t> Considera R5 y R8. R14 no representativa (7 de 746).</a:t>
          </a:r>
        </a:p>
        <a:p>
          <a:r>
            <a:rPr lang="es-CL" sz="1200"/>
            <a:t>2017.5:</a:t>
          </a:r>
          <a:r>
            <a:rPr lang="es-CL" sz="1200" baseline="0"/>
            <a:t> Considera R14. R8 no considerado (%D=9.04%). R5 no representativa (3 de 20).</a:t>
          </a:r>
        </a:p>
        <a:p>
          <a:r>
            <a:rPr lang="es-CL" sz="1200" baseline="0"/>
            <a:t>2018.0: Considera R8 y R14. R5 no representativa (4 de 129).</a:t>
          </a:r>
        </a:p>
        <a:p>
          <a:r>
            <a:rPr lang="es-CL" sz="1200" baseline="0"/>
            <a:t>2018.5: Considera R8 y R14. R5 no muestreado (0 de 87).</a:t>
          </a:r>
        </a:p>
        <a:p>
          <a:r>
            <a:rPr lang="es-CL" sz="1200" baseline="0"/>
            <a:t>2019.0: Considera R8. R14 no considerado (%D=16,35%). R5 no muestreado (0 de 277).</a:t>
          </a:r>
        </a:p>
        <a:p>
          <a:r>
            <a:rPr lang="es-CL" sz="1200" baseline="0"/>
            <a:t>2019.5: Considera R8 y R14. R5 no muestreado (0 de 47).</a:t>
          </a:r>
        </a:p>
        <a:p>
          <a:r>
            <a:rPr lang="es-CL" sz="1200" baseline="0"/>
            <a:t>2020.0: Sin estimación.</a:t>
          </a:r>
        </a:p>
        <a:p>
          <a:r>
            <a:rPr lang="es-CL" sz="1200" baseline="0"/>
            <a:t>2020.5: Sin estimación.</a:t>
          </a:r>
        </a:p>
        <a:p>
          <a:r>
            <a:rPr lang="es-CL" sz="1200" baseline="0"/>
            <a:t>2021.0: Considera R8. R5 (0 de 1) y R14 (0 de 690) no muestreado.</a:t>
          </a:r>
        </a:p>
        <a:p>
          <a:r>
            <a:rPr lang="es-CL" sz="1200" baseline="0"/>
            <a:t>2021.5: Sin estimación.</a:t>
          </a:r>
          <a:endParaRPr lang="es-CL" sz="1200"/>
        </a:p>
      </xdr:txBody>
    </xdr:sp>
    <xdr:clientData/>
  </xdr:twoCellAnchor>
  <xdr:twoCellAnchor>
    <xdr:from>
      <xdr:col>7</xdr:col>
      <xdr:colOff>482301</xdr:colOff>
      <xdr:row>17</xdr:row>
      <xdr:rowOff>81642</xdr:rowOff>
    </xdr:from>
    <xdr:to>
      <xdr:col>11</xdr:col>
      <xdr:colOff>54428</xdr:colOff>
      <xdr:row>21</xdr:row>
      <xdr:rowOff>18143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8223B536-A31D-4FDD-97D6-36A1D439C2D9}"/>
            </a:ext>
          </a:extLst>
        </xdr:cNvPr>
        <xdr:cNvSpPr txBox="1"/>
      </xdr:nvSpPr>
      <xdr:spPr>
        <a:xfrm>
          <a:off x="7213301" y="3637642"/>
          <a:ext cx="3418413" cy="752930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</a:t>
          </a:r>
          <a:r>
            <a:rPr lang="es-CL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promedio según semestre y flota, obtenido al considerar el periodo de monitoreo (2017 - 2021).</a:t>
          </a:r>
          <a:endParaRPr lang="es-CL" sz="1800">
            <a:effectLst/>
          </a:endParaRPr>
        </a:p>
      </xdr:txBody>
    </xdr:sp>
    <xdr:clientData/>
  </xdr:twoCellAnchor>
  <xdr:twoCellAnchor>
    <xdr:from>
      <xdr:col>7</xdr:col>
      <xdr:colOff>117928</xdr:colOff>
      <xdr:row>17</xdr:row>
      <xdr:rowOff>210152</xdr:rowOff>
    </xdr:from>
    <xdr:to>
      <xdr:col>7</xdr:col>
      <xdr:colOff>403678</xdr:colOff>
      <xdr:row>21</xdr:row>
      <xdr:rowOff>5723</xdr:rowOff>
    </xdr:to>
    <xdr:sp macro="" textlink="">
      <xdr:nvSpPr>
        <xdr:cNvPr id="9" name="Cerrar llave 8">
          <a:extLst>
            <a:ext uri="{FF2B5EF4-FFF2-40B4-BE49-F238E27FC236}">
              <a16:creationId xmlns:a16="http://schemas.microsoft.com/office/drawing/2014/main" id="{CFC69F58-B20F-44F8-8ABE-62AA79E91283}"/>
            </a:ext>
          </a:extLst>
        </xdr:cNvPr>
        <xdr:cNvSpPr/>
      </xdr:nvSpPr>
      <xdr:spPr>
        <a:xfrm>
          <a:off x="6848928" y="3766152"/>
          <a:ext cx="285750" cy="6120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27214</xdr:colOff>
      <xdr:row>22</xdr:row>
      <xdr:rowOff>141113</xdr:rowOff>
    </xdr:from>
    <xdr:to>
      <xdr:col>7</xdr:col>
      <xdr:colOff>397526</xdr:colOff>
      <xdr:row>22</xdr:row>
      <xdr:rowOff>141113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1D0E9C4F-6D78-4DA8-9EAB-BF7D63E992D0}"/>
            </a:ext>
          </a:extLst>
        </xdr:cNvPr>
        <xdr:cNvCxnSpPr/>
      </xdr:nvCxnSpPr>
      <xdr:spPr>
        <a:xfrm>
          <a:off x="6758214" y="4713113"/>
          <a:ext cx="370312" cy="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480785</xdr:colOff>
      <xdr:row>21</xdr:row>
      <xdr:rowOff>136071</xdr:rowOff>
    </xdr:from>
    <xdr:to>
      <xdr:col>11</xdr:col>
      <xdr:colOff>54428</xdr:colOff>
      <xdr:row>32</xdr:row>
      <xdr:rowOff>36286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7146CB22-995D-4F5A-8DBC-9CBF8FAB7032}"/>
            </a:ext>
          </a:extLst>
        </xdr:cNvPr>
        <xdr:cNvSpPr txBox="1"/>
      </xdr:nvSpPr>
      <xdr:spPr>
        <a:xfrm>
          <a:off x="7211785" y="4508500"/>
          <a:ext cx="3419929" cy="1732643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Valor promedio para el 1</a:t>
          </a:r>
          <a:r>
            <a:rPr lang="es-CL" sz="1100" baseline="0"/>
            <a:t>er </a:t>
          </a:r>
          <a:r>
            <a:rPr lang="es-CL" sz="1100"/>
            <a:t>semestre (flota artesanal), obtenido</a:t>
          </a:r>
          <a:r>
            <a:rPr lang="es-CL" sz="1100" baseline="0"/>
            <a:t> sin considerar el año 2021. Al eliminar dicho año, el porcentaje de descarte promedio para el 1er semestre sube de 3.7% a un 4.4%.</a:t>
          </a:r>
        </a:p>
        <a:p>
          <a:endParaRPr lang="es-CL" sz="1100" baseline="0"/>
        </a:p>
        <a:p>
          <a:r>
            <a:rPr lang="es-CL" sz="1100" baseline="0"/>
            <a:t>Recordar que se consideró como no representativo el valor del año 2021, ya que corresponde a una sola región. Mantiene consistencia con decisión tomada para anchoveta en la misma zona. </a:t>
          </a:r>
          <a:endParaRPr lang="es-CL" sz="1100"/>
        </a:p>
      </xdr:txBody>
    </xdr:sp>
    <xdr:clientData/>
  </xdr:twoCellAnchor>
  <xdr:twoCellAnchor>
    <xdr:from>
      <xdr:col>7</xdr:col>
      <xdr:colOff>471714</xdr:colOff>
      <xdr:row>32</xdr:row>
      <xdr:rowOff>127001</xdr:rowOff>
    </xdr:from>
    <xdr:to>
      <xdr:col>17</xdr:col>
      <xdr:colOff>190500</xdr:colOff>
      <xdr:row>35</xdr:row>
      <xdr:rowOff>45358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BD194FD5-95C0-4534-B352-AAF71FD69D5F}"/>
            </a:ext>
          </a:extLst>
        </xdr:cNvPr>
        <xdr:cNvSpPr txBox="1"/>
      </xdr:nvSpPr>
      <xdr:spPr>
        <a:xfrm>
          <a:off x="7202714" y="6331858"/>
          <a:ext cx="9334500" cy="571500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En</a:t>
          </a:r>
          <a:r>
            <a:rPr lang="es-CL" sz="1100" baseline="0"/>
            <a:t> azul se presentan los valores obtenidos al considerar año biológico (flota artesanal).</a:t>
          </a:r>
        </a:p>
        <a:p>
          <a:r>
            <a:rPr lang="es-CL" sz="1100" baseline="0"/>
            <a:t>Recordar que "2017 / 2018" y "2018 / 2019" son los unicos años con información de ambos semestres.</a:t>
          </a:r>
        </a:p>
      </xdr:txBody>
    </xdr:sp>
    <xdr:clientData/>
  </xdr:twoCellAnchor>
  <xdr:twoCellAnchor>
    <xdr:from>
      <xdr:col>7</xdr:col>
      <xdr:colOff>27214</xdr:colOff>
      <xdr:row>31</xdr:row>
      <xdr:rowOff>18143</xdr:rowOff>
    </xdr:from>
    <xdr:to>
      <xdr:col>7</xdr:col>
      <xdr:colOff>352170</xdr:colOff>
      <xdr:row>32</xdr:row>
      <xdr:rowOff>186470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79F7D8AD-B9E6-4851-B221-DCC50F3B2ABE}"/>
            </a:ext>
          </a:extLst>
        </xdr:cNvPr>
        <xdr:cNvCxnSpPr/>
      </xdr:nvCxnSpPr>
      <xdr:spPr>
        <a:xfrm>
          <a:off x="6758214" y="6458857"/>
          <a:ext cx="324956" cy="367899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448726</xdr:colOff>
      <xdr:row>13</xdr:row>
      <xdr:rowOff>16934</xdr:rowOff>
    </xdr:from>
    <xdr:to>
      <xdr:col>6</xdr:col>
      <xdr:colOff>457192</xdr:colOff>
      <xdr:row>14</xdr:row>
      <xdr:rowOff>194734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C362EC6-65E7-4226-8C33-FAAE6F543D83}"/>
            </a:ext>
          </a:extLst>
        </xdr:cNvPr>
        <xdr:cNvCxnSpPr/>
      </xdr:nvCxnSpPr>
      <xdr:spPr>
        <a:xfrm>
          <a:off x="6189126" y="2700867"/>
          <a:ext cx="8466" cy="37253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128763</xdr:colOff>
      <xdr:row>0</xdr:row>
      <xdr:rowOff>88195</xdr:rowOff>
    </xdr:from>
    <xdr:to>
      <xdr:col>19</xdr:col>
      <xdr:colOff>502920</xdr:colOff>
      <xdr:row>10</xdr:row>
      <xdr:rowOff>63500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49AEF3F-5F99-4F7C-936C-CFDD108A3AFA}"/>
            </a:ext>
          </a:extLst>
        </xdr:cNvPr>
        <xdr:cNvSpPr txBox="1"/>
      </xdr:nvSpPr>
      <xdr:spPr>
        <a:xfrm>
          <a:off x="9577563" y="88195"/>
          <a:ext cx="6043437" cy="2101285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200" b="1"/>
            <a:t>FLOTA ARTESANAL:</a:t>
          </a:r>
        </a:p>
        <a:p>
          <a:endParaRPr lang="es-CL" sz="1200"/>
        </a:p>
        <a:p>
          <a:r>
            <a:rPr lang="es-CL" sz="1100"/>
            <a:t>2017:</a:t>
          </a:r>
          <a:r>
            <a:rPr lang="es-CL" sz="1100" baseline="0"/>
            <a:t> Considera solo 1er semestre. 2do semestre no muestreado (0 de 306).</a:t>
          </a:r>
        </a:p>
        <a:p>
          <a:r>
            <a:rPr lang="es-CL" sz="1100" baseline="0"/>
            <a:t>2018: Considera solo 2do semestre. 1er semestre no representativo (2 de 157).</a:t>
          </a: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2019:</a:t>
          </a:r>
          <a:r>
            <a:rPr lang="es-C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Considera solo 1er semestre. 2do semestre no representativo (8 de 238).</a:t>
          </a:r>
          <a:endParaRPr lang="es-CL" sz="11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2020:</a:t>
          </a:r>
          <a:r>
            <a:rPr lang="es-C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Considera ambos semestres.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2021:</a:t>
          </a:r>
          <a:r>
            <a:rPr lang="es-C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Considera solo 1er semestre. 2do semestre no muestreado (0 de 169).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L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*En 2021 no se registraron descartes (28 viajes con observador a bordo, 12 viajes con lances realizados).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L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558270</xdr:colOff>
      <xdr:row>10</xdr:row>
      <xdr:rowOff>142876</xdr:rowOff>
    </xdr:from>
    <xdr:to>
      <xdr:col>17</xdr:col>
      <xdr:colOff>31750</xdr:colOff>
      <xdr:row>13</xdr:row>
      <xdr:rowOff>152400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9CBD4C8E-A25D-4564-90F3-F44F6FF4C7A4}"/>
            </a:ext>
          </a:extLst>
        </xdr:cNvPr>
        <xdr:cNvSpPr txBox="1"/>
      </xdr:nvSpPr>
      <xdr:spPr>
        <a:xfrm>
          <a:off x="7782030" y="2268856"/>
          <a:ext cx="5737120" cy="619124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Valor</a:t>
          </a:r>
          <a:r>
            <a:rPr lang="es-CL" sz="1100" baseline="0"/>
            <a:t> promedio según periodo, para la flota artesanal.</a:t>
          </a:r>
        </a:p>
        <a:p>
          <a:r>
            <a:rPr lang="es-CL" sz="1100" baseline="0"/>
            <a:t>Periodo de investigación, no considera valor obtenido en año 2017 (se consideró como anomalo por ingreso de mucha anchoveta y sardina común).</a:t>
          </a:r>
          <a:endParaRPr lang="es-CL" sz="1100"/>
        </a:p>
      </xdr:txBody>
    </xdr:sp>
    <xdr:clientData/>
  </xdr:twoCellAnchor>
  <xdr:twoCellAnchor>
    <xdr:from>
      <xdr:col>8</xdr:col>
      <xdr:colOff>158749</xdr:colOff>
      <xdr:row>10</xdr:row>
      <xdr:rowOff>2646</xdr:rowOff>
    </xdr:from>
    <xdr:to>
      <xdr:col>8</xdr:col>
      <xdr:colOff>444499</xdr:colOff>
      <xdr:row>13</xdr:row>
      <xdr:rowOff>3459</xdr:rowOff>
    </xdr:to>
    <xdr:sp macro="" textlink="">
      <xdr:nvSpPr>
        <xdr:cNvPr id="5" name="Cerrar llave 4">
          <a:extLst>
            <a:ext uri="{FF2B5EF4-FFF2-40B4-BE49-F238E27FC236}">
              <a16:creationId xmlns:a16="http://schemas.microsoft.com/office/drawing/2014/main" id="{DC23DC91-7E09-4828-9F09-F854B8C9F349}"/>
            </a:ext>
          </a:extLst>
        </xdr:cNvPr>
        <xdr:cNvSpPr/>
      </xdr:nvSpPr>
      <xdr:spPr>
        <a:xfrm>
          <a:off x="7373937" y="1947334"/>
          <a:ext cx="285750" cy="6120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558270</xdr:colOff>
      <xdr:row>14</xdr:row>
      <xdr:rowOff>2</xdr:rowOff>
    </xdr:from>
    <xdr:to>
      <xdr:col>17</xdr:col>
      <xdr:colOff>55562</xdr:colOff>
      <xdr:row>16</xdr:row>
      <xdr:rowOff>47625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248D13C-8C67-4E2B-9B55-E0A536CE928E}"/>
            </a:ext>
          </a:extLst>
        </xdr:cNvPr>
        <xdr:cNvSpPr txBox="1"/>
      </xdr:nvSpPr>
      <xdr:spPr>
        <a:xfrm>
          <a:off x="7773458" y="2952752"/>
          <a:ext cx="5752042" cy="444498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* Valor</a:t>
          </a:r>
          <a:r>
            <a:rPr lang="es-CL" sz="1100" baseline="0"/>
            <a:t> promedio para el periodo 2018 - 2021 --&gt; deja afuera descarte anomalo de 2017.</a:t>
          </a:r>
        </a:p>
        <a:p>
          <a:r>
            <a:rPr lang="es-CL" sz="1100" baseline="0"/>
            <a:t>* Valor promedio para el periodo 2018 - 2020 --&gt; deja afuera descarte anomalo de 2017 y 2021. </a:t>
          </a:r>
        </a:p>
        <a:p>
          <a:endParaRPr lang="es-CL" sz="1100" baseline="0"/>
        </a:p>
      </xdr:txBody>
    </xdr:sp>
    <xdr:clientData/>
  </xdr:twoCellAnchor>
  <xdr:twoCellAnchor>
    <xdr:from>
      <xdr:col>8</xdr:col>
      <xdr:colOff>150814</xdr:colOff>
      <xdr:row>14</xdr:row>
      <xdr:rowOff>10585</xdr:rowOff>
    </xdr:from>
    <xdr:to>
      <xdr:col>8</xdr:col>
      <xdr:colOff>396878</xdr:colOff>
      <xdr:row>16</xdr:row>
      <xdr:rowOff>15876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0CAB01DD-82C8-4B6E-BFA3-35D0E1EAD4DE}"/>
            </a:ext>
          </a:extLst>
        </xdr:cNvPr>
        <xdr:cNvSpPr/>
      </xdr:nvSpPr>
      <xdr:spPr>
        <a:xfrm>
          <a:off x="7366002" y="2963335"/>
          <a:ext cx="246064" cy="402166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2:AMM42"/>
  <sheetViews>
    <sheetView tabSelected="1" topLeftCell="B1" zoomScale="80" zoomScaleNormal="80" workbookViewId="0">
      <selection activeCell="A2" sqref="A2:O2"/>
    </sheetView>
  </sheetViews>
  <sheetFormatPr baseColWidth="10" defaultColWidth="10.69921875" defaultRowHeight="15.6" x14ac:dyDescent="0.3"/>
  <cols>
    <col min="1" max="2" width="12.59765625" style="1" customWidth="1"/>
    <col min="3" max="3" width="12.59765625" style="5" customWidth="1"/>
    <col min="4" max="15" width="12.59765625" style="1" customWidth="1"/>
    <col min="16" max="16" width="12.59765625" style="7" customWidth="1"/>
    <col min="17" max="17" width="12.59765625" style="1" customWidth="1"/>
    <col min="18" max="18" width="7.19921875" style="1" customWidth="1"/>
    <col min="19" max="19" width="12.3984375" style="1" customWidth="1"/>
    <col min="20" max="20" width="10.69921875" style="1"/>
    <col min="21" max="21" width="11.796875" style="1" customWidth="1"/>
    <col min="22" max="22" width="10.69921875" style="1"/>
    <col min="23" max="23" width="12.3984375" style="1" customWidth="1"/>
    <col min="24" max="26" width="10.69921875" style="1"/>
    <col min="27" max="27" width="11.796875" style="1" customWidth="1"/>
    <col min="28" max="28" width="10.69921875" style="1"/>
    <col min="29" max="29" width="12.796875" style="1" customWidth="1"/>
    <col min="30" max="1027" width="10.69921875" style="1"/>
  </cols>
  <sheetData>
    <row r="2" spans="1:30" ht="25.8" thickBot="1" x14ac:dyDescent="0.5">
      <c r="A2" s="282" t="s">
        <v>29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54"/>
      <c r="Q2" s="46"/>
      <c r="R2" s="7"/>
      <c r="AB2" s="81"/>
      <c r="AC2" s="81"/>
      <c r="AD2" s="81"/>
    </row>
    <row r="3" spans="1:30" ht="18.600000000000001" thickBot="1" x14ac:dyDescent="0.4">
      <c r="C3" s="119"/>
      <c r="D3" s="286" t="s">
        <v>49</v>
      </c>
      <c r="E3" s="287"/>
      <c r="F3" s="287"/>
      <c r="G3" s="287"/>
      <c r="H3" s="287"/>
      <c r="I3" s="287"/>
      <c r="J3" s="287"/>
      <c r="K3" s="286" t="s">
        <v>50</v>
      </c>
      <c r="L3" s="287"/>
      <c r="M3" s="287"/>
      <c r="N3" s="287"/>
      <c r="O3" s="287"/>
      <c r="P3" s="287"/>
      <c r="Q3" s="288"/>
    </row>
    <row r="4" spans="1:30" ht="18" customHeight="1" thickBot="1" x14ac:dyDescent="0.35">
      <c r="B4" s="117" t="s">
        <v>20</v>
      </c>
      <c r="C4" s="118" t="s">
        <v>30</v>
      </c>
      <c r="D4" s="23" t="s">
        <v>26</v>
      </c>
      <c r="E4" s="23" t="s">
        <v>27</v>
      </c>
      <c r="F4" s="23" t="s">
        <v>28</v>
      </c>
      <c r="G4" s="23" t="s">
        <v>3</v>
      </c>
      <c r="H4" s="23" t="s">
        <v>4</v>
      </c>
      <c r="I4" s="23" t="s">
        <v>5</v>
      </c>
      <c r="J4" s="23" t="s">
        <v>6</v>
      </c>
      <c r="K4" s="117" t="s">
        <v>26</v>
      </c>
      <c r="L4" s="23" t="s">
        <v>27</v>
      </c>
      <c r="M4" s="23" t="s">
        <v>28</v>
      </c>
      <c r="N4" s="23" t="s">
        <v>3</v>
      </c>
      <c r="O4" s="23" t="s">
        <v>4</v>
      </c>
      <c r="P4" s="23" t="s">
        <v>5</v>
      </c>
      <c r="Q4" s="118" t="s">
        <v>6</v>
      </c>
    </row>
    <row r="5" spans="1:30" x14ac:dyDescent="0.3">
      <c r="B5" s="283" t="s">
        <v>21</v>
      </c>
      <c r="C5" s="140">
        <v>2017</v>
      </c>
      <c r="D5" s="115">
        <v>91182.2</v>
      </c>
      <c r="E5" s="115">
        <v>88289.8</v>
      </c>
      <c r="F5" s="115">
        <v>2892.4</v>
      </c>
      <c r="G5" s="116">
        <f>F5/D5</f>
        <v>3.1721103460982517E-2</v>
      </c>
      <c r="H5" s="151">
        <v>30</v>
      </c>
      <c r="I5" s="151">
        <v>2845</v>
      </c>
      <c r="J5" s="116">
        <f>H5/I5</f>
        <v>1.054481546572935E-2</v>
      </c>
      <c r="K5" s="123">
        <v>363031</v>
      </c>
      <c r="L5" s="26">
        <v>362619.9</v>
      </c>
      <c r="M5" s="26">
        <v>411.2</v>
      </c>
      <c r="N5" s="124">
        <f t="shared" ref="N5:N14" si="0">M5/K5</f>
        <v>1.132685638416554E-3</v>
      </c>
      <c r="O5" s="26">
        <v>43</v>
      </c>
      <c r="P5" s="26">
        <v>2210</v>
      </c>
      <c r="Q5" s="125">
        <f>O5/P5</f>
        <v>1.9457013574660634E-2</v>
      </c>
    </row>
    <row r="6" spans="1:30" x14ac:dyDescent="0.3">
      <c r="B6" s="284"/>
      <c r="C6" s="141">
        <v>2017.5</v>
      </c>
      <c r="D6" s="127">
        <v>48198</v>
      </c>
      <c r="E6" s="127">
        <v>46002.7</v>
      </c>
      <c r="F6" s="127">
        <v>2196.1999999999998</v>
      </c>
      <c r="G6" s="128">
        <f t="shared" ref="G6:G14" si="1">F6/D6</f>
        <v>4.5566206066641766E-2</v>
      </c>
      <c r="H6" s="152">
        <v>32</v>
      </c>
      <c r="I6" s="152">
        <v>1331</v>
      </c>
      <c r="J6" s="128">
        <f>H6/I6</f>
        <v>2.404207362885049E-2</v>
      </c>
      <c r="K6" s="129">
        <v>246901.6</v>
      </c>
      <c r="L6" s="127">
        <v>245701.8</v>
      </c>
      <c r="M6" s="127">
        <v>1199.8</v>
      </c>
      <c r="N6" s="128">
        <f t="shared" si="0"/>
        <v>4.8594257793388137E-3</v>
      </c>
      <c r="O6" s="126">
        <v>39</v>
      </c>
      <c r="P6" s="126">
        <v>1835</v>
      </c>
      <c r="Q6" s="130">
        <f t="shared" ref="Q6:Q14" si="2">O6/P6</f>
        <v>2.125340599455041E-2</v>
      </c>
    </row>
    <row r="7" spans="1:30" x14ac:dyDescent="0.3">
      <c r="B7" s="284"/>
      <c r="C7" s="142">
        <v>2018</v>
      </c>
      <c r="D7" s="50">
        <v>79450.399999999994</v>
      </c>
      <c r="E7" s="50">
        <v>78237.5</v>
      </c>
      <c r="F7" s="50">
        <v>1213</v>
      </c>
      <c r="G7" s="29">
        <f t="shared" si="1"/>
        <v>1.5267386948335062E-2</v>
      </c>
      <c r="H7" s="52">
        <v>27</v>
      </c>
      <c r="I7" s="52">
        <v>2620</v>
      </c>
      <c r="J7" s="29">
        <f t="shared" ref="J7:J14" si="3">H7/I7</f>
        <v>1.0305343511450382E-2</v>
      </c>
      <c r="K7" s="49">
        <v>530288.69999999995</v>
      </c>
      <c r="L7" s="9">
        <v>515183.4</v>
      </c>
      <c r="M7" s="9">
        <v>15105.9</v>
      </c>
      <c r="N7" s="120">
        <f t="shared" si="0"/>
        <v>2.848618120657672E-2</v>
      </c>
      <c r="O7" s="9">
        <v>59</v>
      </c>
      <c r="P7" s="9">
        <v>2864</v>
      </c>
      <c r="Q7" s="20">
        <f t="shared" si="2"/>
        <v>2.0600558659217876E-2</v>
      </c>
    </row>
    <row r="8" spans="1:30" ht="16.2" thickBot="1" x14ac:dyDescent="0.35">
      <c r="B8" s="285"/>
      <c r="C8" s="143">
        <v>2018.5</v>
      </c>
      <c r="D8" s="132">
        <v>31106.400000000001</v>
      </c>
      <c r="E8" s="132">
        <v>28325.3</v>
      </c>
      <c r="F8" s="132">
        <v>2781</v>
      </c>
      <c r="G8" s="133">
        <f t="shared" si="1"/>
        <v>8.9402823856183936E-2</v>
      </c>
      <c r="H8" s="153">
        <v>30</v>
      </c>
      <c r="I8" s="153">
        <v>947</v>
      </c>
      <c r="J8" s="133">
        <f t="shared" si="3"/>
        <v>3.1678986272439279E-2</v>
      </c>
      <c r="K8" s="134">
        <v>221449</v>
      </c>
      <c r="L8" s="132">
        <v>216933.9</v>
      </c>
      <c r="M8" s="132">
        <v>4515.1000000000004</v>
      </c>
      <c r="N8" s="133">
        <f t="shared" si="0"/>
        <v>2.03888931537284E-2</v>
      </c>
      <c r="O8" s="131">
        <v>46</v>
      </c>
      <c r="P8" s="131">
        <v>2004</v>
      </c>
      <c r="Q8" s="135">
        <f t="shared" si="2"/>
        <v>2.2954091816367265E-2</v>
      </c>
    </row>
    <row r="9" spans="1:30" x14ac:dyDescent="0.3">
      <c r="B9" s="283" t="s">
        <v>22</v>
      </c>
      <c r="C9" s="140">
        <v>2019</v>
      </c>
      <c r="D9" s="115">
        <v>85711.3</v>
      </c>
      <c r="E9" s="115">
        <v>83941.1</v>
      </c>
      <c r="F9" s="115">
        <v>1770.2</v>
      </c>
      <c r="G9" s="116">
        <f t="shared" si="1"/>
        <v>2.0653052748004056E-2</v>
      </c>
      <c r="H9" s="151">
        <v>37</v>
      </c>
      <c r="I9" s="151">
        <v>1756</v>
      </c>
      <c r="J9" s="116">
        <f t="shared" si="3"/>
        <v>2.1070615034168565E-2</v>
      </c>
      <c r="K9" s="49">
        <v>355916.3</v>
      </c>
      <c r="L9" s="9">
        <v>347147.3</v>
      </c>
      <c r="M9" s="9">
        <v>8769.1</v>
      </c>
      <c r="N9" s="120">
        <f t="shared" si="0"/>
        <v>2.463809609169347E-2</v>
      </c>
      <c r="O9" s="9">
        <v>32</v>
      </c>
      <c r="P9" s="9">
        <v>2551</v>
      </c>
      <c r="Q9" s="20">
        <f t="shared" si="2"/>
        <v>1.2544100352802822E-2</v>
      </c>
    </row>
    <row r="10" spans="1:30" x14ac:dyDescent="0.3">
      <c r="B10" s="284"/>
      <c r="C10" s="141">
        <v>2019.5</v>
      </c>
      <c r="D10" s="127">
        <v>43221.3</v>
      </c>
      <c r="E10" s="127">
        <v>42565</v>
      </c>
      <c r="F10" s="127">
        <v>656.3</v>
      </c>
      <c r="G10" s="128">
        <f t="shared" si="1"/>
        <v>1.5184642757159084E-2</v>
      </c>
      <c r="H10" s="154">
        <v>41</v>
      </c>
      <c r="I10" s="154">
        <v>905</v>
      </c>
      <c r="J10" s="128">
        <f t="shared" si="3"/>
        <v>4.5303867403314914E-2</v>
      </c>
      <c r="K10" s="129">
        <v>98754.6</v>
      </c>
      <c r="L10" s="127">
        <v>97652.1</v>
      </c>
      <c r="M10" s="127">
        <v>1102.5</v>
      </c>
      <c r="N10" s="128">
        <f t="shared" si="0"/>
        <v>1.1164036915748734E-2</v>
      </c>
      <c r="O10" s="126">
        <v>24</v>
      </c>
      <c r="P10" s="126">
        <v>1764</v>
      </c>
      <c r="Q10" s="130">
        <f t="shared" si="2"/>
        <v>1.3605442176870748E-2</v>
      </c>
    </row>
    <row r="11" spans="1:30" x14ac:dyDescent="0.3">
      <c r="B11" s="284"/>
      <c r="C11" s="144">
        <v>2020</v>
      </c>
      <c r="D11" s="53">
        <v>93880.2</v>
      </c>
      <c r="E11" s="53">
        <v>93409.5</v>
      </c>
      <c r="F11" s="22">
        <v>470.8</v>
      </c>
      <c r="G11" s="29">
        <f t="shared" si="1"/>
        <v>5.0149019708096067E-3</v>
      </c>
      <c r="H11" s="48">
        <v>13</v>
      </c>
      <c r="I11" s="48">
        <v>1800</v>
      </c>
      <c r="J11" s="29">
        <f t="shared" si="3"/>
        <v>7.2222222222222219E-3</v>
      </c>
      <c r="K11" s="27">
        <v>19350.5</v>
      </c>
      <c r="L11" s="53">
        <v>19273.900000000001</v>
      </c>
      <c r="M11" s="22">
        <v>76.599999999999994</v>
      </c>
      <c r="N11" s="29">
        <f t="shared" si="0"/>
        <v>3.9585540425312003E-3</v>
      </c>
      <c r="O11" s="155">
        <v>39</v>
      </c>
      <c r="P11" s="155">
        <v>249</v>
      </c>
      <c r="Q11" s="20">
        <f t="shared" si="2"/>
        <v>0.15662650602409639</v>
      </c>
    </row>
    <row r="12" spans="1:30" x14ac:dyDescent="0.3">
      <c r="A12" s="8"/>
      <c r="B12" s="284"/>
      <c r="C12" s="141">
        <v>2020.5</v>
      </c>
      <c r="D12" s="136">
        <v>41024.400000000001</v>
      </c>
      <c r="E12" s="127">
        <v>40701.699999999997</v>
      </c>
      <c r="F12" s="127">
        <v>322.7</v>
      </c>
      <c r="G12" s="128">
        <f t="shared" si="1"/>
        <v>7.8660504480260515E-3</v>
      </c>
      <c r="H12" s="154">
        <v>71</v>
      </c>
      <c r="I12" s="154">
        <v>790</v>
      </c>
      <c r="J12" s="128">
        <f t="shared" si="3"/>
        <v>8.9873417721518981E-2</v>
      </c>
      <c r="K12" s="129">
        <v>52401.4</v>
      </c>
      <c r="L12" s="127">
        <v>51662.400000000001</v>
      </c>
      <c r="M12" s="127">
        <v>739</v>
      </c>
      <c r="N12" s="128">
        <f t="shared" si="0"/>
        <v>1.4102676646043807E-2</v>
      </c>
      <c r="O12" s="126">
        <v>148</v>
      </c>
      <c r="P12" s="126">
        <v>951</v>
      </c>
      <c r="Q12" s="130">
        <f t="shared" si="2"/>
        <v>0.15562565720294427</v>
      </c>
    </row>
    <row r="13" spans="1:30" x14ac:dyDescent="0.3">
      <c r="A13" s="8"/>
      <c r="B13" s="284"/>
      <c r="C13" s="145">
        <v>2021</v>
      </c>
      <c r="D13" s="53">
        <v>133027.5</v>
      </c>
      <c r="E13" s="22">
        <v>132111.9</v>
      </c>
      <c r="F13" s="22">
        <v>915.5</v>
      </c>
      <c r="G13" s="121">
        <f t="shared" si="1"/>
        <v>6.8820356693164945E-3</v>
      </c>
      <c r="H13" s="48">
        <v>60</v>
      </c>
      <c r="I13" s="48">
        <v>2150</v>
      </c>
      <c r="J13" s="29">
        <f t="shared" si="3"/>
        <v>2.7906976744186046E-2</v>
      </c>
      <c r="K13" s="27">
        <v>83136.899999999994</v>
      </c>
      <c r="L13" s="22">
        <v>83136.899999999994</v>
      </c>
      <c r="M13" s="22">
        <v>0</v>
      </c>
      <c r="N13" s="121">
        <f t="shared" si="0"/>
        <v>0</v>
      </c>
      <c r="O13" s="155">
        <v>135</v>
      </c>
      <c r="P13" s="155">
        <v>854</v>
      </c>
      <c r="Q13" s="20">
        <f t="shared" si="2"/>
        <v>0.15807962529274006</v>
      </c>
      <c r="S13" s="1" t="s">
        <v>58</v>
      </c>
    </row>
    <row r="14" spans="1:30" ht="16.2" thickBot="1" x14ac:dyDescent="0.35">
      <c r="A14" s="8"/>
      <c r="B14" s="285"/>
      <c r="C14" s="146">
        <v>2021.5</v>
      </c>
      <c r="D14" s="137">
        <v>30343.200000000001</v>
      </c>
      <c r="E14" s="132">
        <v>30162.9</v>
      </c>
      <c r="F14" s="132">
        <v>180.3</v>
      </c>
      <c r="G14" s="122">
        <f t="shared" si="1"/>
        <v>5.9420232539745318E-3</v>
      </c>
      <c r="H14" s="153">
        <v>28</v>
      </c>
      <c r="I14" s="153">
        <v>459</v>
      </c>
      <c r="J14" s="133">
        <f t="shared" si="3"/>
        <v>6.1002178649237473E-2</v>
      </c>
      <c r="K14" s="134">
        <v>45050.1</v>
      </c>
      <c r="L14" s="132">
        <v>45048.5</v>
      </c>
      <c r="M14" s="132">
        <v>1.6</v>
      </c>
      <c r="N14" s="122">
        <f t="shared" si="0"/>
        <v>3.5516014392864833E-5</v>
      </c>
      <c r="O14" s="131">
        <v>71</v>
      </c>
      <c r="P14" s="131">
        <v>561</v>
      </c>
      <c r="Q14" s="135">
        <f t="shared" si="2"/>
        <v>0.12655971479500891</v>
      </c>
      <c r="S14" s="1" t="s">
        <v>60</v>
      </c>
    </row>
    <row r="15" spans="1:30" x14ac:dyDescent="0.3">
      <c r="A15" s="8"/>
      <c r="B15" s="8"/>
      <c r="C15" s="17"/>
      <c r="D15" s="17"/>
      <c r="E15" s="18"/>
      <c r="F15" s="18"/>
      <c r="G15" s="18"/>
      <c r="H15" s="18"/>
      <c r="I15" s="29"/>
      <c r="J15" s="18"/>
      <c r="K15" s="18"/>
      <c r="L15" s="18"/>
      <c r="M15" s="29"/>
      <c r="N15" s="7"/>
      <c r="O15" s="7"/>
      <c r="Q15" s="7"/>
      <c r="R15" s="7"/>
      <c r="S15" s="7"/>
      <c r="T15" s="7"/>
    </row>
    <row r="16" spans="1:30" ht="16.2" thickBot="1" x14ac:dyDescent="0.35">
      <c r="A16" s="8"/>
      <c r="B16" s="8"/>
      <c r="C16" s="17"/>
      <c r="D16" s="17"/>
      <c r="E16" s="18"/>
      <c r="F16" s="18"/>
      <c r="G16" s="18"/>
      <c r="H16" s="18"/>
      <c r="I16" s="29"/>
      <c r="J16" s="18"/>
      <c r="K16" s="18"/>
      <c r="L16" s="18"/>
      <c r="M16" s="29"/>
      <c r="N16" s="7"/>
      <c r="O16" s="7"/>
      <c r="Q16" s="7"/>
      <c r="R16" s="7"/>
      <c r="S16" s="7"/>
      <c r="T16" s="7"/>
    </row>
    <row r="17" spans="1:20" ht="18.600000000000001" thickBot="1" x14ac:dyDescent="0.4">
      <c r="A17" s="8"/>
      <c r="B17" s="8"/>
      <c r="C17" s="17"/>
      <c r="D17" s="286" t="s">
        <v>49</v>
      </c>
      <c r="E17" s="287"/>
      <c r="F17" s="287"/>
      <c r="G17" s="287"/>
      <c r="H17" s="286" t="s">
        <v>50</v>
      </c>
      <c r="I17" s="287"/>
      <c r="J17" s="287"/>
      <c r="K17" s="288"/>
      <c r="O17" s="119"/>
      <c r="P17" s="119"/>
      <c r="Q17" s="119"/>
      <c r="R17" s="7"/>
      <c r="S17" s="7"/>
      <c r="T17" s="7"/>
    </row>
    <row r="18" spans="1:20" ht="16.2" thickBot="1" x14ac:dyDescent="0.35">
      <c r="A18" s="8"/>
      <c r="B18" s="8"/>
      <c r="C18" s="24" t="s">
        <v>20</v>
      </c>
      <c r="D18" s="23" t="s">
        <v>26</v>
      </c>
      <c r="E18" s="23" t="s">
        <v>27</v>
      </c>
      <c r="F18" s="23" t="s">
        <v>28</v>
      </c>
      <c r="G18" s="23" t="s">
        <v>3</v>
      </c>
      <c r="H18" s="117" t="s">
        <v>26</v>
      </c>
      <c r="I18" s="23" t="s">
        <v>27</v>
      </c>
      <c r="J18" s="23" t="s">
        <v>28</v>
      </c>
      <c r="K18" s="118" t="s">
        <v>3</v>
      </c>
      <c r="O18" s="7"/>
      <c r="Q18" s="7"/>
      <c r="R18" s="7"/>
      <c r="S18" s="7"/>
      <c r="T18" s="7"/>
    </row>
    <row r="19" spans="1:20" x14ac:dyDescent="0.3">
      <c r="A19" s="8"/>
      <c r="B19" s="8"/>
      <c r="C19" s="147" t="s">
        <v>21</v>
      </c>
      <c r="D19" s="156">
        <f>SUM(D5:D8)</f>
        <v>249937</v>
      </c>
      <c r="E19" s="156">
        <f>SUM(E5:E8)</f>
        <v>240855.3</v>
      </c>
      <c r="F19" s="156">
        <f>SUM(F5:F8)</f>
        <v>9082.6</v>
      </c>
      <c r="G19" s="149">
        <f>F19/D19</f>
        <v>3.6339557568507264E-2</v>
      </c>
      <c r="H19" s="157">
        <f>SUM(K5:K8)</f>
        <v>1361670.2999999998</v>
      </c>
      <c r="I19" s="156">
        <f>SUM(L5:L8)</f>
        <v>1340439</v>
      </c>
      <c r="J19" s="156">
        <f>SUM(M5:M8)</f>
        <v>21232</v>
      </c>
      <c r="K19" s="138">
        <f>J19/H19</f>
        <v>1.559261445299938E-2</v>
      </c>
      <c r="O19" s="7"/>
      <c r="Q19" s="7"/>
      <c r="R19" s="7"/>
      <c r="S19" s="7"/>
      <c r="T19" s="7"/>
    </row>
    <row r="20" spans="1:20" ht="16.2" thickBot="1" x14ac:dyDescent="0.35">
      <c r="C20" s="148" t="s">
        <v>22</v>
      </c>
      <c r="D20" s="158">
        <f>SUM(D9:D14)</f>
        <v>427207.9</v>
      </c>
      <c r="E20" s="158">
        <f>SUM(E9:E14)</f>
        <v>422892.1</v>
      </c>
      <c r="F20" s="158">
        <f>SUM(F9:F14)</f>
        <v>4315.8</v>
      </c>
      <c r="G20" s="150">
        <f>F20/D20</f>
        <v>1.0102341272247073E-2</v>
      </c>
      <c r="H20" s="159">
        <f>SUM(K9:K14)</f>
        <v>654609.80000000005</v>
      </c>
      <c r="I20" s="114">
        <f>SUM(L9:L14)</f>
        <v>643921.10000000009</v>
      </c>
      <c r="J20" s="114">
        <f>SUM(M9:M14)</f>
        <v>10688.800000000001</v>
      </c>
      <c r="K20" s="139">
        <f>J20/H20</f>
        <v>1.6328505928264441E-2</v>
      </c>
    </row>
    <row r="21" spans="1:20" x14ac:dyDescent="0.3">
      <c r="C21" s="1"/>
    </row>
    <row r="22" spans="1:20" ht="16.2" thickBot="1" x14ac:dyDescent="0.35">
      <c r="C22" s="1"/>
    </row>
    <row r="23" spans="1:20" ht="18.600000000000001" thickBot="1" x14ac:dyDescent="0.4">
      <c r="D23" s="286" t="s">
        <v>51</v>
      </c>
      <c r="E23" s="287"/>
      <c r="F23" s="287"/>
      <c r="G23" s="287"/>
      <c r="H23" s="286" t="s">
        <v>52</v>
      </c>
      <c r="I23" s="287"/>
      <c r="J23" s="287"/>
      <c r="K23" s="288"/>
    </row>
    <row r="24" spans="1:20" ht="16.2" thickBot="1" x14ac:dyDescent="0.35">
      <c r="C24" s="24" t="s">
        <v>1</v>
      </c>
      <c r="D24" s="23" t="s">
        <v>26</v>
      </c>
      <c r="E24" s="23" t="s">
        <v>27</v>
      </c>
      <c r="F24" s="23" t="s">
        <v>28</v>
      </c>
      <c r="G24" s="23" t="s">
        <v>3</v>
      </c>
      <c r="H24" s="117" t="s">
        <v>26</v>
      </c>
      <c r="I24" s="23" t="s">
        <v>27</v>
      </c>
      <c r="J24" s="23" t="s">
        <v>28</v>
      </c>
      <c r="K24" s="118" t="s">
        <v>3</v>
      </c>
    </row>
    <row r="25" spans="1:20" x14ac:dyDescent="0.3">
      <c r="C25" s="160" t="s">
        <v>24</v>
      </c>
      <c r="D25" s="166">
        <f t="shared" ref="D25:F26" si="4">D9+D11+D13</f>
        <v>312619</v>
      </c>
      <c r="E25" s="167">
        <f t="shared" si="4"/>
        <v>309462.5</v>
      </c>
      <c r="F25" s="167">
        <f t="shared" si="4"/>
        <v>3156.5</v>
      </c>
      <c r="G25" s="168">
        <f>F25/D25</f>
        <v>1.0096955079505724E-2</v>
      </c>
      <c r="H25" s="161">
        <f t="shared" ref="H25:J26" si="5">K9+K11+K13</f>
        <v>458403.69999999995</v>
      </c>
      <c r="I25" s="161">
        <f t="shared" si="5"/>
        <v>449558.1</v>
      </c>
      <c r="J25" s="161">
        <f t="shared" si="5"/>
        <v>8845.7000000000007</v>
      </c>
      <c r="K25" s="162">
        <f>J25/H25</f>
        <v>1.9296746514044283E-2</v>
      </c>
    </row>
    <row r="26" spans="1:20" ht="16.2" thickBot="1" x14ac:dyDescent="0.35">
      <c r="C26" s="163" t="s">
        <v>25</v>
      </c>
      <c r="D26" s="169">
        <f t="shared" si="4"/>
        <v>114588.90000000001</v>
      </c>
      <c r="E26" s="164">
        <f t="shared" si="4"/>
        <v>113429.6</v>
      </c>
      <c r="F26" s="164">
        <f t="shared" si="4"/>
        <v>1159.3</v>
      </c>
      <c r="G26" s="165">
        <f>F26/D26</f>
        <v>1.0117035768735017E-2</v>
      </c>
      <c r="H26" s="164">
        <f t="shared" si="5"/>
        <v>196206.1</v>
      </c>
      <c r="I26" s="164">
        <f t="shared" si="5"/>
        <v>194363</v>
      </c>
      <c r="J26" s="164">
        <f t="shared" si="5"/>
        <v>1843.1</v>
      </c>
      <c r="K26" s="165">
        <f>J26/H26</f>
        <v>9.3936936721131497E-3</v>
      </c>
    </row>
    <row r="27" spans="1:20" x14ac:dyDescent="0.3">
      <c r="E27" s="7"/>
      <c r="F27" s="7"/>
      <c r="G27" s="7"/>
      <c r="H27" s="7"/>
      <c r="I27" s="90"/>
      <c r="J27" s="7"/>
      <c r="K27" s="7"/>
      <c r="L27" s="7"/>
      <c r="M27" s="90"/>
      <c r="N27" s="7"/>
      <c r="O27" s="7"/>
    </row>
    <row r="28" spans="1:20" ht="16.2" thickBot="1" x14ac:dyDescent="0.35">
      <c r="E28" s="7"/>
      <c r="F28" s="7"/>
      <c r="G28" s="7"/>
      <c r="H28" s="7"/>
      <c r="I28" s="90"/>
      <c r="J28" s="7"/>
      <c r="K28" s="7"/>
      <c r="L28" s="7"/>
      <c r="M28" s="90"/>
      <c r="N28" s="7"/>
      <c r="O28" s="7"/>
    </row>
    <row r="29" spans="1:20" ht="18.600000000000001" thickBot="1" x14ac:dyDescent="0.4">
      <c r="D29" s="286" t="s">
        <v>53</v>
      </c>
      <c r="E29" s="287"/>
      <c r="F29" s="287"/>
      <c r="G29" s="288"/>
      <c r="H29" s="7"/>
      <c r="I29" s="90"/>
      <c r="J29" s="7"/>
      <c r="K29" s="7"/>
      <c r="L29" s="7"/>
      <c r="M29" s="90"/>
      <c r="N29" s="7"/>
      <c r="O29" s="7"/>
    </row>
    <row r="30" spans="1:20" ht="16.2" thickBot="1" x14ac:dyDescent="0.35">
      <c r="C30" s="174" t="s">
        <v>1</v>
      </c>
      <c r="D30" s="23" t="s">
        <v>26</v>
      </c>
      <c r="E30" s="23" t="s">
        <v>27</v>
      </c>
      <c r="F30" s="23" t="s">
        <v>28</v>
      </c>
      <c r="G30" s="118" t="s">
        <v>3</v>
      </c>
      <c r="I30" s="21"/>
      <c r="J30" s="7"/>
      <c r="K30" s="7"/>
      <c r="L30" s="7"/>
      <c r="M30" s="16"/>
      <c r="N30" s="7"/>
      <c r="O30" s="7"/>
    </row>
    <row r="31" spans="1:20" x14ac:dyDescent="0.3">
      <c r="C31" s="28" t="s">
        <v>24</v>
      </c>
      <c r="D31" s="22">
        <f t="shared" ref="D31:F32" si="6">(D9+D11+D13+K9+K11+K13)</f>
        <v>771022.70000000007</v>
      </c>
      <c r="E31" s="22">
        <f t="shared" si="6"/>
        <v>759020.60000000009</v>
      </c>
      <c r="F31" s="22">
        <f t="shared" si="6"/>
        <v>12002.2</v>
      </c>
      <c r="G31" s="172">
        <f t="shared" ref="G31:G32" si="7">+F31/D31</f>
        <v>1.5566597455561295E-2</v>
      </c>
      <c r="J31" s="7"/>
      <c r="K31" s="7"/>
      <c r="L31" s="7"/>
      <c r="M31" s="16"/>
      <c r="N31" s="7"/>
      <c r="O31" s="7"/>
    </row>
    <row r="32" spans="1:20" ht="16.2" thickBot="1" x14ac:dyDescent="0.35">
      <c r="C32" s="30" t="s">
        <v>25</v>
      </c>
      <c r="D32" s="158">
        <f t="shared" si="6"/>
        <v>310795</v>
      </c>
      <c r="E32" s="158">
        <f t="shared" si="6"/>
        <v>307792.60000000003</v>
      </c>
      <c r="F32" s="158">
        <f t="shared" si="6"/>
        <v>3002.4</v>
      </c>
      <c r="G32" s="173">
        <f t="shared" si="7"/>
        <v>9.6603870718640905E-3</v>
      </c>
      <c r="J32" s="55"/>
    </row>
    <row r="33" spans="2:10" x14ac:dyDescent="0.3">
      <c r="I33" s="18"/>
      <c r="J33" s="50"/>
    </row>
    <row r="34" spans="2:10" x14ac:dyDescent="0.3">
      <c r="I34" s="18"/>
      <c r="J34" s="19"/>
    </row>
    <row r="35" spans="2:10" x14ac:dyDescent="0.3">
      <c r="I35" s="19"/>
      <c r="J35" s="19"/>
    </row>
    <row r="36" spans="2:10" x14ac:dyDescent="0.3">
      <c r="I36" s="19"/>
      <c r="J36" s="19"/>
    </row>
    <row r="37" spans="2:10" x14ac:dyDescent="0.3">
      <c r="C37" s="1"/>
    </row>
    <row r="38" spans="2:10" x14ac:dyDescent="0.3">
      <c r="B38" s="16"/>
      <c r="C38" s="1"/>
    </row>
    <row r="39" spans="2:10" x14ac:dyDescent="0.3">
      <c r="B39" s="97"/>
      <c r="C39" s="19"/>
      <c r="D39" s="19"/>
      <c r="E39" s="19"/>
      <c r="F39" s="19"/>
      <c r="G39" s="19"/>
    </row>
    <row r="40" spans="2:10" x14ac:dyDescent="0.3">
      <c r="B40" s="48"/>
      <c r="C40" s="55"/>
      <c r="D40" s="55"/>
      <c r="E40" s="55"/>
      <c r="F40" s="55"/>
      <c r="G40" s="19"/>
    </row>
    <row r="41" spans="2:10" x14ac:dyDescent="0.3">
      <c r="B41" s="18"/>
      <c r="C41" s="50"/>
      <c r="D41" s="50"/>
      <c r="E41" s="50"/>
      <c r="F41" s="98"/>
      <c r="G41" s="19"/>
    </row>
    <row r="42" spans="2:10" x14ac:dyDescent="0.3">
      <c r="B42" s="18"/>
      <c r="C42" s="50"/>
      <c r="D42" s="50"/>
      <c r="E42" s="50"/>
      <c r="F42" s="98"/>
      <c r="G42" s="19"/>
    </row>
  </sheetData>
  <mergeCells count="10">
    <mergeCell ref="D29:G29"/>
    <mergeCell ref="D17:G17"/>
    <mergeCell ref="H17:K17"/>
    <mergeCell ref="D23:G23"/>
    <mergeCell ref="H23:K23"/>
    <mergeCell ref="A2:O2"/>
    <mergeCell ref="B5:B8"/>
    <mergeCell ref="B9:B14"/>
    <mergeCell ref="K3:Q3"/>
    <mergeCell ref="D3:J3"/>
  </mergeCells>
  <phoneticPr fontId="7" type="noConversion"/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9310-DB3D-4C4D-8475-DD782D8BE026}">
  <sheetPr>
    <tabColor rgb="FF002060"/>
  </sheetPr>
  <dimension ref="B2:AML36"/>
  <sheetViews>
    <sheetView topLeftCell="B1" zoomScaleNormal="100" workbookViewId="0">
      <selection activeCell="C2" sqref="C2:K2"/>
    </sheetView>
  </sheetViews>
  <sheetFormatPr baseColWidth="10" defaultColWidth="10.69921875" defaultRowHeight="15.6" x14ac:dyDescent="0.3"/>
  <cols>
    <col min="2" max="2" width="11.5" style="1" customWidth="1"/>
    <col min="3" max="3" width="10.09765625" style="1" bestFit="1" customWidth="1"/>
    <col min="4" max="4" width="12.69921875" style="1" customWidth="1"/>
    <col min="5" max="5" width="10.296875" style="1" customWidth="1"/>
    <col min="6" max="6" width="9.5" style="1" customWidth="1"/>
    <col min="7" max="7" width="11.796875" style="1" customWidth="1"/>
    <col min="8" max="8" width="9.796875" style="1" customWidth="1"/>
    <col min="9" max="9" width="11.5" style="1" customWidth="1"/>
    <col min="10" max="10" width="9.19921875" style="1" customWidth="1"/>
    <col min="11" max="11" width="10.296875" style="1" customWidth="1"/>
    <col min="12" max="12" width="10" style="1" customWidth="1"/>
    <col min="13" max="13" width="8" style="1" customWidth="1"/>
    <col min="14" max="14" width="10.59765625" style="1" customWidth="1"/>
    <col min="15" max="15" width="5.69921875" style="1" customWidth="1"/>
    <col min="16" max="16" width="11.5" style="1" bestFit="1" customWidth="1"/>
    <col min="17" max="17" width="6.69921875" style="1" customWidth="1"/>
    <col min="18" max="18" width="15.19921875" style="1" customWidth="1"/>
    <col min="19" max="20" width="6.69921875" style="1" bestFit="1" customWidth="1"/>
    <col min="21" max="21" width="7.5" style="1" bestFit="1" customWidth="1"/>
    <col min="22" max="22" width="10" style="1" bestFit="1" customWidth="1"/>
    <col min="23" max="1026" width="10.69921875" style="1"/>
  </cols>
  <sheetData>
    <row r="2" spans="2:15" ht="25.8" thickBot="1" x14ac:dyDescent="0.5">
      <c r="C2" s="289" t="s">
        <v>54</v>
      </c>
      <c r="D2" s="289"/>
      <c r="E2" s="289"/>
      <c r="F2" s="289"/>
      <c r="G2" s="289"/>
      <c r="H2" s="289"/>
      <c r="I2" s="289"/>
      <c r="J2" s="289"/>
      <c r="K2" s="289"/>
      <c r="L2" s="176"/>
      <c r="M2" s="176"/>
      <c r="N2" s="176"/>
      <c r="O2" s="176"/>
    </row>
    <row r="3" spans="2:15" ht="16.2" thickBot="1" x14ac:dyDescent="0.35">
      <c r="B3" s="117" t="s">
        <v>20</v>
      </c>
      <c r="C3" s="186" t="s">
        <v>0</v>
      </c>
      <c r="D3" s="187" t="s">
        <v>2</v>
      </c>
      <c r="E3" s="186" t="s">
        <v>26</v>
      </c>
      <c r="F3" s="186" t="s">
        <v>27</v>
      </c>
      <c r="G3" s="186" t="s">
        <v>28</v>
      </c>
      <c r="H3" s="186" t="s">
        <v>3</v>
      </c>
      <c r="I3" s="186" t="s">
        <v>4</v>
      </c>
      <c r="J3" s="186" t="s">
        <v>5</v>
      </c>
      <c r="K3" s="187" t="s">
        <v>6</v>
      </c>
    </row>
    <row r="4" spans="2:15" x14ac:dyDescent="0.3">
      <c r="B4" s="284" t="s">
        <v>21</v>
      </c>
      <c r="C4" s="3">
        <v>2018</v>
      </c>
      <c r="D4" s="31" t="s">
        <v>7</v>
      </c>
      <c r="E4" s="177" t="s">
        <v>23</v>
      </c>
      <c r="F4" s="177" t="s">
        <v>23</v>
      </c>
      <c r="G4" s="177" t="s">
        <v>23</v>
      </c>
      <c r="H4" s="177" t="s">
        <v>23</v>
      </c>
      <c r="I4" s="178">
        <v>7</v>
      </c>
      <c r="J4" s="178">
        <f>843+167</f>
        <v>1010</v>
      </c>
      <c r="K4" s="183">
        <f>(I4*100)/J4</f>
        <v>0.69306930693069302</v>
      </c>
    </row>
    <row r="5" spans="2:15" x14ac:dyDescent="0.3">
      <c r="B5" s="284"/>
      <c r="C5" s="154">
        <v>2019</v>
      </c>
      <c r="D5" s="188" t="s">
        <v>7</v>
      </c>
      <c r="E5" s="152">
        <v>30968</v>
      </c>
      <c r="F5" s="152">
        <v>30442.7</v>
      </c>
      <c r="G5" s="152">
        <v>525.4</v>
      </c>
      <c r="H5" s="179">
        <f>(G5*100)/E5</f>
        <v>1.6965900284164299</v>
      </c>
      <c r="I5" s="152">
        <v>59</v>
      </c>
      <c r="J5" s="152">
        <v>1192</v>
      </c>
      <c r="K5" s="184">
        <f>(I5*100)/J5</f>
        <v>4.949664429530201</v>
      </c>
    </row>
    <row r="6" spans="2:15" ht="16.2" thickBot="1" x14ac:dyDescent="0.35">
      <c r="B6" s="284"/>
      <c r="C6" s="75">
        <v>2020</v>
      </c>
      <c r="D6" s="189" t="s">
        <v>7</v>
      </c>
      <c r="E6" s="76">
        <v>34093.5</v>
      </c>
      <c r="F6" s="76">
        <v>33311.599999999999</v>
      </c>
      <c r="G6" s="76">
        <v>782</v>
      </c>
      <c r="H6" s="180">
        <f>(G6*100)/E6</f>
        <v>2.2936923460483669</v>
      </c>
      <c r="I6" s="76">
        <v>77</v>
      </c>
      <c r="J6" s="76">
        <v>1212</v>
      </c>
      <c r="K6" s="185">
        <f>(I6*100)/J6</f>
        <v>6.3531353135313529</v>
      </c>
    </row>
    <row r="7" spans="2:15" ht="16.2" thickBot="1" x14ac:dyDescent="0.35">
      <c r="B7" s="82" t="s">
        <v>22</v>
      </c>
      <c r="C7" s="215">
        <v>2021</v>
      </c>
      <c r="D7" s="216" t="s">
        <v>7</v>
      </c>
      <c r="E7" s="217">
        <v>22520</v>
      </c>
      <c r="F7" s="218">
        <v>20617</v>
      </c>
      <c r="G7" s="218">
        <v>1903</v>
      </c>
      <c r="H7" s="219">
        <f>(G7*100)/E7</f>
        <v>8.4502664298401413</v>
      </c>
      <c r="I7" s="218">
        <v>18</v>
      </c>
      <c r="J7" s="218">
        <v>629</v>
      </c>
      <c r="K7" s="220">
        <f>(I7*100)/J7</f>
        <v>2.8616852146263909</v>
      </c>
    </row>
    <row r="8" spans="2:15" ht="16.2" thickBot="1" x14ac:dyDescent="0.35"/>
    <row r="9" spans="2:15" ht="16.2" thickBot="1" x14ac:dyDescent="0.35">
      <c r="C9" s="192">
        <v>2021</v>
      </c>
      <c r="D9" s="197" t="s">
        <v>7</v>
      </c>
      <c r="E9" s="196">
        <v>23104.7</v>
      </c>
      <c r="F9" s="193">
        <v>21830.1</v>
      </c>
      <c r="G9" s="193">
        <v>1274.5</v>
      </c>
      <c r="H9" s="194">
        <f>(G9*100)/E9</f>
        <v>5.5161936748800029</v>
      </c>
      <c r="I9" s="193">
        <v>17</v>
      </c>
      <c r="J9" s="193">
        <v>629</v>
      </c>
      <c r="K9" s="195">
        <f>(I9*100)/J9</f>
        <v>2.7027027027027026</v>
      </c>
    </row>
    <row r="11" spans="2:15" ht="16.2" thickBot="1" x14ac:dyDescent="0.35"/>
    <row r="12" spans="2:15" ht="16.2" thickBot="1" x14ac:dyDescent="0.35">
      <c r="C12" s="117" t="s">
        <v>20</v>
      </c>
      <c r="D12" s="118" t="s">
        <v>2</v>
      </c>
      <c r="E12" s="23" t="s">
        <v>26</v>
      </c>
      <c r="F12" s="23" t="s">
        <v>27</v>
      </c>
      <c r="G12" s="23" t="s">
        <v>28</v>
      </c>
      <c r="H12" s="118" t="s">
        <v>3</v>
      </c>
    </row>
    <row r="13" spans="2:15" x14ac:dyDescent="0.3">
      <c r="C13" s="51" t="s">
        <v>31</v>
      </c>
      <c r="D13" s="198" t="s">
        <v>7</v>
      </c>
      <c r="E13" s="26">
        <f>SUM(E5:E7)</f>
        <v>87581.5</v>
      </c>
      <c r="F13" s="26">
        <f>SUM(F5:F7)</f>
        <v>84371.3</v>
      </c>
      <c r="G13" s="26">
        <f>SUM(G5:G7)</f>
        <v>3210.4</v>
      </c>
      <c r="H13" s="191">
        <f>+G13/E13</f>
        <v>3.6656143135251167E-2</v>
      </c>
    </row>
    <row r="14" spans="2:15" ht="16.2" thickBot="1" x14ac:dyDescent="0.35">
      <c r="C14" s="108" t="s">
        <v>31</v>
      </c>
      <c r="D14" s="199" t="s">
        <v>7</v>
      </c>
      <c r="E14" s="109">
        <f>SUM(E5:E6,E9)</f>
        <v>88166.2</v>
      </c>
      <c r="F14" s="109">
        <f>SUM(F5:F6,F9)</f>
        <v>85584.4</v>
      </c>
      <c r="G14" s="109">
        <f>SUM(G5:G6,G9)</f>
        <v>2581.9</v>
      </c>
      <c r="H14" s="110">
        <f>+G14/E14</f>
        <v>2.9284465021743027E-2</v>
      </c>
    </row>
    <row r="28" spans="18:18" x14ac:dyDescent="0.3">
      <c r="R28" s="106" t="s">
        <v>38</v>
      </c>
    </row>
    <row r="29" spans="18:18" x14ac:dyDescent="0.3">
      <c r="R29" s="106" t="s">
        <v>39</v>
      </c>
    </row>
    <row r="34" spans="3:10" x14ac:dyDescent="0.3">
      <c r="C34" s="1" t="s">
        <v>37</v>
      </c>
    </row>
    <row r="35" spans="3:10" x14ac:dyDescent="0.3">
      <c r="J35" s="106" t="s">
        <v>40</v>
      </c>
    </row>
    <row r="36" spans="3:10" x14ac:dyDescent="0.3">
      <c r="C36" s="200"/>
      <c r="D36" s="1" t="s">
        <v>55</v>
      </c>
      <c r="J36" s="106" t="s">
        <v>41</v>
      </c>
    </row>
  </sheetData>
  <mergeCells count="2">
    <mergeCell ref="B4:B6"/>
    <mergeCell ref="C2:K2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2:AMH60"/>
  <sheetViews>
    <sheetView zoomScale="90" zoomScaleNormal="90" workbookViewId="0">
      <selection activeCell="B2" sqref="B2:Q2"/>
    </sheetView>
  </sheetViews>
  <sheetFormatPr baseColWidth="10" defaultColWidth="10.69921875" defaultRowHeight="15.6" x14ac:dyDescent="0.3"/>
  <cols>
    <col min="1" max="1" width="11.69921875" style="6" customWidth="1"/>
    <col min="2" max="18" width="12.59765625" style="6" customWidth="1"/>
    <col min="19" max="1022" width="10.69921875" style="6"/>
  </cols>
  <sheetData>
    <row r="2" spans="2:17" ht="25.8" thickBot="1" x14ac:dyDescent="0.5">
      <c r="B2" s="294" t="s">
        <v>56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</row>
    <row r="3" spans="2:17" ht="16.2" thickBot="1" x14ac:dyDescent="0.35">
      <c r="B3" s="48"/>
      <c r="C3" s="206"/>
      <c r="D3" s="297" t="s">
        <v>49</v>
      </c>
      <c r="E3" s="298"/>
      <c r="F3" s="298"/>
      <c r="G3" s="298"/>
      <c r="H3" s="298"/>
      <c r="I3" s="298"/>
      <c r="J3" s="299"/>
      <c r="K3" s="297" t="s">
        <v>50</v>
      </c>
      <c r="L3" s="298"/>
      <c r="M3" s="298"/>
      <c r="N3" s="298"/>
      <c r="O3" s="298"/>
      <c r="P3" s="298"/>
      <c r="Q3" s="299"/>
    </row>
    <row r="4" spans="2:17" ht="16.2" thickBot="1" x14ac:dyDescent="0.35">
      <c r="B4" s="171" t="s">
        <v>19</v>
      </c>
      <c r="C4" s="23" t="s">
        <v>18</v>
      </c>
      <c r="D4" s="117" t="s">
        <v>26</v>
      </c>
      <c r="E4" s="23" t="s">
        <v>27</v>
      </c>
      <c r="F4" s="23" t="s">
        <v>28</v>
      </c>
      <c r="G4" s="23" t="s">
        <v>3</v>
      </c>
      <c r="H4" s="186" t="s">
        <v>4</v>
      </c>
      <c r="I4" s="186" t="s">
        <v>5</v>
      </c>
      <c r="J4" s="187" t="s">
        <v>6</v>
      </c>
      <c r="K4" s="23" t="s">
        <v>26</v>
      </c>
      <c r="L4" s="23" t="s">
        <v>27</v>
      </c>
      <c r="M4" s="23" t="s">
        <v>28</v>
      </c>
      <c r="N4" s="207" t="s">
        <v>3</v>
      </c>
      <c r="O4" s="186" t="s">
        <v>4</v>
      </c>
      <c r="P4" s="186" t="s">
        <v>5</v>
      </c>
      <c r="Q4" s="187" t="s">
        <v>6</v>
      </c>
    </row>
    <row r="5" spans="2:17" x14ac:dyDescent="0.3">
      <c r="B5" s="85"/>
      <c r="C5" s="3" t="s">
        <v>8</v>
      </c>
      <c r="D5" s="84">
        <v>47365.7</v>
      </c>
      <c r="E5" s="10">
        <v>46992.5</v>
      </c>
      <c r="F5" s="10">
        <v>373.29999999999995</v>
      </c>
      <c r="G5" s="203">
        <f t="shared" ref="G5:G13" si="0">+F5/D5</f>
        <v>7.8812305106860017E-3</v>
      </c>
      <c r="H5" s="10">
        <v>60</v>
      </c>
      <c r="I5" s="10">
        <v>4173</v>
      </c>
      <c r="J5" s="202">
        <f t="shared" ref="J5:J10" si="1">+H5/I5</f>
        <v>1.4378145219266714E-2</v>
      </c>
      <c r="K5" s="178" t="s">
        <v>23</v>
      </c>
      <c r="L5" s="178" t="s">
        <v>23</v>
      </c>
      <c r="M5" s="178" t="s">
        <v>23</v>
      </c>
      <c r="N5" s="178" t="s">
        <v>23</v>
      </c>
      <c r="O5" s="178">
        <v>5</v>
      </c>
      <c r="P5" s="178">
        <v>35</v>
      </c>
      <c r="Q5" s="209">
        <f t="shared" ref="Q5:Q12" si="2">+O5/P5</f>
        <v>0.14285714285714285</v>
      </c>
    </row>
    <row r="6" spans="2:17" x14ac:dyDescent="0.3">
      <c r="B6" s="284" t="s">
        <v>17</v>
      </c>
      <c r="C6" s="221">
        <v>2017.5</v>
      </c>
      <c r="D6" s="222">
        <v>3961.5</v>
      </c>
      <c r="E6" s="152">
        <v>3862</v>
      </c>
      <c r="F6" s="223">
        <v>99.5</v>
      </c>
      <c r="G6" s="224">
        <f t="shared" si="0"/>
        <v>2.5116748706298118E-2</v>
      </c>
      <c r="H6" s="223">
        <v>16</v>
      </c>
      <c r="I6" s="223">
        <v>437</v>
      </c>
      <c r="J6" s="225">
        <f t="shared" si="1"/>
        <v>3.6613272311212815E-2</v>
      </c>
      <c r="K6" s="226" t="s">
        <v>23</v>
      </c>
      <c r="L6" s="226" t="s">
        <v>23</v>
      </c>
      <c r="M6" s="226" t="s">
        <v>23</v>
      </c>
      <c r="N6" s="226" t="s">
        <v>23</v>
      </c>
      <c r="O6" s="226">
        <v>6</v>
      </c>
      <c r="P6" s="226">
        <v>30</v>
      </c>
      <c r="Q6" s="227">
        <f t="shared" si="2"/>
        <v>0.2</v>
      </c>
    </row>
    <row r="7" spans="2:17" x14ac:dyDescent="0.3">
      <c r="B7" s="284"/>
      <c r="C7" s="3" t="s">
        <v>9</v>
      </c>
      <c r="D7" s="84">
        <v>71987.5</v>
      </c>
      <c r="E7" s="10">
        <v>70827.399999999994</v>
      </c>
      <c r="F7" s="10">
        <v>1160.0999999999999</v>
      </c>
      <c r="G7" s="203">
        <f t="shared" si="0"/>
        <v>1.6115297794756032E-2</v>
      </c>
      <c r="H7" s="10">
        <v>51</v>
      </c>
      <c r="I7" s="10">
        <v>3864</v>
      </c>
      <c r="J7" s="202">
        <f t="shared" si="1"/>
        <v>1.3198757763975156E-2</v>
      </c>
      <c r="K7" s="178" t="s">
        <v>23</v>
      </c>
      <c r="L7" s="178" t="s">
        <v>23</v>
      </c>
      <c r="M7" s="178" t="s">
        <v>23</v>
      </c>
      <c r="N7" s="178" t="s">
        <v>23</v>
      </c>
      <c r="O7" s="178">
        <v>2</v>
      </c>
      <c r="P7" s="178">
        <v>20</v>
      </c>
      <c r="Q7" s="209">
        <f t="shared" si="2"/>
        <v>0.1</v>
      </c>
    </row>
    <row r="8" spans="2:17" x14ac:dyDescent="0.3">
      <c r="B8" s="284" t="s">
        <v>15</v>
      </c>
      <c r="C8" s="154" t="s">
        <v>10</v>
      </c>
      <c r="D8" s="228">
        <v>11772.199999999999</v>
      </c>
      <c r="E8" s="152">
        <v>11760.199999999999</v>
      </c>
      <c r="F8" s="152">
        <v>12</v>
      </c>
      <c r="G8" s="224">
        <f t="shared" si="0"/>
        <v>1.0193506736209037E-3</v>
      </c>
      <c r="H8" s="152">
        <v>40</v>
      </c>
      <c r="I8" s="152">
        <v>826</v>
      </c>
      <c r="J8" s="225">
        <f t="shared" si="1"/>
        <v>4.8426150121065374E-2</v>
      </c>
      <c r="K8" s="226" t="s">
        <v>23</v>
      </c>
      <c r="L8" s="226" t="s">
        <v>23</v>
      </c>
      <c r="M8" s="226" t="s">
        <v>23</v>
      </c>
      <c r="N8" s="226" t="s">
        <v>23</v>
      </c>
      <c r="O8" s="226">
        <v>0</v>
      </c>
      <c r="P8" s="226">
        <v>4</v>
      </c>
      <c r="Q8" s="227">
        <f t="shared" si="2"/>
        <v>0</v>
      </c>
    </row>
    <row r="9" spans="2:17" x14ac:dyDescent="0.3">
      <c r="B9" s="284"/>
      <c r="C9" s="75" t="s">
        <v>11</v>
      </c>
      <c r="D9" s="74">
        <v>105362.2</v>
      </c>
      <c r="E9" s="10">
        <v>102918.8</v>
      </c>
      <c r="F9" s="76">
        <v>2443.4</v>
      </c>
      <c r="G9" s="203">
        <f t="shared" si="0"/>
        <v>2.3190480077295274E-2</v>
      </c>
      <c r="H9" s="76">
        <v>34</v>
      </c>
      <c r="I9" s="76">
        <v>3864</v>
      </c>
      <c r="J9" s="202">
        <f t="shared" si="1"/>
        <v>8.7991718426501039E-3</v>
      </c>
      <c r="K9" s="178" t="s">
        <v>23</v>
      </c>
      <c r="L9" s="178" t="s">
        <v>23</v>
      </c>
      <c r="M9" s="178" t="s">
        <v>23</v>
      </c>
      <c r="N9" s="178" t="s">
        <v>23</v>
      </c>
      <c r="O9" s="178">
        <v>0</v>
      </c>
      <c r="P9" s="178">
        <v>0</v>
      </c>
      <c r="Q9" s="209" t="s">
        <v>23</v>
      </c>
    </row>
    <row r="10" spans="2:17" x14ac:dyDescent="0.3">
      <c r="B10" s="284" t="s">
        <v>16</v>
      </c>
      <c r="C10" s="154" t="s">
        <v>12</v>
      </c>
      <c r="D10" s="228">
        <v>29404.9</v>
      </c>
      <c r="E10" s="152">
        <v>29061.3</v>
      </c>
      <c r="F10" s="152">
        <v>343.6</v>
      </c>
      <c r="G10" s="224">
        <f t="shared" si="0"/>
        <v>1.1685127308713855E-2</v>
      </c>
      <c r="H10" s="152">
        <v>40</v>
      </c>
      <c r="I10" s="152">
        <v>1725</v>
      </c>
      <c r="J10" s="225">
        <f t="shared" si="1"/>
        <v>2.318840579710145E-2</v>
      </c>
      <c r="K10" s="226" t="s">
        <v>23</v>
      </c>
      <c r="L10" s="226" t="s">
        <v>23</v>
      </c>
      <c r="M10" s="226" t="s">
        <v>23</v>
      </c>
      <c r="N10" s="226" t="s">
        <v>23</v>
      </c>
      <c r="O10" s="226">
        <v>0</v>
      </c>
      <c r="P10" s="226">
        <v>10</v>
      </c>
      <c r="Q10" s="227">
        <f t="shared" si="2"/>
        <v>0</v>
      </c>
    </row>
    <row r="11" spans="2:17" x14ac:dyDescent="0.3">
      <c r="B11" s="284"/>
      <c r="C11" s="204">
        <v>2020</v>
      </c>
      <c r="D11" s="211" t="s">
        <v>23</v>
      </c>
      <c r="E11" s="212" t="s">
        <v>23</v>
      </c>
      <c r="F11" s="212" t="s">
        <v>23</v>
      </c>
      <c r="G11" s="213" t="s">
        <v>23</v>
      </c>
      <c r="H11" s="178">
        <v>12</v>
      </c>
      <c r="I11" s="178">
        <f>30+3951+553</f>
        <v>4534</v>
      </c>
      <c r="J11" s="209" t="s">
        <v>23</v>
      </c>
      <c r="K11" s="178" t="s">
        <v>23</v>
      </c>
      <c r="L11" s="178" t="s">
        <v>23</v>
      </c>
      <c r="M11" s="178" t="s">
        <v>23</v>
      </c>
      <c r="N11" s="178" t="s">
        <v>23</v>
      </c>
      <c r="O11" s="178">
        <v>0</v>
      </c>
      <c r="P11" s="178">
        <v>2</v>
      </c>
      <c r="Q11" s="209">
        <f t="shared" si="2"/>
        <v>0</v>
      </c>
    </row>
    <row r="12" spans="2:17" x14ac:dyDescent="0.3">
      <c r="B12" s="284" t="s">
        <v>13</v>
      </c>
      <c r="C12" s="154">
        <v>2020.5</v>
      </c>
      <c r="D12" s="229" t="s">
        <v>23</v>
      </c>
      <c r="E12" s="226" t="s">
        <v>23</v>
      </c>
      <c r="F12" s="226" t="s">
        <v>23</v>
      </c>
      <c r="G12" s="230" t="s">
        <v>23</v>
      </c>
      <c r="H12" s="226">
        <v>3</v>
      </c>
      <c r="I12" s="226">
        <f>1375+167</f>
        <v>1542</v>
      </c>
      <c r="J12" s="227" t="s">
        <v>23</v>
      </c>
      <c r="K12" s="226" t="s">
        <v>23</v>
      </c>
      <c r="L12" s="226" t="s">
        <v>23</v>
      </c>
      <c r="M12" s="226" t="s">
        <v>23</v>
      </c>
      <c r="N12" s="226" t="s">
        <v>23</v>
      </c>
      <c r="O12" s="226">
        <v>4</v>
      </c>
      <c r="P12" s="226">
        <v>25</v>
      </c>
      <c r="Q12" s="227">
        <f t="shared" si="2"/>
        <v>0.16</v>
      </c>
    </row>
    <row r="13" spans="2:17" x14ac:dyDescent="0.3">
      <c r="B13" s="284"/>
      <c r="C13" s="208">
        <v>2021</v>
      </c>
      <c r="D13" s="86">
        <v>184838.5</v>
      </c>
      <c r="E13" s="10">
        <v>165603.20000000001</v>
      </c>
      <c r="F13" s="83">
        <v>19235.3</v>
      </c>
      <c r="G13" s="205">
        <f t="shared" si="0"/>
        <v>0.10406544091193122</v>
      </c>
      <c r="H13" s="3">
        <v>21</v>
      </c>
      <c r="I13" s="3">
        <v>4643</v>
      </c>
      <c r="J13" s="202">
        <f>+H13/I13</f>
        <v>4.5229377557613609E-3</v>
      </c>
      <c r="K13" s="210" t="s">
        <v>23</v>
      </c>
      <c r="L13" s="210" t="s">
        <v>23</v>
      </c>
      <c r="M13" s="210" t="s">
        <v>23</v>
      </c>
      <c r="N13" s="210" t="s">
        <v>23</v>
      </c>
      <c r="O13" s="178">
        <v>0</v>
      </c>
      <c r="P13" s="178">
        <v>0</v>
      </c>
      <c r="Q13" s="209" t="s">
        <v>23</v>
      </c>
    </row>
    <row r="14" spans="2:17" x14ac:dyDescent="0.3">
      <c r="B14" s="295" t="s">
        <v>14</v>
      </c>
      <c r="C14" s="231">
        <v>2021.5</v>
      </c>
      <c r="D14" s="232" t="s">
        <v>23</v>
      </c>
      <c r="E14" s="233" t="s">
        <v>23</v>
      </c>
      <c r="F14" s="233" t="s">
        <v>23</v>
      </c>
      <c r="G14" s="233" t="s">
        <v>23</v>
      </c>
      <c r="H14" s="226">
        <v>2</v>
      </c>
      <c r="I14" s="226">
        <f>202+237</f>
        <v>439</v>
      </c>
      <c r="J14" s="227" t="s">
        <v>23</v>
      </c>
      <c r="K14" s="233" t="s">
        <v>23</v>
      </c>
      <c r="L14" s="233" t="s">
        <v>23</v>
      </c>
      <c r="M14" s="233" t="s">
        <v>23</v>
      </c>
      <c r="N14" s="233" t="s">
        <v>23</v>
      </c>
      <c r="O14" s="226">
        <v>0</v>
      </c>
      <c r="P14" s="226">
        <v>0</v>
      </c>
      <c r="Q14" s="227" t="s">
        <v>23</v>
      </c>
    </row>
    <row r="15" spans="2:17" ht="18.45" customHeight="1" thickBot="1" x14ac:dyDescent="0.35">
      <c r="B15" s="296"/>
      <c r="C15" s="70"/>
      <c r="D15" s="69"/>
      <c r="E15" s="71"/>
      <c r="F15" s="71"/>
      <c r="G15" s="71"/>
      <c r="H15" s="11"/>
      <c r="I15" s="11"/>
      <c r="J15" s="201"/>
      <c r="K15" s="71"/>
      <c r="L15" s="71"/>
      <c r="M15" s="71"/>
      <c r="N15" s="71"/>
      <c r="O15" s="11"/>
      <c r="P15" s="11"/>
      <c r="Q15" s="32"/>
    </row>
    <row r="16" spans="2:17" ht="16.95" customHeight="1" x14ac:dyDescent="0.3">
      <c r="B16" s="41"/>
      <c r="C16" s="56"/>
      <c r="D16" s="56"/>
      <c r="E16" s="56"/>
      <c r="F16" s="293" t="s">
        <v>59</v>
      </c>
      <c r="G16" s="293"/>
      <c r="H16" s="293"/>
      <c r="I16" s="41"/>
      <c r="J16" s="41"/>
      <c r="K16" s="41"/>
      <c r="L16" s="41"/>
      <c r="M16" s="41"/>
    </row>
    <row r="17" spans="1:1022" ht="16.95" customHeight="1" thickBot="1" x14ac:dyDescent="0.35">
      <c r="B17" s="41"/>
      <c r="C17" s="113"/>
      <c r="D17" s="113"/>
      <c r="E17" s="113"/>
      <c r="F17" s="113"/>
      <c r="G17" s="113"/>
      <c r="H17" s="41"/>
      <c r="I17" s="41"/>
      <c r="J17" s="41"/>
      <c r="K17" s="41"/>
      <c r="L17" s="41"/>
      <c r="M17" s="41"/>
    </row>
    <row r="18" spans="1:1022" ht="16.95" customHeight="1" thickBot="1" x14ac:dyDescent="0.4">
      <c r="B18" s="41"/>
      <c r="C18" s="113"/>
      <c r="D18" s="286" t="s">
        <v>49</v>
      </c>
      <c r="E18" s="287"/>
      <c r="F18" s="287"/>
      <c r="G18" s="288"/>
      <c r="H18" s="41"/>
      <c r="I18" s="41"/>
      <c r="J18" s="41"/>
      <c r="K18" s="41"/>
      <c r="L18" s="41"/>
      <c r="M18" s="41"/>
    </row>
    <row r="19" spans="1:1022" ht="16.95" customHeight="1" thickBot="1" x14ac:dyDescent="0.35">
      <c r="B19" s="24" t="s">
        <v>20</v>
      </c>
      <c r="C19" s="24" t="s">
        <v>1</v>
      </c>
      <c r="D19" s="23" t="s">
        <v>26</v>
      </c>
      <c r="E19" s="23" t="s">
        <v>27</v>
      </c>
      <c r="F19" s="23" t="s">
        <v>28</v>
      </c>
      <c r="G19" s="118" t="s">
        <v>3</v>
      </c>
      <c r="H19" s="41"/>
      <c r="I19" s="41"/>
      <c r="J19" s="41"/>
      <c r="K19" s="41"/>
      <c r="L19" s="41"/>
      <c r="M19" s="41"/>
    </row>
    <row r="20" spans="1:1022" x14ac:dyDescent="0.3">
      <c r="B20" s="73" t="s">
        <v>32</v>
      </c>
      <c r="C20" s="87" t="s">
        <v>24</v>
      </c>
      <c r="D20" s="37">
        <f>+SUM(D5,D7,D9,D13)</f>
        <v>409553.9</v>
      </c>
      <c r="E20" s="37">
        <f>+SUM(E5,E7,E9,E13)</f>
        <v>386341.9</v>
      </c>
      <c r="F20" s="37">
        <f>+SUM(F5,F7,F9,F13)</f>
        <v>23212.1</v>
      </c>
      <c r="G20" s="245">
        <f>+F20/D20</f>
        <v>5.6676544894335025E-2</v>
      </c>
      <c r="H20" s="41"/>
      <c r="I20" s="41"/>
      <c r="J20" s="41"/>
      <c r="K20" s="41"/>
      <c r="L20" s="41"/>
      <c r="M20" s="41"/>
    </row>
    <row r="21" spans="1:1022" ht="16.2" thickBot="1" x14ac:dyDescent="0.35">
      <c r="B21" s="88" t="s">
        <v>32</v>
      </c>
      <c r="C21" s="89" t="s">
        <v>25</v>
      </c>
      <c r="D21" s="94">
        <f>+SUM(D6,D8,D10)</f>
        <v>45138.6</v>
      </c>
      <c r="E21" s="94">
        <f>+SUM(E6,E8,E10)</f>
        <v>44683.5</v>
      </c>
      <c r="F21" s="94">
        <f>SUM(F6,F8,F10)</f>
        <v>455.1</v>
      </c>
      <c r="G21" s="246">
        <f>+F21/D21</f>
        <v>1.0082279911206818E-2</v>
      </c>
      <c r="H21" s="41"/>
      <c r="I21" s="41"/>
      <c r="J21" s="41"/>
      <c r="K21" s="41"/>
      <c r="L21" s="41"/>
      <c r="M21" s="41"/>
    </row>
    <row r="22" spans="1:1022" s="39" customFormat="1" ht="16.05" customHeight="1" thickBot="1" x14ac:dyDescent="0.35">
      <c r="A22" s="3"/>
      <c r="H22" s="41"/>
      <c r="I22" s="41"/>
      <c r="J22" s="41"/>
      <c r="K22" s="41"/>
      <c r="L22" s="41"/>
      <c r="M22" s="4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</row>
    <row r="23" spans="1:1022" s="39" customFormat="1" ht="18.45" customHeight="1" thickBot="1" x14ac:dyDescent="0.35">
      <c r="A23" s="3"/>
      <c r="B23" s="95" t="s">
        <v>34</v>
      </c>
      <c r="C23" s="40" t="s">
        <v>24</v>
      </c>
      <c r="D23" s="38">
        <f>+SUM(D5,D7,D9)</f>
        <v>224715.4</v>
      </c>
      <c r="E23" s="38">
        <f>+SUM(E5,E7,E9)</f>
        <v>220738.7</v>
      </c>
      <c r="F23" s="38">
        <f>+SUM(F5,F7,F9)</f>
        <v>3976.8</v>
      </c>
      <c r="G23" s="247">
        <f>+F23/D23</f>
        <v>1.7697051470437718E-2</v>
      </c>
      <c r="H23" s="41"/>
      <c r="I23" s="41"/>
      <c r="J23" s="41"/>
      <c r="K23" s="41"/>
      <c r="L23" s="41"/>
      <c r="M23" s="4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</row>
    <row r="24" spans="1:1022" s="39" customFormat="1" ht="19.95" customHeight="1" x14ac:dyDescent="0.3">
      <c r="A24" s="3"/>
      <c r="H24" s="67"/>
      <c r="I24" s="41"/>
      <c r="J24" s="41"/>
      <c r="K24" s="41"/>
      <c r="L24" s="41"/>
      <c r="M24" s="4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</row>
    <row r="25" spans="1:1022" s="39" customFormat="1" ht="19.95" customHeight="1" thickBot="1" x14ac:dyDescent="0.35">
      <c r="A25" s="3"/>
      <c r="H25" s="67"/>
      <c r="I25" s="41"/>
      <c r="J25" s="41"/>
      <c r="K25" s="41"/>
      <c r="L25" s="41"/>
      <c r="M25" s="4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</row>
    <row r="26" spans="1:1022" ht="18.600000000000001" thickBot="1" x14ac:dyDescent="0.4">
      <c r="B26" s="19"/>
      <c r="C26" s="55"/>
      <c r="D26" s="290" t="s">
        <v>49</v>
      </c>
      <c r="E26" s="291"/>
      <c r="F26" s="291"/>
      <c r="G26" s="292"/>
      <c r="H26" s="3"/>
      <c r="I26" s="3"/>
      <c r="J26" s="3"/>
    </row>
    <row r="27" spans="1:1022" ht="16.2" thickBot="1" x14ac:dyDescent="0.35">
      <c r="B27" s="19"/>
      <c r="C27" s="174" t="s">
        <v>19</v>
      </c>
      <c r="D27" s="23" t="s">
        <v>26</v>
      </c>
      <c r="E27" s="23" t="s">
        <v>27</v>
      </c>
      <c r="F27" s="23" t="s">
        <v>28</v>
      </c>
      <c r="G27" s="118" t="s">
        <v>3</v>
      </c>
      <c r="H27" s="3"/>
      <c r="I27" s="3"/>
      <c r="J27" s="3"/>
    </row>
    <row r="28" spans="1:1022" x14ac:dyDescent="0.3">
      <c r="C28" s="277" t="s">
        <v>45</v>
      </c>
      <c r="D28" s="273">
        <f>SUM(D6:D7)</f>
        <v>75949</v>
      </c>
      <c r="E28" s="273">
        <f t="shared" ref="E28:F28" si="3">SUM(E6:E7)</f>
        <v>74689.399999999994</v>
      </c>
      <c r="F28" s="273">
        <f t="shared" si="3"/>
        <v>1259.5999999999999</v>
      </c>
      <c r="G28" s="275">
        <f t="shared" ref="G28:G31" si="4">+F28/D28</f>
        <v>1.6584813493265217E-2</v>
      </c>
      <c r="H28" s="3"/>
      <c r="I28" s="3"/>
      <c r="J28" s="3"/>
    </row>
    <row r="29" spans="1:1022" x14ac:dyDescent="0.3">
      <c r="C29" s="277" t="s">
        <v>46</v>
      </c>
      <c r="D29" s="273">
        <f>SUM(D8:D9)</f>
        <v>117134.39999999999</v>
      </c>
      <c r="E29" s="273">
        <f t="shared" ref="E29:F29" si="5">SUM(E8:E9)</f>
        <v>114679</v>
      </c>
      <c r="F29" s="273">
        <f t="shared" si="5"/>
        <v>2455.4</v>
      </c>
      <c r="G29" s="275">
        <f t="shared" si="4"/>
        <v>2.0962245079156935E-2</v>
      </c>
      <c r="H29" s="3"/>
      <c r="I29" s="3"/>
      <c r="J29" s="3"/>
    </row>
    <row r="30" spans="1:1022" x14ac:dyDescent="0.3">
      <c r="C30" s="277" t="s">
        <v>47</v>
      </c>
      <c r="D30" s="273">
        <f>SUM(D10)</f>
        <v>29404.9</v>
      </c>
      <c r="E30" s="273">
        <f t="shared" ref="E30:F30" si="6">SUM(E10)</f>
        <v>29061.3</v>
      </c>
      <c r="F30" s="273">
        <f t="shared" si="6"/>
        <v>343.6</v>
      </c>
      <c r="G30" s="275">
        <f t="shared" si="4"/>
        <v>1.1685127308713855E-2</v>
      </c>
      <c r="H30" s="3"/>
      <c r="I30" s="3"/>
      <c r="J30" s="3"/>
    </row>
    <row r="31" spans="1:1022" ht="16.2" thickBot="1" x14ac:dyDescent="0.35">
      <c r="C31" s="278" t="s">
        <v>48</v>
      </c>
      <c r="D31" s="274">
        <f>D13</f>
        <v>184838.5</v>
      </c>
      <c r="E31" s="274">
        <f t="shared" ref="E31:F31" si="7">E13</f>
        <v>165603.20000000001</v>
      </c>
      <c r="F31" s="274">
        <f t="shared" si="7"/>
        <v>19235.3</v>
      </c>
      <c r="G31" s="276">
        <f t="shared" si="4"/>
        <v>0.10406544091193122</v>
      </c>
      <c r="H31" s="3"/>
      <c r="I31" s="3"/>
      <c r="J31" s="3"/>
    </row>
    <row r="32" spans="1:1022" x14ac:dyDescent="0.3">
      <c r="B32" s="19"/>
      <c r="C32" s="55"/>
      <c r="D32" s="55"/>
      <c r="E32" s="91"/>
      <c r="F32" s="55"/>
      <c r="G32" s="107"/>
      <c r="H32" s="3"/>
      <c r="I32" s="3"/>
      <c r="J32" s="3"/>
    </row>
    <row r="33" spans="2:10" x14ac:dyDescent="0.3">
      <c r="B33" s="48"/>
      <c r="C33" s="48"/>
      <c r="D33" s="52"/>
      <c r="E33" s="52"/>
      <c r="F33" s="52"/>
      <c r="G33" s="77"/>
    </row>
    <row r="34" spans="2:10" ht="16.95" customHeight="1" x14ac:dyDescent="0.3">
      <c r="B34" s="19"/>
      <c r="C34" s="48"/>
      <c r="D34" s="52"/>
      <c r="E34" s="52"/>
      <c r="F34" s="52"/>
      <c r="G34" s="77"/>
    </row>
    <row r="35" spans="2:10" x14ac:dyDescent="0.3">
      <c r="B35" s="60"/>
      <c r="C35" s="48"/>
      <c r="D35" s="52"/>
      <c r="E35" s="105" t="s">
        <v>42</v>
      </c>
      <c r="F35" s="52"/>
      <c r="G35" s="77"/>
    </row>
    <row r="36" spans="2:10" x14ac:dyDescent="0.3">
      <c r="B36" s="60"/>
      <c r="C36" s="48"/>
      <c r="D36" s="52"/>
      <c r="E36" s="105" t="s">
        <v>43</v>
      </c>
      <c r="G36" s="66"/>
    </row>
    <row r="37" spans="2:10" ht="16.95" customHeight="1" x14ac:dyDescent="0.3">
      <c r="B37" s="60"/>
      <c r="C37" s="65"/>
      <c r="D37" s="65"/>
      <c r="E37" s="65"/>
      <c r="F37" s="65"/>
      <c r="G37" s="65"/>
    </row>
    <row r="38" spans="2:10" x14ac:dyDescent="0.3">
      <c r="B38" s="60"/>
      <c r="C38" s="55"/>
      <c r="D38" s="55"/>
      <c r="E38" s="55"/>
      <c r="F38" s="55"/>
      <c r="G38" s="96"/>
    </row>
    <row r="39" spans="2:10" x14ac:dyDescent="0.3">
      <c r="B39" s="60"/>
      <c r="C39" s="78"/>
      <c r="D39" s="79"/>
      <c r="E39" s="79"/>
      <c r="F39" s="79"/>
      <c r="G39" s="80"/>
    </row>
    <row r="40" spans="2:10" x14ac:dyDescent="0.3">
      <c r="B40" s="60"/>
      <c r="C40" s="59"/>
      <c r="D40" s="63"/>
      <c r="E40" s="63"/>
      <c r="F40" s="63"/>
      <c r="G40" s="77"/>
    </row>
    <row r="41" spans="2:10" ht="20.399999999999999" x14ac:dyDescent="0.35">
      <c r="B41" s="44"/>
      <c r="C41" s="44"/>
      <c r="D41" s="44"/>
      <c r="E41" s="44"/>
      <c r="F41" s="44"/>
      <c r="G41" s="44"/>
    </row>
    <row r="42" spans="2:10" x14ac:dyDescent="0.3">
      <c r="B42" s="60"/>
      <c r="C42" s="48"/>
      <c r="D42" s="52"/>
      <c r="E42" s="52"/>
      <c r="F42" s="52"/>
      <c r="G42" s="66"/>
      <c r="H42" s="3"/>
      <c r="I42" s="3"/>
      <c r="J42" s="3"/>
    </row>
    <row r="43" spans="2:10" x14ac:dyDescent="0.3">
      <c r="B43" s="57"/>
      <c r="C43" s="59"/>
      <c r="D43" s="59"/>
      <c r="E43" s="48"/>
      <c r="F43" s="48"/>
      <c r="G43" s="48"/>
      <c r="H43" s="3"/>
      <c r="I43" s="3"/>
      <c r="J43" s="3"/>
    </row>
    <row r="44" spans="2:10" x14ac:dyDescent="0.3">
      <c r="B44" s="60"/>
      <c r="C44" s="61"/>
      <c r="D44" s="62"/>
      <c r="E44" s="10"/>
      <c r="F44" s="10"/>
      <c r="G44" s="12"/>
      <c r="H44" s="3"/>
      <c r="I44" s="3"/>
      <c r="J44" s="3"/>
    </row>
    <row r="45" spans="2:10" x14ac:dyDescent="0.3">
      <c r="B45" s="60"/>
      <c r="C45" s="61"/>
      <c r="D45" s="62"/>
      <c r="E45" s="3"/>
      <c r="F45" s="3"/>
      <c r="G45" s="3"/>
      <c r="H45" s="3"/>
      <c r="I45" s="3"/>
      <c r="J45" s="3"/>
    </row>
    <row r="46" spans="2:10" x14ac:dyDescent="0.3">
      <c r="B46" s="48"/>
      <c r="C46" s="48"/>
      <c r="D46" s="48"/>
      <c r="E46" s="3"/>
      <c r="F46" s="3"/>
      <c r="G46" s="15"/>
      <c r="H46" s="3"/>
      <c r="I46" s="3"/>
      <c r="J46" s="3"/>
    </row>
    <row r="47" spans="2:10" x14ac:dyDescent="0.3">
      <c r="B47" s="57"/>
      <c r="C47" s="59"/>
      <c r="D47" s="59"/>
      <c r="E47" s="3"/>
      <c r="F47" s="3"/>
      <c r="G47" s="3"/>
      <c r="H47" s="3"/>
      <c r="I47" s="3"/>
      <c r="J47" s="3"/>
    </row>
    <row r="48" spans="2:10" x14ac:dyDescent="0.3">
      <c r="B48" s="60"/>
      <c r="C48" s="61"/>
      <c r="D48" s="62"/>
      <c r="E48" s="3"/>
      <c r="F48" s="3"/>
      <c r="G48" s="3"/>
      <c r="H48" s="3"/>
      <c r="I48" s="3"/>
      <c r="J48" s="3"/>
    </row>
    <row r="49" spans="2:10" x14ac:dyDescent="0.3">
      <c r="B49" s="60"/>
      <c r="C49" s="61"/>
      <c r="D49" s="62"/>
      <c r="E49" s="10"/>
      <c r="F49" s="10"/>
      <c r="G49" s="12"/>
      <c r="H49" s="3"/>
      <c r="I49" s="3"/>
      <c r="J49" s="3"/>
    </row>
    <row r="50" spans="2:10" x14ac:dyDescent="0.3">
      <c r="B50" s="60"/>
      <c r="C50" s="61"/>
      <c r="D50" s="62"/>
      <c r="E50" s="10"/>
      <c r="F50" s="10"/>
      <c r="G50" s="12"/>
      <c r="H50" s="3"/>
      <c r="I50" s="3"/>
      <c r="J50" s="3"/>
    </row>
    <row r="51" spans="2:10" x14ac:dyDescent="0.3">
      <c r="B51" s="60"/>
      <c r="C51" s="48"/>
      <c r="D51" s="52"/>
      <c r="E51" s="10"/>
      <c r="F51" s="10"/>
      <c r="G51" s="12"/>
      <c r="H51" s="3"/>
      <c r="I51" s="3"/>
      <c r="J51" s="3"/>
    </row>
    <row r="52" spans="2:10" x14ac:dyDescent="0.3">
      <c r="B52" s="60"/>
      <c r="C52" s="59"/>
      <c r="D52" s="63"/>
      <c r="E52" s="13"/>
      <c r="F52" s="13"/>
      <c r="G52" s="14"/>
      <c r="H52" s="3"/>
      <c r="I52" s="3"/>
      <c r="J52" s="3"/>
    </row>
    <row r="53" spans="2:10" x14ac:dyDescent="0.3">
      <c r="B53" s="48"/>
      <c r="C53" s="48"/>
      <c r="D53" s="52"/>
      <c r="E53" s="10"/>
      <c r="F53" s="10"/>
      <c r="G53" s="12"/>
      <c r="H53" s="3"/>
      <c r="I53" s="3"/>
      <c r="J53" s="3"/>
    </row>
    <row r="54" spans="2:10" x14ac:dyDescent="0.3">
      <c r="B54" s="3"/>
      <c r="C54" s="3"/>
      <c r="D54" s="3"/>
      <c r="E54" s="3"/>
      <c r="F54" s="3"/>
      <c r="G54" s="3"/>
      <c r="H54" s="3"/>
      <c r="I54" s="3"/>
      <c r="J54" s="3"/>
    </row>
    <row r="55" spans="2:10" x14ac:dyDescent="0.3">
      <c r="B55" s="3"/>
      <c r="C55" s="3"/>
      <c r="D55" s="3"/>
      <c r="E55" s="3"/>
      <c r="F55" s="3"/>
      <c r="G55" s="15"/>
      <c r="H55" s="3"/>
      <c r="I55" s="3"/>
      <c r="J55" s="3"/>
    </row>
    <row r="56" spans="2:10" x14ac:dyDescent="0.3">
      <c r="B56" s="3"/>
      <c r="C56" s="3"/>
      <c r="D56" s="3"/>
      <c r="E56" s="3"/>
      <c r="F56" s="3"/>
      <c r="G56" s="15"/>
      <c r="H56" s="3"/>
      <c r="I56" s="3"/>
      <c r="J56" s="3"/>
    </row>
    <row r="57" spans="2:10" x14ac:dyDescent="0.3">
      <c r="B57" s="3"/>
      <c r="C57" s="3"/>
      <c r="D57" s="3"/>
      <c r="E57" s="3"/>
      <c r="F57" s="3"/>
      <c r="G57" s="3"/>
      <c r="H57" s="3"/>
      <c r="I57" s="3"/>
      <c r="J57" s="3"/>
    </row>
    <row r="58" spans="2:10" x14ac:dyDescent="0.3">
      <c r="B58" s="3"/>
      <c r="C58" s="3"/>
      <c r="D58" s="3"/>
      <c r="E58" s="3"/>
      <c r="F58" s="3"/>
      <c r="G58" s="3"/>
      <c r="H58" s="3"/>
      <c r="I58" s="3"/>
      <c r="J58" s="3"/>
    </row>
    <row r="59" spans="2:10" x14ac:dyDescent="0.3">
      <c r="B59" s="3"/>
      <c r="C59" s="3"/>
      <c r="D59" s="3"/>
      <c r="E59" s="3"/>
      <c r="F59" s="3"/>
      <c r="G59" s="3"/>
      <c r="H59" s="3"/>
      <c r="I59" s="3"/>
      <c r="J59" s="3"/>
    </row>
    <row r="60" spans="2:10" x14ac:dyDescent="0.3">
      <c r="B60" s="3"/>
      <c r="C60" s="3"/>
      <c r="D60" s="3"/>
      <c r="E60" s="3"/>
      <c r="F60" s="3"/>
      <c r="G60" s="3"/>
    </row>
  </sheetData>
  <mergeCells count="11">
    <mergeCell ref="D18:G18"/>
    <mergeCell ref="D26:G26"/>
    <mergeCell ref="F16:H16"/>
    <mergeCell ref="B2:Q2"/>
    <mergeCell ref="B12:B13"/>
    <mergeCell ref="B14:B15"/>
    <mergeCell ref="B6:B7"/>
    <mergeCell ref="B8:B9"/>
    <mergeCell ref="B10:B11"/>
    <mergeCell ref="D3:J3"/>
    <mergeCell ref="K3:Q3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44"/>
  <sheetViews>
    <sheetView topLeftCell="B1" zoomScale="90" zoomScaleNormal="90" workbookViewId="0">
      <selection activeCell="B2" sqref="B2:Q2"/>
    </sheetView>
  </sheetViews>
  <sheetFormatPr baseColWidth="10" defaultColWidth="10.69921875" defaultRowHeight="15.6" x14ac:dyDescent="0.3"/>
  <cols>
    <col min="1" max="17" width="12.59765625" style="41" customWidth="1"/>
    <col min="18" max="16384" width="10.69921875" style="41"/>
  </cols>
  <sheetData>
    <row r="1" spans="1:17" x14ac:dyDescent="0.3">
      <c r="A1" s="68"/>
      <c r="B1" s="61"/>
      <c r="C1" s="55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7" ht="25.8" thickBot="1" x14ac:dyDescent="0.5">
      <c r="B2" s="282" t="s">
        <v>57</v>
      </c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</row>
    <row r="3" spans="1:17" ht="16.2" thickBot="1" x14ac:dyDescent="0.35">
      <c r="B3" s="67"/>
      <c r="C3" s="206"/>
      <c r="D3" s="301" t="s">
        <v>49</v>
      </c>
      <c r="E3" s="302"/>
      <c r="F3" s="302"/>
      <c r="G3" s="302"/>
      <c r="H3" s="302"/>
      <c r="I3" s="302"/>
      <c r="J3" s="303"/>
      <c r="K3" s="297" t="s">
        <v>50</v>
      </c>
      <c r="L3" s="298"/>
      <c r="M3" s="298"/>
      <c r="N3" s="298"/>
      <c r="O3" s="298"/>
      <c r="P3" s="298"/>
      <c r="Q3" s="299"/>
    </row>
    <row r="4" spans="1:17" ht="16.2" thickBot="1" x14ac:dyDescent="0.35">
      <c r="B4" s="171" t="s">
        <v>19</v>
      </c>
      <c r="C4" s="237" t="s">
        <v>18</v>
      </c>
      <c r="D4" s="238" t="s">
        <v>26</v>
      </c>
      <c r="E4" s="238" t="s">
        <v>27</v>
      </c>
      <c r="F4" s="238" t="s">
        <v>28</v>
      </c>
      <c r="G4" s="238" t="s">
        <v>3</v>
      </c>
      <c r="H4" s="239" t="s">
        <v>4</v>
      </c>
      <c r="I4" s="239" t="s">
        <v>5</v>
      </c>
      <c r="J4" s="240" t="s">
        <v>6</v>
      </c>
      <c r="K4" s="117" t="s">
        <v>26</v>
      </c>
      <c r="L4" s="23" t="s">
        <v>27</v>
      </c>
      <c r="M4" s="23" t="s">
        <v>28</v>
      </c>
      <c r="N4" s="23" t="s">
        <v>3</v>
      </c>
      <c r="O4" s="186" t="s">
        <v>4</v>
      </c>
      <c r="P4" s="186" t="s">
        <v>5</v>
      </c>
      <c r="Q4" s="187" t="s">
        <v>6</v>
      </c>
    </row>
    <row r="5" spans="1:17" x14ac:dyDescent="0.3">
      <c r="B5" s="85"/>
      <c r="C5" s="31" t="s">
        <v>8</v>
      </c>
      <c r="D5" s="10">
        <v>215828.30000000002</v>
      </c>
      <c r="E5" s="10">
        <v>213805.6</v>
      </c>
      <c r="F5" s="10">
        <v>2022.6</v>
      </c>
      <c r="G5" s="203">
        <f t="shared" ref="G5:G13" si="0">+F5/D5</f>
        <v>9.3713382350692643E-3</v>
      </c>
      <c r="H5" s="10">
        <v>60</v>
      </c>
      <c r="I5" s="10">
        <v>4173</v>
      </c>
      <c r="J5" s="202">
        <f>+H5/I5</f>
        <v>1.4378145219266714E-2</v>
      </c>
      <c r="K5" s="234" t="s">
        <v>23</v>
      </c>
      <c r="L5" s="177" t="s">
        <v>23</v>
      </c>
      <c r="M5" s="177" t="s">
        <v>23</v>
      </c>
      <c r="N5" s="177" t="s">
        <v>23</v>
      </c>
      <c r="O5" s="178">
        <v>5</v>
      </c>
      <c r="P5" s="178">
        <v>35</v>
      </c>
      <c r="Q5" s="209">
        <f t="shared" ref="Q5:Q12" si="1">+O5/P5</f>
        <v>0.14285714285714285</v>
      </c>
    </row>
    <row r="6" spans="1:17" x14ac:dyDescent="0.3">
      <c r="B6" s="284" t="s">
        <v>17</v>
      </c>
      <c r="C6" s="241">
        <v>2017.5</v>
      </c>
      <c r="D6" s="223">
        <v>23968.1</v>
      </c>
      <c r="E6" s="223">
        <v>23218.799999999999</v>
      </c>
      <c r="F6" s="223">
        <v>749.3</v>
      </c>
      <c r="G6" s="224">
        <f t="shared" si="0"/>
        <v>3.1262386255064022E-2</v>
      </c>
      <c r="H6" s="223">
        <v>16</v>
      </c>
      <c r="I6" s="223">
        <v>437</v>
      </c>
      <c r="J6" s="225">
        <f t="shared" ref="J6:J14" si="2">+H6/I6</f>
        <v>3.6613272311212815E-2</v>
      </c>
      <c r="K6" s="232" t="s">
        <v>23</v>
      </c>
      <c r="L6" s="233" t="s">
        <v>23</v>
      </c>
      <c r="M6" s="233" t="s">
        <v>23</v>
      </c>
      <c r="N6" s="233" t="s">
        <v>23</v>
      </c>
      <c r="O6" s="226">
        <v>6</v>
      </c>
      <c r="P6" s="226">
        <v>30</v>
      </c>
      <c r="Q6" s="227">
        <f t="shared" si="1"/>
        <v>0.2</v>
      </c>
    </row>
    <row r="7" spans="1:17" x14ac:dyDescent="0.3">
      <c r="B7" s="284"/>
      <c r="C7" s="31" t="s">
        <v>9</v>
      </c>
      <c r="D7" s="10">
        <v>246130.5</v>
      </c>
      <c r="E7" s="10">
        <v>228027.30000000002</v>
      </c>
      <c r="F7" s="10">
        <v>18103.199999999997</v>
      </c>
      <c r="G7" s="203">
        <f t="shared" si="0"/>
        <v>7.3551225874078988E-2</v>
      </c>
      <c r="H7" s="10">
        <v>51</v>
      </c>
      <c r="I7" s="10">
        <v>3864</v>
      </c>
      <c r="J7" s="202">
        <f t="shared" si="2"/>
        <v>1.3198757763975156E-2</v>
      </c>
      <c r="K7" s="234" t="s">
        <v>23</v>
      </c>
      <c r="L7" s="177" t="s">
        <v>23</v>
      </c>
      <c r="M7" s="177" t="s">
        <v>23</v>
      </c>
      <c r="N7" s="177" t="s">
        <v>23</v>
      </c>
      <c r="O7" s="178">
        <v>2</v>
      </c>
      <c r="P7" s="178">
        <v>20</v>
      </c>
      <c r="Q7" s="209">
        <f t="shared" si="1"/>
        <v>0.1</v>
      </c>
    </row>
    <row r="8" spans="1:17" x14ac:dyDescent="0.3">
      <c r="B8" s="284" t="s">
        <v>15</v>
      </c>
      <c r="C8" s="188" t="s">
        <v>10</v>
      </c>
      <c r="D8" s="152">
        <v>46325.7</v>
      </c>
      <c r="E8" s="152">
        <v>43490.5</v>
      </c>
      <c r="F8" s="152">
        <v>2835.1</v>
      </c>
      <c r="G8" s="224">
        <f t="shared" si="0"/>
        <v>6.1199291106232609E-2</v>
      </c>
      <c r="H8" s="152">
        <v>40</v>
      </c>
      <c r="I8" s="152">
        <v>826</v>
      </c>
      <c r="J8" s="225">
        <f t="shared" si="2"/>
        <v>4.8426150121065374E-2</v>
      </c>
      <c r="K8" s="232" t="s">
        <v>23</v>
      </c>
      <c r="L8" s="233" t="s">
        <v>23</v>
      </c>
      <c r="M8" s="233" t="s">
        <v>23</v>
      </c>
      <c r="N8" s="233" t="s">
        <v>23</v>
      </c>
      <c r="O8" s="226">
        <v>0</v>
      </c>
      <c r="P8" s="226">
        <v>4</v>
      </c>
      <c r="Q8" s="227">
        <f t="shared" si="1"/>
        <v>0</v>
      </c>
    </row>
    <row r="9" spans="1:17" x14ac:dyDescent="0.3">
      <c r="B9" s="284"/>
      <c r="C9" s="189" t="s">
        <v>11</v>
      </c>
      <c r="D9" s="76">
        <v>101284.5</v>
      </c>
      <c r="E9" s="76">
        <v>96738.6</v>
      </c>
      <c r="F9" s="76">
        <v>4545.8999999999996</v>
      </c>
      <c r="G9" s="203">
        <f t="shared" si="0"/>
        <v>4.4882484486767467E-2</v>
      </c>
      <c r="H9" s="76">
        <v>34</v>
      </c>
      <c r="I9" s="76">
        <v>3864</v>
      </c>
      <c r="J9" s="202">
        <f t="shared" si="2"/>
        <v>8.7991718426501039E-3</v>
      </c>
      <c r="K9" s="234" t="s">
        <v>23</v>
      </c>
      <c r="L9" s="177" t="s">
        <v>23</v>
      </c>
      <c r="M9" s="177" t="s">
        <v>23</v>
      </c>
      <c r="N9" s="177" t="s">
        <v>23</v>
      </c>
      <c r="O9" s="178">
        <v>0</v>
      </c>
      <c r="P9" s="178">
        <v>0</v>
      </c>
      <c r="Q9" s="209" t="s">
        <v>23</v>
      </c>
    </row>
    <row r="10" spans="1:17" x14ac:dyDescent="0.3">
      <c r="B10" s="284" t="s">
        <v>16</v>
      </c>
      <c r="C10" s="188" t="s">
        <v>12</v>
      </c>
      <c r="D10" s="152">
        <v>35876.9</v>
      </c>
      <c r="E10" s="152">
        <v>35157.699999999997</v>
      </c>
      <c r="F10" s="152">
        <v>719.3</v>
      </c>
      <c r="G10" s="224">
        <f t="shared" si="0"/>
        <v>2.004911238150453E-2</v>
      </c>
      <c r="H10" s="152">
        <v>40</v>
      </c>
      <c r="I10" s="152">
        <v>1725</v>
      </c>
      <c r="J10" s="225">
        <f t="shared" si="2"/>
        <v>2.318840579710145E-2</v>
      </c>
      <c r="K10" s="232" t="s">
        <v>23</v>
      </c>
      <c r="L10" s="233" t="s">
        <v>23</v>
      </c>
      <c r="M10" s="233" t="s">
        <v>23</v>
      </c>
      <c r="N10" s="233" t="s">
        <v>23</v>
      </c>
      <c r="O10" s="226">
        <v>0</v>
      </c>
      <c r="P10" s="226">
        <v>10</v>
      </c>
      <c r="Q10" s="227">
        <f t="shared" si="1"/>
        <v>0</v>
      </c>
    </row>
    <row r="11" spans="1:17" x14ac:dyDescent="0.3">
      <c r="B11" s="284"/>
      <c r="C11" s="235">
        <v>2020</v>
      </c>
      <c r="D11" s="212" t="s">
        <v>23</v>
      </c>
      <c r="E11" s="212" t="s">
        <v>23</v>
      </c>
      <c r="F11" s="212" t="s">
        <v>23</v>
      </c>
      <c r="G11" s="213" t="s">
        <v>23</v>
      </c>
      <c r="H11" s="178">
        <v>12</v>
      </c>
      <c r="I11" s="178">
        <f>30+3951+553</f>
        <v>4534</v>
      </c>
      <c r="J11" s="202">
        <f t="shared" si="2"/>
        <v>2.6466696074106751E-3</v>
      </c>
      <c r="K11" s="234" t="s">
        <v>23</v>
      </c>
      <c r="L11" s="177" t="s">
        <v>23</v>
      </c>
      <c r="M11" s="177" t="s">
        <v>23</v>
      </c>
      <c r="N11" s="177" t="s">
        <v>23</v>
      </c>
      <c r="O11" s="178">
        <v>0</v>
      </c>
      <c r="P11" s="178">
        <v>2</v>
      </c>
      <c r="Q11" s="209">
        <f t="shared" si="1"/>
        <v>0</v>
      </c>
    </row>
    <row r="12" spans="1:17" x14ac:dyDescent="0.3">
      <c r="B12" s="284" t="s">
        <v>13</v>
      </c>
      <c r="C12" s="188">
        <v>2020.5</v>
      </c>
      <c r="D12" s="226" t="s">
        <v>23</v>
      </c>
      <c r="E12" s="226" t="s">
        <v>23</v>
      </c>
      <c r="F12" s="226" t="s">
        <v>23</v>
      </c>
      <c r="G12" s="230" t="s">
        <v>23</v>
      </c>
      <c r="H12" s="226">
        <v>3</v>
      </c>
      <c r="I12" s="226">
        <f>1375+167</f>
        <v>1542</v>
      </c>
      <c r="J12" s="225">
        <f t="shared" si="2"/>
        <v>1.9455252918287938E-3</v>
      </c>
      <c r="K12" s="232" t="s">
        <v>23</v>
      </c>
      <c r="L12" s="233" t="s">
        <v>23</v>
      </c>
      <c r="M12" s="233" t="s">
        <v>23</v>
      </c>
      <c r="N12" s="233" t="s">
        <v>23</v>
      </c>
      <c r="O12" s="226">
        <v>4</v>
      </c>
      <c r="P12" s="226">
        <v>25</v>
      </c>
      <c r="Q12" s="227">
        <f t="shared" si="1"/>
        <v>0.16</v>
      </c>
    </row>
    <row r="13" spans="1:17" x14ac:dyDescent="0.3">
      <c r="B13" s="284"/>
      <c r="C13" s="243">
        <v>2021</v>
      </c>
      <c r="D13" s="83">
        <v>159994.20000000001</v>
      </c>
      <c r="E13" s="83">
        <v>158203.4</v>
      </c>
      <c r="F13" s="83">
        <v>1790.9</v>
      </c>
      <c r="G13" s="205">
        <f t="shared" si="0"/>
        <v>1.1193530765490249E-2</v>
      </c>
      <c r="H13" s="3">
        <v>21</v>
      </c>
      <c r="I13" s="3">
        <v>4643</v>
      </c>
      <c r="J13" s="202">
        <f t="shared" si="2"/>
        <v>4.5229377557613609E-3</v>
      </c>
      <c r="K13" s="214" t="s">
        <v>23</v>
      </c>
      <c r="L13" s="210" t="s">
        <v>23</v>
      </c>
      <c r="M13" s="210" t="s">
        <v>23</v>
      </c>
      <c r="N13" s="210" t="s">
        <v>23</v>
      </c>
      <c r="O13" s="178">
        <v>0</v>
      </c>
      <c r="P13" s="178">
        <v>0</v>
      </c>
      <c r="Q13" s="209" t="s">
        <v>23</v>
      </c>
    </row>
    <row r="14" spans="1:17" x14ac:dyDescent="0.3">
      <c r="B14" s="295" t="s">
        <v>14</v>
      </c>
      <c r="C14" s="242">
        <v>2021.5</v>
      </c>
      <c r="D14" s="233" t="s">
        <v>23</v>
      </c>
      <c r="E14" s="233" t="s">
        <v>23</v>
      </c>
      <c r="F14" s="233" t="s">
        <v>23</v>
      </c>
      <c r="G14" s="233" t="s">
        <v>23</v>
      </c>
      <c r="H14" s="233">
        <v>2</v>
      </c>
      <c r="I14" s="226">
        <f>202+237</f>
        <v>439</v>
      </c>
      <c r="J14" s="225">
        <f t="shared" si="2"/>
        <v>4.5558086560364463E-3</v>
      </c>
      <c r="K14" s="232" t="s">
        <v>23</v>
      </c>
      <c r="L14" s="233" t="s">
        <v>23</v>
      </c>
      <c r="M14" s="233" t="s">
        <v>23</v>
      </c>
      <c r="N14" s="233" t="s">
        <v>23</v>
      </c>
      <c r="O14" s="226">
        <v>0</v>
      </c>
      <c r="P14" s="226">
        <v>0</v>
      </c>
      <c r="Q14" s="227" t="s">
        <v>23</v>
      </c>
    </row>
    <row r="15" spans="1:17" ht="16.2" thickBot="1" x14ac:dyDescent="0.35">
      <c r="B15" s="296"/>
      <c r="C15" s="236"/>
      <c r="D15" s="71"/>
      <c r="E15" s="71"/>
      <c r="F15" s="71"/>
      <c r="G15" s="71"/>
      <c r="H15" s="71"/>
      <c r="I15" s="71"/>
      <c r="J15" s="72"/>
      <c r="K15" s="69"/>
      <c r="L15" s="71"/>
      <c r="M15" s="71"/>
      <c r="N15" s="71"/>
      <c r="O15" s="71"/>
      <c r="P15" s="71"/>
      <c r="Q15" s="72"/>
    </row>
    <row r="16" spans="1:17" ht="16.95" customHeight="1" x14ac:dyDescent="0.3">
      <c r="C16" s="65"/>
      <c r="D16" s="65"/>
      <c r="E16" s="65"/>
      <c r="F16" s="293" t="s">
        <v>59</v>
      </c>
      <c r="G16" s="293"/>
      <c r="H16" s="293"/>
    </row>
    <row r="17" spans="2:9" ht="16.95" customHeight="1" thickBot="1" x14ac:dyDescent="0.35">
      <c r="C17" s="65"/>
      <c r="D17" s="65"/>
      <c r="E17" s="65"/>
      <c r="F17" s="65"/>
      <c r="G17" s="65"/>
    </row>
    <row r="18" spans="2:9" ht="16.95" customHeight="1" thickBot="1" x14ac:dyDescent="0.4">
      <c r="C18" s="65"/>
      <c r="D18" s="286" t="s">
        <v>49</v>
      </c>
      <c r="E18" s="287"/>
      <c r="F18" s="287"/>
      <c r="G18" s="288"/>
    </row>
    <row r="19" spans="2:9" ht="16.2" thickBot="1" x14ac:dyDescent="0.35">
      <c r="B19" s="244" t="s">
        <v>20</v>
      </c>
      <c r="C19" s="244" t="s">
        <v>1</v>
      </c>
      <c r="D19" s="25" t="s">
        <v>26</v>
      </c>
      <c r="E19" s="25" t="s">
        <v>27</v>
      </c>
      <c r="F19" s="25" t="s">
        <v>28</v>
      </c>
      <c r="G19" s="190" t="s">
        <v>3</v>
      </c>
    </row>
    <row r="20" spans="2:9" x14ac:dyDescent="0.3">
      <c r="B20" s="112" t="s">
        <v>32</v>
      </c>
      <c r="C20" s="111" t="s">
        <v>24</v>
      </c>
      <c r="D20" s="37">
        <f>+SUM(D5,D7,D9,D13)</f>
        <v>723237.5</v>
      </c>
      <c r="E20" s="37">
        <f>+SUM(E5,E7,E9,E13)</f>
        <v>696774.9</v>
      </c>
      <c r="F20" s="37">
        <f>+SUM(F5,F7,F9,F13)</f>
        <v>26462.6</v>
      </c>
      <c r="G20" s="245">
        <f>+F20/D20</f>
        <v>3.6589087263865602E-2</v>
      </c>
    </row>
    <row r="21" spans="2:9" ht="16.2" thickBot="1" x14ac:dyDescent="0.35">
      <c r="B21" s="248" t="s">
        <v>32</v>
      </c>
      <c r="C21" s="89" t="s">
        <v>25</v>
      </c>
      <c r="D21" s="94">
        <f>+SUM(D6,D8,D10)</f>
        <v>106170.69999999998</v>
      </c>
      <c r="E21" s="94">
        <f>SUM(E6,E8,E10)</f>
        <v>101867</v>
      </c>
      <c r="F21" s="94">
        <f>SUM(F6,F8,F10)</f>
        <v>4303.7</v>
      </c>
      <c r="G21" s="249">
        <f>+F21/D21</f>
        <v>4.0535665678007211E-2</v>
      </c>
    </row>
    <row r="22" spans="2:9" ht="16.2" thickBot="1" x14ac:dyDescent="0.35">
      <c r="C22" s="2"/>
      <c r="D22" s="10"/>
      <c r="E22" s="10"/>
      <c r="F22" s="10"/>
      <c r="G22" s="12"/>
    </row>
    <row r="23" spans="2:9" ht="16.2" thickBot="1" x14ac:dyDescent="0.35">
      <c r="B23" s="93" t="s">
        <v>34</v>
      </c>
      <c r="C23" s="92" t="s">
        <v>24</v>
      </c>
      <c r="D23" s="38">
        <f>+SUM(D5,D7,D9)</f>
        <v>563243.30000000005</v>
      </c>
      <c r="E23" s="38">
        <f>+SUM(E5,E7,E9)</f>
        <v>538571.5</v>
      </c>
      <c r="F23" s="38">
        <f>+SUM(F5,F7,F9)</f>
        <v>24671.699999999997</v>
      </c>
      <c r="G23" s="247">
        <f>+F23/D23</f>
        <v>4.3802917850953568E-2</v>
      </c>
      <c r="H23" s="67"/>
    </row>
    <row r="24" spans="2:9" x14ac:dyDescent="0.3">
      <c r="B24" s="4"/>
      <c r="C24" s="47"/>
      <c r="D24" s="52"/>
      <c r="E24" s="52"/>
      <c r="F24" s="52"/>
      <c r="G24" s="64"/>
      <c r="H24" s="67"/>
    </row>
    <row r="25" spans="2:9" ht="16.2" thickBot="1" x14ac:dyDescent="0.35">
      <c r="B25" s="4"/>
      <c r="C25" s="47"/>
      <c r="D25" s="52"/>
      <c r="E25" s="52"/>
      <c r="F25" s="52"/>
      <c r="G25" s="64"/>
      <c r="H25" s="67"/>
    </row>
    <row r="26" spans="2:9" ht="18.600000000000001" thickBot="1" x14ac:dyDescent="0.4">
      <c r="B26" s="4"/>
      <c r="C26" s="47"/>
      <c r="D26" s="290" t="s">
        <v>49</v>
      </c>
      <c r="E26" s="291"/>
      <c r="F26" s="291"/>
      <c r="G26" s="292"/>
      <c r="H26" s="67"/>
    </row>
    <row r="27" spans="2:9" ht="16.2" thickBot="1" x14ac:dyDescent="0.35">
      <c r="C27" s="174" t="s">
        <v>19</v>
      </c>
      <c r="D27" s="23" t="s">
        <v>26</v>
      </c>
      <c r="E27" s="23" t="s">
        <v>27</v>
      </c>
      <c r="F27" s="23" t="s">
        <v>28</v>
      </c>
      <c r="G27" s="118" t="s">
        <v>3</v>
      </c>
      <c r="H27" s="67"/>
    </row>
    <row r="28" spans="2:9" x14ac:dyDescent="0.3">
      <c r="C28" s="277" t="s">
        <v>45</v>
      </c>
      <c r="D28" s="273">
        <f>SUM(D6:D7)</f>
        <v>270098.59999999998</v>
      </c>
      <c r="E28" s="273">
        <f>SUM(E6:E7)</f>
        <v>251246.1</v>
      </c>
      <c r="F28" s="273">
        <f>SUM(F6:F7)</f>
        <v>18852.499999999996</v>
      </c>
      <c r="G28" s="275">
        <f t="shared" ref="G28:G31" si="3">+F28/D28</f>
        <v>6.9798584665007518E-2</v>
      </c>
      <c r="H28" s="67"/>
    </row>
    <row r="29" spans="2:9" x14ac:dyDescent="0.3">
      <c r="C29" s="277" t="s">
        <v>46</v>
      </c>
      <c r="D29" s="273">
        <f>SUM(D8:D9)</f>
        <v>147610.20000000001</v>
      </c>
      <c r="E29" s="273">
        <f>SUM(E8:E9)</f>
        <v>140229.1</v>
      </c>
      <c r="F29" s="273">
        <f>SUM(F8:F9)</f>
        <v>7381</v>
      </c>
      <c r="G29" s="275">
        <f t="shared" si="3"/>
        <v>5.0003319553797769E-2</v>
      </c>
      <c r="H29" s="67"/>
    </row>
    <row r="30" spans="2:9" x14ac:dyDescent="0.3">
      <c r="C30" s="277" t="s">
        <v>47</v>
      </c>
      <c r="D30" s="273">
        <f>SUM(D10)</f>
        <v>35876.9</v>
      </c>
      <c r="E30" s="273">
        <f>SUM(E10)</f>
        <v>35157.699999999997</v>
      </c>
      <c r="F30" s="273">
        <f>SUM(F10)</f>
        <v>719.3</v>
      </c>
      <c r="G30" s="275">
        <f t="shared" si="3"/>
        <v>2.004911238150453E-2</v>
      </c>
    </row>
    <row r="31" spans="2:9" ht="16.2" thickBot="1" x14ac:dyDescent="0.35">
      <c r="C31" s="278" t="s">
        <v>48</v>
      </c>
      <c r="D31" s="274">
        <f>D13</f>
        <v>159994.20000000001</v>
      </c>
      <c r="E31" s="274">
        <f>E13</f>
        <v>158203.4</v>
      </c>
      <c r="F31" s="274">
        <f>F13</f>
        <v>1790.9</v>
      </c>
      <c r="G31" s="276">
        <f t="shared" si="3"/>
        <v>1.1193530765490249E-2</v>
      </c>
    </row>
    <row r="32" spans="2:9" x14ac:dyDescent="0.3">
      <c r="B32" s="67"/>
      <c r="C32" s="65"/>
      <c r="D32" s="65"/>
      <c r="E32" s="65"/>
      <c r="F32" s="65"/>
      <c r="G32" s="65"/>
      <c r="H32" s="42"/>
      <c r="I32" s="14"/>
    </row>
    <row r="33" spans="1:9" x14ac:dyDescent="0.3">
      <c r="C33" s="43"/>
      <c r="D33" s="13"/>
      <c r="E33" s="13"/>
      <c r="F33" s="13"/>
      <c r="G33" s="14"/>
      <c r="H33" s="42"/>
      <c r="I33" s="14"/>
    </row>
    <row r="34" spans="1:9" ht="20.399999999999999" x14ac:dyDescent="0.35">
      <c r="A34" s="44"/>
      <c r="B34" s="44"/>
      <c r="C34" s="44"/>
      <c r="D34" s="44"/>
      <c r="E34" s="44"/>
      <c r="F34" s="44"/>
      <c r="G34" s="44"/>
    </row>
    <row r="35" spans="1:9" ht="15.45" customHeight="1" x14ac:dyDescent="0.35">
      <c r="B35" s="44"/>
      <c r="C35" s="44"/>
      <c r="D35" s="44"/>
      <c r="E35" s="13"/>
      <c r="F35" s="13"/>
      <c r="G35" s="14"/>
    </row>
    <row r="36" spans="1:9" ht="15.45" customHeight="1" x14ac:dyDescent="0.35">
      <c r="B36" s="44"/>
      <c r="C36" s="44"/>
      <c r="D36" s="44"/>
      <c r="E36" s="13"/>
      <c r="F36" s="13"/>
      <c r="G36" s="14"/>
    </row>
    <row r="37" spans="1:9" ht="15.45" customHeight="1" x14ac:dyDescent="0.35">
      <c r="B37" s="44"/>
      <c r="C37" s="44"/>
    </row>
    <row r="38" spans="1:9" ht="15.45" customHeight="1" x14ac:dyDescent="0.35">
      <c r="B38" s="44"/>
      <c r="C38" s="44"/>
      <c r="D38" s="44"/>
      <c r="E38" s="300" t="s">
        <v>44</v>
      </c>
      <c r="F38" s="300"/>
      <c r="G38" s="300"/>
      <c r="H38" s="300"/>
      <c r="I38" s="300"/>
    </row>
    <row r="39" spans="1:9" ht="16.05" customHeight="1" x14ac:dyDescent="0.35">
      <c r="B39" s="44"/>
      <c r="C39" s="44"/>
      <c r="D39" s="44"/>
      <c r="E39" s="13"/>
    </row>
    <row r="40" spans="1:9" x14ac:dyDescent="0.3">
      <c r="B40" s="3"/>
      <c r="C40" s="3"/>
      <c r="D40" s="3"/>
      <c r="E40" s="13"/>
      <c r="F40" s="13"/>
      <c r="G40" s="14"/>
    </row>
    <row r="41" spans="1:9" ht="60" customHeight="1" x14ac:dyDescent="0.3">
      <c r="B41" s="57"/>
      <c r="C41" s="59"/>
      <c r="D41" s="59"/>
    </row>
    <row r="42" spans="1:9" ht="40.049999999999997" customHeight="1" x14ac:dyDescent="0.3">
      <c r="B42" s="60"/>
      <c r="C42" s="61"/>
      <c r="D42" s="62"/>
    </row>
    <row r="43" spans="1:9" x14ac:dyDescent="0.3">
      <c r="B43" s="60"/>
      <c r="C43" s="61"/>
      <c r="D43" s="62"/>
    </row>
    <row r="44" spans="1:9" x14ac:dyDescent="0.3">
      <c r="B44" s="60"/>
      <c r="C44" s="61"/>
      <c r="D44" s="62"/>
    </row>
  </sheetData>
  <mergeCells count="12">
    <mergeCell ref="E38:I38"/>
    <mergeCell ref="B12:B13"/>
    <mergeCell ref="B14:B15"/>
    <mergeCell ref="F16:H16"/>
    <mergeCell ref="B2:Q2"/>
    <mergeCell ref="D18:G18"/>
    <mergeCell ref="D26:G26"/>
    <mergeCell ref="K3:Q3"/>
    <mergeCell ref="B6:B7"/>
    <mergeCell ref="B8:B9"/>
    <mergeCell ref="B10:B11"/>
    <mergeCell ref="D3:J3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CC53-433E-45D5-9625-DBAF672DA78B}">
  <sheetPr>
    <tabColor theme="1" tint="0.499984740745262"/>
  </sheetPr>
  <dimension ref="B2:AMJ16"/>
  <sheetViews>
    <sheetView zoomScaleNormal="100" workbookViewId="0">
      <selection activeCell="B2" sqref="B2:K2"/>
    </sheetView>
  </sheetViews>
  <sheetFormatPr baseColWidth="10" defaultColWidth="10.69921875" defaultRowHeight="15.6" x14ac:dyDescent="0.3"/>
  <cols>
    <col min="2" max="2" width="15.19921875" style="1" customWidth="1"/>
    <col min="3" max="3" width="12.8984375" style="1" customWidth="1"/>
    <col min="4" max="4" width="13.69921875" style="1" customWidth="1"/>
    <col min="5" max="5" width="13" style="1" bestFit="1" customWidth="1"/>
    <col min="6" max="6" width="9.5" style="1" bestFit="1" customWidth="1"/>
    <col min="7" max="7" width="10.19921875" style="1" customWidth="1"/>
    <col min="8" max="8" width="9.59765625" style="1" customWidth="1"/>
    <col min="9" max="9" width="11.5" style="1" customWidth="1"/>
    <col min="10" max="10" width="8" style="1" customWidth="1"/>
    <col min="11" max="11" width="9.69921875" style="1" bestFit="1" customWidth="1"/>
    <col min="12" max="12" width="8.19921875" style="1" customWidth="1"/>
    <col min="13" max="13" width="7.19921875" style="1" customWidth="1"/>
    <col min="14" max="14" width="9.69921875" style="1" customWidth="1"/>
    <col min="15" max="15" width="6.19921875" style="1" customWidth="1"/>
    <col min="16" max="16" width="11" style="1" bestFit="1" customWidth="1"/>
    <col min="17" max="1024" width="10.69921875" style="1"/>
  </cols>
  <sheetData>
    <row r="2" spans="2:15" ht="25.8" thickBot="1" x14ac:dyDescent="0.5">
      <c r="B2" s="307" t="s">
        <v>36</v>
      </c>
      <c r="C2" s="307"/>
      <c r="D2" s="307"/>
      <c r="E2" s="307"/>
      <c r="F2" s="307"/>
      <c r="G2" s="307"/>
      <c r="H2" s="307"/>
      <c r="I2" s="307"/>
      <c r="J2" s="307"/>
      <c r="K2" s="307"/>
      <c r="L2" s="175"/>
      <c r="M2" s="175"/>
      <c r="N2" s="175"/>
      <c r="O2" s="175"/>
    </row>
    <row r="3" spans="2:15" ht="16.05" customHeight="1" thickBot="1" x14ac:dyDescent="0.35">
      <c r="B3" s="45" t="s">
        <v>20</v>
      </c>
      <c r="C3" s="34" t="s">
        <v>0</v>
      </c>
      <c r="D3" s="35" t="s">
        <v>2</v>
      </c>
      <c r="E3" s="36" t="s">
        <v>26</v>
      </c>
      <c r="F3" s="34" t="s">
        <v>27</v>
      </c>
      <c r="G3" s="34" t="s">
        <v>28</v>
      </c>
      <c r="H3" s="34" t="s">
        <v>3</v>
      </c>
      <c r="I3" s="34" t="s">
        <v>4</v>
      </c>
      <c r="J3" s="34" t="s">
        <v>5</v>
      </c>
      <c r="K3" s="35" t="s">
        <v>6</v>
      </c>
    </row>
    <row r="4" spans="2:15" ht="15.45" customHeight="1" x14ac:dyDescent="0.3">
      <c r="B4" s="304" t="s">
        <v>21</v>
      </c>
      <c r="C4" s="251">
        <v>2017</v>
      </c>
      <c r="D4" s="268" t="s">
        <v>7</v>
      </c>
      <c r="E4" s="252">
        <v>13684.8</v>
      </c>
      <c r="F4" s="252">
        <v>9637.1</v>
      </c>
      <c r="G4" s="252">
        <v>4047.8</v>
      </c>
      <c r="H4" s="253">
        <f>(G4/E4)*100</f>
        <v>29.578802759265759</v>
      </c>
      <c r="I4" s="252">
        <v>11</v>
      </c>
      <c r="J4" s="252">
        <v>433</v>
      </c>
      <c r="K4" s="254">
        <f>(I4/J4)*100</f>
        <v>2.5404157043879905</v>
      </c>
    </row>
    <row r="5" spans="2:15" x14ac:dyDescent="0.3">
      <c r="B5" s="305"/>
      <c r="C5" s="154">
        <v>2018</v>
      </c>
      <c r="D5" s="188" t="s">
        <v>7</v>
      </c>
      <c r="E5" s="181">
        <v>6464.1</v>
      </c>
      <c r="F5" s="181">
        <v>5988</v>
      </c>
      <c r="G5" s="181">
        <v>476.1</v>
      </c>
      <c r="H5" s="182">
        <f>(G5/E5)*100</f>
        <v>7.3652944725483822</v>
      </c>
      <c r="I5" s="181">
        <v>14</v>
      </c>
      <c r="J5" s="181">
        <v>312</v>
      </c>
      <c r="K5" s="261">
        <f>(I5/J5)*100</f>
        <v>4.4871794871794872</v>
      </c>
    </row>
    <row r="6" spans="2:15" ht="16.2" thickBot="1" x14ac:dyDescent="0.35">
      <c r="B6" s="306"/>
      <c r="C6" s="255">
        <v>2019</v>
      </c>
      <c r="D6" s="269" t="s">
        <v>7</v>
      </c>
      <c r="E6" s="256">
        <v>14500.5</v>
      </c>
      <c r="F6" s="256">
        <v>14322.3</v>
      </c>
      <c r="G6" s="256">
        <v>178.2</v>
      </c>
      <c r="H6" s="266">
        <f>(G6/E6)*100</f>
        <v>1.2289231405813592</v>
      </c>
      <c r="I6" s="256">
        <v>21</v>
      </c>
      <c r="J6" s="256">
        <v>344</v>
      </c>
      <c r="K6" s="257">
        <f>(I6/J6)*100</f>
        <v>6.104651162790697</v>
      </c>
    </row>
    <row r="7" spans="2:15" x14ac:dyDescent="0.3">
      <c r="B7" s="304" t="s">
        <v>22</v>
      </c>
      <c r="C7" s="262">
        <v>2020</v>
      </c>
      <c r="D7" s="270" t="s">
        <v>7</v>
      </c>
      <c r="E7" s="263">
        <v>21548.400000000001</v>
      </c>
      <c r="F7" s="263">
        <v>20208.8</v>
      </c>
      <c r="G7" s="263">
        <v>1339.6</v>
      </c>
      <c r="H7" s="267">
        <f>(G7/E7)*100</f>
        <v>6.2167028642497808</v>
      </c>
      <c r="I7" s="263">
        <v>28</v>
      </c>
      <c r="J7" s="263">
        <v>517</v>
      </c>
      <c r="K7" s="264">
        <f>(I7/J7)*100</f>
        <v>5.4158607350096712</v>
      </c>
    </row>
    <row r="8" spans="2:15" ht="16.2" thickBot="1" x14ac:dyDescent="0.35">
      <c r="B8" s="306"/>
      <c r="C8" s="265">
        <v>2021</v>
      </c>
      <c r="D8" s="271" t="s">
        <v>7</v>
      </c>
      <c r="E8" s="258">
        <v>11393.5</v>
      </c>
      <c r="F8" s="258">
        <v>11393.5</v>
      </c>
      <c r="G8" s="258">
        <v>0</v>
      </c>
      <c r="H8" s="250">
        <f>(G8/E8)*100</f>
        <v>0</v>
      </c>
      <c r="I8" s="259">
        <v>12</v>
      </c>
      <c r="J8" s="259">
        <v>329</v>
      </c>
      <c r="K8" s="260">
        <f>(I8/J8)*100</f>
        <v>3.6474164133738598</v>
      </c>
    </row>
    <row r="9" spans="2:15" x14ac:dyDescent="0.3">
      <c r="B9" s="104"/>
    </row>
    <row r="10" spans="2:15" ht="16.2" thickBot="1" x14ac:dyDescent="0.35">
      <c r="B10" s="104"/>
    </row>
    <row r="11" spans="2:15" ht="16.2" thickBot="1" x14ac:dyDescent="0.35">
      <c r="B11" s="104"/>
      <c r="C11" s="171" t="s">
        <v>20</v>
      </c>
      <c r="D11" s="187" t="s">
        <v>2</v>
      </c>
      <c r="E11" s="23" t="s">
        <v>26</v>
      </c>
      <c r="F11" s="23" t="s">
        <v>27</v>
      </c>
      <c r="G11" s="23" t="s">
        <v>28</v>
      </c>
      <c r="H11" s="118" t="s">
        <v>3</v>
      </c>
    </row>
    <row r="12" spans="2:15" x14ac:dyDescent="0.3">
      <c r="C12" s="170" t="s">
        <v>21</v>
      </c>
      <c r="D12" s="31" t="s">
        <v>7</v>
      </c>
      <c r="E12" s="9">
        <f>SUM(E5:E6)</f>
        <v>20964.599999999999</v>
      </c>
      <c r="F12" s="9">
        <f>SUM(F5:F6)</f>
        <v>20310.3</v>
      </c>
      <c r="G12" s="9">
        <f>SUM(G5:G6)</f>
        <v>654.29999999999995</v>
      </c>
      <c r="H12" s="272">
        <f>+G12/E12</f>
        <v>3.1209753584614065E-2</v>
      </c>
    </row>
    <row r="13" spans="2:15" ht="16.2" thickBot="1" x14ac:dyDescent="0.35">
      <c r="C13" s="99" t="s">
        <v>22</v>
      </c>
      <c r="D13" s="32" t="s">
        <v>7</v>
      </c>
      <c r="E13" s="58">
        <f>SUM(E7:E8)</f>
        <v>32941.9</v>
      </c>
      <c r="F13" s="58">
        <f>SUM(F7:F8)</f>
        <v>31602.3</v>
      </c>
      <c r="G13" s="58">
        <f>SUM(G7:G8)</f>
        <v>1339.6</v>
      </c>
      <c r="H13" s="279">
        <f t="shared" ref="H13" si="0">+G13/E13</f>
        <v>4.0665535381990713E-2</v>
      </c>
    </row>
    <row r="14" spans="2:15" ht="16.2" thickBot="1" x14ac:dyDescent="0.35">
      <c r="C14" s="100"/>
      <c r="E14" s="101"/>
      <c r="F14" s="102"/>
      <c r="G14" s="101"/>
      <c r="H14" s="103"/>
    </row>
    <row r="15" spans="2:15" x14ac:dyDescent="0.3">
      <c r="C15" s="51" t="s">
        <v>33</v>
      </c>
      <c r="D15" s="33" t="s">
        <v>7</v>
      </c>
      <c r="E15" s="26">
        <f>SUM(E5:E8)</f>
        <v>53906.5</v>
      </c>
      <c r="F15" s="26">
        <f>SUM(F5:F8)</f>
        <v>51912.6</v>
      </c>
      <c r="G15" s="26">
        <f>SUM(G5:G8)</f>
        <v>1993.8999999999999</v>
      </c>
      <c r="H15" s="280">
        <f>+G15/E15</f>
        <v>3.6988118315973026E-2</v>
      </c>
    </row>
    <row r="16" spans="2:15" ht="16.2" thickBot="1" x14ac:dyDescent="0.35">
      <c r="C16" s="99" t="s">
        <v>35</v>
      </c>
      <c r="D16" s="32" t="s">
        <v>7</v>
      </c>
      <c r="E16" s="58">
        <f>SUM(E5:E7)</f>
        <v>42513</v>
      </c>
      <c r="F16" s="58">
        <f>SUM(F5:F7)</f>
        <v>40519.1</v>
      </c>
      <c r="G16" s="58">
        <f>SUM(G5:G7)</f>
        <v>1993.8999999999999</v>
      </c>
      <c r="H16" s="281">
        <f>+G16/E16</f>
        <v>4.6900947945334365E-2</v>
      </c>
    </row>
  </sheetData>
  <mergeCells count="3">
    <mergeCell ref="B4:B6"/>
    <mergeCell ref="B7:B8"/>
    <mergeCell ref="B2:K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Anchoveta ZN</vt:lpstr>
      <vt:lpstr>Anchoveta ZCN</vt:lpstr>
      <vt:lpstr>Anchoveta ZCS</vt:lpstr>
      <vt:lpstr>Sardina común ZCS</vt:lpstr>
      <vt:lpstr>Sardina austral ZS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Rodrigo Vega</cp:lastModifiedBy>
  <cp:revision>16</cp:revision>
  <dcterms:created xsi:type="dcterms:W3CDTF">2021-01-28T13:57:38Z</dcterms:created>
  <dcterms:modified xsi:type="dcterms:W3CDTF">2022-07-06T15:43:51Z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