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1.xml" ContentType="application/vnd.openxmlformats-officedocument.drawingml.chart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OQUERON\surveys_consistency\DATOS\PELAGO\"/>
    </mc:Choice>
  </mc:AlternateContent>
  <xr:revisionPtr revIDLastSave="0" documentId="13_ncr:1_{B56EE9B5-9202-40AA-9B9F-BFA509742B16}" xr6:coauthVersionLast="47" xr6:coauthVersionMax="47" xr10:uidLastSave="{00000000-0000-0000-0000-000000000000}"/>
  <bookViews>
    <workbookView xWindow="57480" yWindow="-120" windowWidth="29040" windowHeight="15720" activeTab="3" xr2:uid="{00000000-000D-0000-FFFF-FFFF00000000}"/>
  </bookViews>
  <sheets>
    <sheet name="West" sheetId="2" r:id="rId1"/>
    <sheet name="Algarve" sheetId="3" r:id="rId2"/>
    <sheet name="CADIZ" sheetId="1" r:id="rId3"/>
    <sheet name="9a S" sheetId="7" r:id="rId4"/>
    <sheet name="Hoja1" sheetId="8" r:id="rId5"/>
    <sheet name="Portugal" sheetId="6" r:id="rId6"/>
    <sheet name="Total (Portugal_Cadiz)" sheetId="4" r:id="rId7"/>
    <sheet name="PELAGO15_ALK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81" i="7" l="1"/>
  <c r="AO81" i="7"/>
  <c r="AP81" i="7"/>
  <c r="AM81" i="7"/>
  <c r="AQ81" i="7"/>
  <c r="N12" i="7"/>
  <c r="AL54" i="7"/>
  <c r="AM54" i="7" s="1"/>
  <c r="BH35" i="7" l="1"/>
  <c r="BF35" i="7"/>
  <c r="BE35" i="7"/>
  <c r="AZ35" i="7"/>
  <c r="AY35" i="7"/>
  <c r="AZ34" i="7"/>
  <c r="BA34" i="7"/>
  <c r="AY34" i="7"/>
  <c r="AW7" i="7"/>
  <c r="AW8" i="7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6" i="7"/>
  <c r="AR27" i="7"/>
  <c r="AS27" i="7"/>
  <c r="BF27" i="7" s="1"/>
  <c r="AT27" i="7"/>
  <c r="BG27" i="7" s="1"/>
  <c r="AU27" i="7"/>
  <c r="AN6" i="7"/>
  <c r="AO6" i="7"/>
  <c r="AP6" i="7"/>
  <c r="AN7" i="7"/>
  <c r="AO7" i="7"/>
  <c r="AP7" i="7"/>
  <c r="AN8" i="7"/>
  <c r="AO8" i="7"/>
  <c r="AP8" i="7"/>
  <c r="AN9" i="7"/>
  <c r="AO9" i="7"/>
  <c r="AP9" i="7"/>
  <c r="AN10" i="7"/>
  <c r="AO10" i="7"/>
  <c r="AP10" i="7"/>
  <c r="AN11" i="7"/>
  <c r="AO11" i="7"/>
  <c r="AP11" i="7"/>
  <c r="AN12" i="7"/>
  <c r="AO12" i="7"/>
  <c r="AP12" i="7"/>
  <c r="AN13" i="7"/>
  <c r="AO13" i="7"/>
  <c r="AP13" i="7"/>
  <c r="AN14" i="7"/>
  <c r="AO14" i="7"/>
  <c r="AP14" i="7"/>
  <c r="AN15" i="7"/>
  <c r="AO15" i="7"/>
  <c r="AP15" i="7"/>
  <c r="AN16" i="7"/>
  <c r="AO16" i="7"/>
  <c r="AP16" i="7"/>
  <c r="AN17" i="7"/>
  <c r="AO17" i="7"/>
  <c r="AP17" i="7"/>
  <c r="AN18" i="7"/>
  <c r="AO18" i="7"/>
  <c r="AP18" i="7"/>
  <c r="AN19" i="7"/>
  <c r="AO19" i="7"/>
  <c r="AP19" i="7"/>
  <c r="AN20" i="7"/>
  <c r="AO20" i="7"/>
  <c r="AP20" i="7"/>
  <c r="AN21" i="7"/>
  <c r="AO21" i="7"/>
  <c r="AP21" i="7"/>
  <c r="AN22" i="7"/>
  <c r="AO22" i="7"/>
  <c r="AP22" i="7"/>
  <c r="AN23" i="7"/>
  <c r="AO23" i="7"/>
  <c r="AP23" i="7"/>
  <c r="AN24" i="7"/>
  <c r="AO24" i="7"/>
  <c r="AP24" i="7"/>
  <c r="AN25" i="7"/>
  <c r="AO25" i="7"/>
  <c r="AP25" i="7"/>
  <c r="AN26" i="7"/>
  <c r="AO26" i="7"/>
  <c r="AP26" i="7"/>
  <c r="AN27" i="7"/>
  <c r="AO27" i="7"/>
  <c r="AP27" i="7"/>
  <c r="AN28" i="7"/>
  <c r="AO28" i="7"/>
  <c r="AP28" i="7"/>
  <c r="AN29" i="7"/>
  <c r="AO29" i="7"/>
  <c r="AP29" i="7"/>
  <c r="AN30" i="7"/>
  <c r="AO30" i="7"/>
  <c r="AP30" i="7"/>
  <c r="AN31" i="7"/>
  <c r="AO31" i="7"/>
  <c r="AP31" i="7"/>
  <c r="AN32" i="7"/>
  <c r="AO32" i="7"/>
  <c r="AP32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6" i="7"/>
  <c r="BI33" i="7"/>
  <c r="BC33" i="7"/>
  <c r="BF6" i="7"/>
  <c r="BG6" i="7"/>
  <c r="BF7" i="7"/>
  <c r="BG7" i="7"/>
  <c r="BH7" i="7" s="1"/>
  <c r="BF8" i="7"/>
  <c r="BG8" i="7"/>
  <c r="BF9" i="7"/>
  <c r="BG9" i="7"/>
  <c r="BF10" i="7"/>
  <c r="BH10" i="7" s="1"/>
  <c r="BG10" i="7"/>
  <c r="BF11" i="7"/>
  <c r="BG11" i="7"/>
  <c r="BF12" i="7"/>
  <c r="BG12" i="7"/>
  <c r="BF13" i="7"/>
  <c r="BH13" i="7" s="1"/>
  <c r="BG13" i="7"/>
  <c r="BF14" i="7"/>
  <c r="BH14" i="7" s="1"/>
  <c r="BG14" i="7"/>
  <c r="BF28" i="7"/>
  <c r="BH28" i="7" s="1"/>
  <c r="BG28" i="7"/>
  <c r="BF29" i="7"/>
  <c r="BG29" i="7"/>
  <c r="BF30" i="7"/>
  <c r="BG30" i="7"/>
  <c r="BF31" i="7"/>
  <c r="BG31" i="7"/>
  <c r="BF32" i="7"/>
  <c r="BG32" i="7"/>
  <c r="BH32" i="7" s="1"/>
  <c r="BE7" i="7"/>
  <c r="BE8" i="7"/>
  <c r="BE9" i="7"/>
  <c r="BE10" i="7"/>
  <c r="BE11" i="7"/>
  <c r="BE12" i="7"/>
  <c r="BE13" i="7"/>
  <c r="BE14" i="7"/>
  <c r="BE27" i="7"/>
  <c r="BE28" i="7"/>
  <c r="BE29" i="7"/>
  <c r="BE30" i="7"/>
  <c r="BE31" i="7"/>
  <c r="BE32" i="7"/>
  <c r="BE6" i="7"/>
  <c r="BH6" i="7"/>
  <c r="BH9" i="7"/>
  <c r="BH31" i="7"/>
  <c r="AZ6" i="7"/>
  <c r="BA6" i="7"/>
  <c r="AZ7" i="7"/>
  <c r="BA7" i="7"/>
  <c r="AZ8" i="7"/>
  <c r="BB8" i="7" s="1"/>
  <c r="BA8" i="7"/>
  <c r="AZ9" i="7"/>
  <c r="BA9" i="7"/>
  <c r="AZ10" i="7"/>
  <c r="BA10" i="7"/>
  <c r="AZ11" i="7"/>
  <c r="BA11" i="7"/>
  <c r="AZ12" i="7"/>
  <c r="BA12" i="7"/>
  <c r="AZ13" i="7"/>
  <c r="BB13" i="7" s="1"/>
  <c r="BA13" i="7"/>
  <c r="AZ14" i="7"/>
  <c r="BA14" i="7"/>
  <c r="AZ27" i="7"/>
  <c r="BA27" i="7"/>
  <c r="AZ28" i="7"/>
  <c r="BA28" i="7"/>
  <c r="AZ29" i="7"/>
  <c r="BA29" i="7"/>
  <c r="AZ30" i="7"/>
  <c r="BA30" i="7"/>
  <c r="AZ31" i="7"/>
  <c r="BA31" i="7"/>
  <c r="AZ32" i="7"/>
  <c r="BB32" i="7" s="1"/>
  <c r="BA32" i="7"/>
  <c r="AY7" i="7"/>
  <c r="AY8" i="7"/>
  <c r="AY9" i="7"/>
  <c r="AY10" i="7"/>
  <c r="AY11" i="7"/>
  <c r="AY12" i="7"/>
  <c r="BB12" i="7" s="1"/>
  <c r="AY13" i="7"/>
  <c r="AY14" i="7"/>
  <c r="AY27" i="7"/>
  <c r="BB27" i="7" s="1"/>
  <c r="AY28" i="7"/>
  <c r="AY29" i="7"/>
  <c r="AY30" i="7"/>
  <c r="AY31" i="7"/>
  <c r="AY32" i="7"/>
  <c r="AY6" i="7"/>
  <c r="BB14" i="7"/>
  <c r="BB9" i="7"/>
  <c r="BB10" i="7"/>
  <c r="BB11" i="7"/>
  <c r="BB29" i="7"/>
  <c r="BB30" i="7"/>
  <c r="BB7" i="7"/>
  <c r="BB31" i="7"/>
  <c r="BB6" i="7"/>
  <c r="BH27" i="7" l="1"/>
  <c r="BH12" i="7"/>
  <c r="BH8" i="7"/>
  <c r="BH11" i="7"/>
  <c r="BH29" i="7"/>
  <c r="BH30" i="7"/>
  <c r="BB28" i="7"/>
  <c r="AE69" i="7" l="1"/>
  <c r="AB55" i="7"/>
  <c r="AC55" i="7"/>
  <c r="AD55" i="7"/>
  <c r="AB56" i="7"/>
  <c r="AC56" i="7"/>
  <c r="AD56" i="7"/>
  <c r="AB57" i="7"/>
  <c r="AC57" i="7"/>
  <c r="AD57" i="7"/>
  <c r="AB58" i="7"/>
  <c r="AE58" i="7" s="1"/>
  <c r="AC58" i="7"/>
  <c r="AD58" i="7"/>
  <c r="AB59" i="7"/>
  <c r="AC59" i="7"/>
  <c r="AD59" i="7"/>
  <c r="AB60" i="7"/>
  <c r="AE60" i="7" s="1"/>
  <c r="AC60" i="7"/>
  <c r="AD60" i="7"/>
  <c r="AB61" i="7"/>
  <c r="AC61" i="7"/>
  <c r="AD61" i="7"/>
  <c r="AE61" i="7" s="1"/>
  <c r="AB62" i="7"/>
  <c r="AC62" i="7"/>
  <c r="AD62" i="7"/>
  <c r="AB63" i="7"/>
  <c r="AC63" i="7"/>
  <c r="AD63" i="7"/>
  <c r="AE63" i="7" s="1"/>
  <c r="AB64" i="7"/>
  <c r="AC64" i="7"/>
  <c r="AD64" i="7"/>
  <c r="AB65" i="7"/>
  <c r="AC65" i="7"/>
  <c r="AD65" i="7"/>
  <c r="AE65" i="7" s="1"/>
  <c r="AB66" i="7"/>
  <c r="AC66" i="7"/>
  <c r="AD66" i="7"/>
  <c r="AB67" i="7"/>
  <c r="AC67" i="7"/>
  <c r="AD67" i="7"/>
  <c r="AB68" i="7"/>
  <c r="AC68" i="7"/>
  <c r="AD68" i="7"/>
  <c r="AB69" i="7"/>
  <c r="AC69" i="7"/>
  <c r="AD69" i="7"/>
  <c r="AB70" i="7"/>
  <c r="AC70" i="7"/>
  <c r="AD70" i="7"/>
  <c r="AB71" i="7"/>
  <c r="AC71" i="7"/>
  <c r="AD71" i="7"/>
  <c r="AE71" i="7" s="1"/>
  <c r="AB72" i="7"/>
  <c r="AC72" i="7"/>
  <c r="AD72" i="7"/>
  <c r="AB73" i="7"/>
  <c r="AC73" i="7"/>
  <c r="AE73" i="7" s="1"/>
  <c r="AD73" i="7"/>
  <c r="AB74" i="7"/>
  <c r="AC74" i="7"/>
  <c r="AD74" i="7"/>
  <c r="AB75" i="7"/>
  <c r="AC75" i="7"/>
  <c r="AE75" i="7" s="1"/>
  <c r="AD75" i="7"/>
  <c r="AB76" i="7"/>
  <c r="AC76" i="7"/>
  <c r="AD76" i="7"/>
  <c r="AB77" i="7"/>
  <c r="AC77" i="7"/>
  <c r="AD77" i="7"/>
  <c r="AE77" i="7" s="1"/>
  <c r="AB78" i="7"/>
  <c r="AC78" i="7"/>
  <c r="AD78" i="7"/>
  <c r="AB79" i="7"/>
  <c r="AC79" i="7"/>
  <c r="AD79" i="7"/>
  <c r="AB80" i="7"/>
  <c r="AC80" i="7"/>
  <c r="AD80" i="7"/>
  <c r="AC54" i="7"/>
  <c r="AD54" i="7"/>
  <c r="AB54" i="7"/>
  <c r="AE54" i="7" s="1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54" i="7"/>
  <c r="AL55" i="7"/>
  <c r="AO55" i="7" s="1"/>
  <c r="AL56" i="7"/>
  <c r="AN56" i="7" s="1"/>
  <c r="AL57" i="7"/>
  <c r="AM57" i="7" s="1"/>
  <c r="AL58" i="7"/>
  <c r="AN58" i="7" s="1"/>
  <c r="AL59" i="7"/>
  <c r="AO59" i="7" s="1"/>
  <c r="AL60" i="7"/>
  <c r="AN60" i="7" s="1"/>
  <c r="AL61" i="7"/>
  <c r="AO61" i="7" s="1"/>
  <c r="AL62" i="7"/>
  <c r="AN62" i="7" s="1"/>
  <c r="AL63" i="7"/>
  <c r="AM63" i="7" s="1"/>
  <c r="AL64" i="7"/>
  <c r="AO64" i="7" s="1"/>
  <c r="AL65" i="7"/>
  <c r="AM65" i="7" s="1"/>
  <c r="AL66" i="7"/>
  <c r="AO66" i="7" s="1"/>
  <c r="AL67" i="7"/>
  <c r="AM67" i="7" s="1"/>
  <c r="AL68" i="7"/>
  <c r="AO68" i="7" s="1"/>
  <c r="AL69" i="7"/>
  <c r="AM69" i="7" s="1"/>
  <c r="AL70" i="7"/>
  <c r="AO70" i="7" s="1"/>
  <c r="AL71" i="7"/>
  <c r="AM71" i="7" s="1"/>
  <c r="AL72" i="7"/>
  <c r="AO72" i="7" s="1"/>
  <c r="AL73" i="7"/>
  <c r="AM73" i="7" s="1"/>
  <c r="AL74" i="7"/>
  <c r="AO74" i="7" s="1"/>
  <c r="AL75" i="7"/>
  <c r="AM75" i="7" s="1"/>
  <c r="AL76" i="7"/>
  <c r="AO76" i="7" s="1"/>
  <c r="AL77" i="7"/>
  <c r="AM77" i="7" s="1"/>
  <c r="AL78" i="7"/>
  <c r="AO78" i="7" s="1"/>
  <c r="AL79" i="7"/>
  <c r="AM79" i="7" s="1"/>
  <c r="AL80" i="7"/>
  <c r="AO80" i="7" s="1"/>
  <c r="AN54" i="7"/>
  <c r="AK55" i="7"/>
  <c r="AK56" i="7"/>
  <c r="AK57" i="7"/>
  <c r="AK58" i="7"/>
  <c r="AK59" i="7"/>
  <c r="AK60" i="7"/>
  <c r="AK61" i="7"/>
  <c r="AK62" i="7"/>
  <c r="AK63" i="7"/>
  <c r="AK64" i="7"/>
  <c r="AK65" i="7"/>
  <c r="AK66" i="7"/>
  <c r="AK67" i="7"/>
  <c r="AK68" i="7"/>
  <c r="AK69" i="7"/>
  <c r="AK70" i="7"/>
  <c r="AK71" i="7"/>
  <c r="AK72" i="7"/>
  <c r="AK73" i="7"/>
  <c r="AK74" i="7"/>
  <c r="AK75" i="7"/>
  <c r="AK76" i="7"/>
  <c r="AK77" i="7"/>
  <c r="AK78" i="7"/>
  <c r="AK79" i="7"/>
  <c r="AK80" i="7"/>
  <c r="AK54" i="7"/>
  <c r="AE67" i="7" l="1"/>
  <c r="AE59" i="7"/>
  <c r="AE79" i="7"/>
  <c r="AE57" i="7"/>
  <c r="AE55" i="7"/>
  <c r="AE68" i="7"/>
  <c r="AE62" i="7"/>
  <c r="AE80" i="7"/>
  <c r="AE78" i="7"/>
  <c r="AE76" i="7"/>
  <c r="AE74" i="7"/>
  <c r="AE72" i="7"/>
  <c r="AE70" i="7"/>
  <c r="AE66" i="7"/>
  <c r="AE64" i="7"/>
  <c r="AC81" i="7"/>
  <c r="AE56" i="7"/>
  <c r="AB81" i="7"/>
  <c r="AD81" i="7"/>
  <c r="AO57" i="7"/>
  <c r="AM76" i="7"/>
  <c r="AM72" i="7"/>
  <c r="AM66" i="7"/>
  <c r="AP66" i="7" s="1"/>
  <c r="AM78" i="7"/>
  <c r="AM70" i="7"/>
  <c r="AM64" i="7"/>
  <c r="AN80" i="7"/>
  <c r="AN78" i="7"/>
  <c r="AN76" i="7"/>
  <c r="AN74" i="7"/>
  <c r="AN72" i="7"/>
  <c r="AN70" i="7"/>
  <c r="AN68" i="7"/>
  <c r="AN66" i="7"/>
  <c r="AN64" i="7"/>
  <c r="AM62" i="7"/>
  <c r="AM60" i="7"/>
  <c r="AM58" i="7"/>
  <c r="AM56" i="7"/>
  <c r="AO79" i="7"/>
  <c r="AO77" i="7"/>
  <c r="AO75" i="7"/>
  <c r="AO73" i="7"/>
  <c r="AO71" i="7"/>
  <c r="AO69" i="7"/>
  <c r="AO67" i="7"/>
  <c r="AO65" i="7"/>
  <c r="AO63" i="7"/>
  <c r="AN61" i="7"/>
  <c r="AN59" i="7"/>
  <c r="AN57" i="7"/>
  <c r="AN55" i="7"/>
  <c r="AO54" i="7"/>
  <c r="AN79" i="7"/>
  <c r="AN77" i="7"/>
  <c r="AN75" i="7"/>
  <c r="AN73" i="7"/>
  <c r="AN71" i="7"/>
  <c r="AP71" i="7" s="1"/>
  <c r="AN69" i="7"/>
  <c r="AN67" i="7"/>
  <c r="AN65" i="7"/>
  <c r="AN63" i="7"/>
  <c r="AM61" i="7"/>
  <c r="AM59" i="7"/>
  <c r="AM55" i="7"/>
  <c r="AO62" i="7"/>
  <c r="AO60" i="7"/>
  <c r="AO58" i="7"/>
  <c r="AO56" i="7"/>
  <c r="AM80" i="7"/>
  <c r="AM74" i="7"/>
  <c r="AM68" i="7"/>
  <c r="AP74" i="7" l="1"/>
  <c r="AP80" i="7"/>
  <c r="AE81" i="7"/>
  <c r="AP73" i="7"/>
  <c r="AP59" i="7"/>
  <c r="AP61" i="7"/>
  <c r="AP57" i="7"/>
  <c r="AP67" i="7"/>
  <c r="AP72" i="7"/>
  <c r="AP63" i="7"/>
  <c r="AP75" i="7"/>
  <c r="AP79" i="7"/>
  <c r="AP55" i="7"/>
  <c r="AP69" i="7"/>
  <c r="AP62" i="7"/>
  <c r="AP78" i="7"/>
  <c r="AP76" i="7"/>
  <c r="AP65" i="7"/>
  <c r="AP77" i="7"/>
  <c r="AP58" i="7"/>
  <c r="AP64" i="7"/>
  <c r="AP54" i="7"/>
  <c r="AP56" i="7"/>
  <c r="AP68" i="7"/>
  <c r="AP60" i="7"/>
  <c r="AP70" i="7"/>
  <c r="O4" i="7" l="1"/>
  <c r="AR18" i="7" l="1"/>
  <c r="AS18" i="7"/>
  <c r="AT18" i="7"/>
  <c r="AU18" i="7"/>
  <c r="AS23" i="7"/>
  <c r="AT23" i="7"/>
  <c r="AU23" i="7"/>
  <c r="AR23" i="7"/>
  <c r="AS16" i="7"/>
  <c r="AT16" i="7"/>
  <c r="AU16" i="7"/>
  <c r="AR16" i="7"/>
  <c r="AS20" i="7" l="1"/>
  <c r="AT20" i="7"/>
  <c r="AR20" i="7"/>
  <c r="AU20" i="7"/>
  <c r="BA23" i="7"/>
  <c r="BG23" i="7"/>
  <c r="BA16" i="7"/>
  <c r="BG16" i="7"/>
  <c r="AS26" i="7"/>
  <c r="AT26" i="7"/>
  <c r="AR26" i="7"/>
  <c r="AU26" i="7"/>
  <c r="BG18" i="7"/>
  <c r="BA18" i="7"/>
  <c r="AS19" i="7"/>
  <c r="AT19" i="7"/>
  <c r="AU19" i="7"/>
  <c r="AR19" i="7"/>
  <c r="AY23" i="7"/>
  <c r="BE23" i="7"/>
  <c r="AZ18" i="7"/>
  <c r="BF18" i="7"/>
  <c r="AY16" i="7"/>
  <c r="BB16" i="7" s="1"/>
  <c r="BE16" i="7"/>
  <c r="AS25" i="7"/>
  <c r="AU25" i="7"/>
  <c r="AT25" i="7"/>
  <c r="AR25" i="7"/>
  <c r="AZ23" i="7"/>
  <c r="BF23" i="7"/>
  <c r="AS22" i="7"/>
  <c r="AT22" i="7"/>
  <c r="AU22" i="7"/>
  <c r="AR22" i="7"/>
  <c r="AR24" i="7"/>
  <c r="AS24" i="7"/>
  <c r="AT24" i="7"/>
  <c r="AU24" i="7"/>
  <c r="BF16" i="7"/>
  <c r="AZ16" i="7"/>
  <c r="AS17" i="7"/>
  <c r="AT17" i="7"/>
  <c r="AU17" i="7"/>
  <c r="AR17" i="7"/>
  <c r="AS21" i="7"/>
  <c r="AU21" i="7"/>
  <c r="AT21" i="7"/>
  <c r="AR21" i="7"/>
  <c r="AU15" i="7"/>
  <c r="AS15" i="7"/>
  <c r="AT15" i="7"/>
  <c r="AR15" i="7"/>
  <c r="AY18" i="7"/>
  <c r="BE18" i="7"/>
  <c r="BH18" i="7" s="1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3" i="7"/>
  <c r="D15" i="7"/>
  <c r="BA17" i="7" l="1"/>
  <c r="BG17" i="7"/>
  <c r="BA19" i="7"/>
  <c r="BG19" i="7"/>
  <c r="BE21" i="7"/>
  <c r="AY21" i="7"/>
  <c r="AZ24" i="7"/>
  <c r="BF24" i="7"/>
  <c r="AY19" i="7"/>
  <c r="BE19" i="7"/>
  <c r="BG21" i="7"/>
  <c r="BA21" i="7"/>
  <c r="AZ17" i="7"/>
  <c r="BF17" i="7"/>
  <c r="AY24" i="7"/>
  <c r="BE24" i="7"/>
  <c r="BH24" i="7" s="1"/>
  <c r="BE26" i="7"/>
  <c r="AY26" i="7"/>
  <c r="BE15" i="7"/>
  <c r="AY15" i="7"/>
  <c r="AY22" i="7"/>
  <c r="BE22" i="7"/>
  <c r="AY25" i="7"/>
  <c r="BB25" i="7" s="1"/>
  <c r="BE25" i="7"/>
  <c r="BA26" i="7"/>
  <c r="BG26" i="7"/>
  <c r="BG15" i="7"/>
  <c r="BA15" i="7"/>
  <c r="AZ21" i="7"/>
  <c r="BF21" i="7"/>
  <c r="BH16" i="7"/>
  <c r="BA25" i="7"/>
  <c r="BG25" i="7"/>
  <c r="BF19" i="7"/>
  <c r="AZ19" i="7"/>
  <c r="AZ26" i="7"/>
  <c r="BF26" i="7"/>
  <c r="BE20" i="7"/>
  <c r="AY20" i="7"/>
  <c r="AZ15" i="7"/>
  <c r="BF15" i="7"/>
  <c r="AY17" i="7"/>
  <c r="BB17" i="7" s="1"/>
  <c r="BE17" i="7"/>
  <c r="BA22" i="7"/>
  <c r="BG22" i="7"/>
  <c r="BH23" i="7"/>
  <c r="BB18" i="7"/>
  <c r="BA20" i="7"/>
  <c r="BG20" i="7"/>
  <c r="BG24" i="7"/>
  <c r="BA24" i="7"/>
  <c r="BF22" i="7"/>
  <c r="AZ22" i="7"/>
  <c r="BF25" i="7"/>
  <c r="AZ25" i="7"/>
  <c r="BB23" i="7"/>
  <c r="AZ20" i="7"/>
  <c r="BF20" i="7"/>
  <c r="BH20" i="7" s="1"/>
  <c r="O45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3" i="7"/>
  <c r="I45" i="7"/>
  <c r="H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E4" i="7"/>
  <c r="E5" i="7"/>
  <c r="E6" i="7"/>
  <c r="E7" i="7"/>
  <c r="N7" i="7" s="1"/>
  <c r="E8" i="7"/>
  <c r="E9" i="7"/>
  <c r="E10" i="7"/>
  <c r="E11" i="7"/>
  <c r="E12" i="7"/>
  <c r="E13" i="7"/>
  <c r="N13" i="7" s="1"/>
  <c r="E14" i="7"/>
  <c r="E15" i="7"/>
  <c r="E16" i="7"/>
  <c r="E17" i="7"/>
  <c r="E18" i="7"/>
  <c r="E19" i="7"/>
  <c r="N19" i="7" s="1"/>
  <c r="E20" i="7"/>
  <c r="E21" i="7"/>
  <c r="E22" i="7"/>
  <c r="E23" i="7"/>
  <c r="E24" i="7"/>
  <c r="E25" i="7"/>
  <c r="N25" i="7" s="1"/>
  <c r="E26" i="7"/>
  <c r="E27" i="7"/>
  <c r="E28" i="7"/>
  <c r="E29" i="7"/>
  <c r="E30" i="7"/>
  <c r="E31" i="7"/>
  <c r="N31" i="7" s="1"/>
  <c r="E32" i="7"/>
  <c r="E33" i="7"/>
  <c r="E34" i="7"/>
  <c r="E35" i="7"/>
  <c r="E36" i="7"/>
  <c r="E37" i="7"/>
  <c r="N37" i="7" s="1"/>
  <c r="E38" i="7"/>
  <c r="E39" i="7"/>
  <c r="E40" i="7"/>
  <c r="E41" i="7"/>
  <c r="E42" i="7"/>
  <c r="E43" i="7"/>
  <c r="N43" i="7" s="1"/>
  <c r="E44" i="7"/>
  <c r="E3" i="7"/>
  <c r="C45" i="7"/>
  <c r="B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4" i="7"/>
  <c r="D13" i="7"/>
  <c r="D12" i="7"/>
  <c r="D11" i="7"/>
  <c r="D10" i="7"/>
  <c r="D9" i="7"/>
  <c r="D8" i="7"/>
  <c r="D7" i="7"/>
  <c r="D6" i="7"/>
  <c r="D5" i="7"/>
  <c r="D4" i="7"/>
  <c r="D3" i="7"/>
  <c r="AN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2" i="2"/>
  <c r="D3" i="2"/>
  <c r="AH37" i="6"/>
  <c r="AG37" i="6"/>
  <c r="AF37" i="6"/>
  <c r="AE37" i="6"/>
  <c r="AE5" i="6"/>
  <c r="Z32" i="6"/>
  <c r="Y32" i="6"/>
  <c r="X32" i="6"/>
  <c r="AA32" i="6" s="1"/>
  <c r="AA23" i="6"/>
  <c r="AA26" i="6"/>
  <c r="AA29" i="6"/>
  <c r="AA6" i="6"/>
  <c r="AA11" i="6"/>
  <c r="AA12" i="6"/>
  <c r="Y6" i="6"/>
  <c r="AF6" i="6" s="1"/>
  <c r="Z6" i="6"/>
  <c r="Y7" i="6"/>
  <c r="AF7" i="6" s="1"/>
  <c r="Z7" i="6"/>
  <c r="AG7" i="6" s="1"/>
  <c r="Y8" i="6"/>
  <c r="Z8" i="6"/>
  <c r="Y9" i="6"/>
  <c r="AA9" i="6" s="1"/>
  <c r="Z9" i="6"/>
  <c r="Y10" i="6"/>
  <c r="AF10" i="6" s="1"/>
  <c r="Z10" i="6"/>
  <c r="AG10" i="6" s="1"/>
  <c r="Y11" i="6"/>
  <c r="AF11" i="6" s="1"/>
  <c r="Z11" i="6"/>
  <c r="Y12" i="6"/>
  <c r="Z12" i="6"/>
  <c r="Y13" i="6"/>
  <c r="AF13" i="6" s="1"/>
  <c r="Z13" i="6"/>
  <c r="AG13" i="6" s="1"/>
  <c r="Y14" i="6"/>
  <c r="AF14" i="6" s="1"/>
  <c r="Z14" i="6"/>
  <c r="Y15" i="6"/>
  <c r="Z15" i="6"/>
  <c r="AG15" i="6" s="1"/>
  <c r="Y16" i="6"/>
  <c r="AF16" i="6" s="1"/>
  <c r="Z16" i="6"/>
  <c r="Y17" i="6"/>
  <c r="AF17" i="6" s="1"/>
  <c r="Z17" i="6"/>
  <c r="Y18" i="6"/>
  <c r="AF18" i="6" s="1"/>
  <c r="Z18" i="6"/>
  <c r="AG18" i="6" s="1"/>
  <c r="Y19" i="6"/>
  <c r="Z19" i="6"/>
  <c r="AG19" i="6" s="1"/>
  <c r="Y20" i="6"/>
  <c r="Z20" i="6"/>
  <c r="Y21" i="6"/>
  <c r="AF21" i="6" s="1"/>
  <c r="Z21" i="6"/>
  <c r="AG21" i="6" s="1"/>
  <c r="Y22" i="6"/>
  <c r="AF22" i="6" s="1"/>
  <c r="Z22" i="6"/>
  <c r="AG22" i="6" s="1"/>
  <c r="Y23" i="6"/>
  <c r="Z23" i="6"/>
  <c r="Y24" i="6"/>
  <c r="AF24" i="6" s="1"/>
  <c r="Z24" i="6"/>
  <c r="AG24" i="6" s="1"/>
  <c r="Y25" i="6"/>
  <c r="AA25" i="6" s="1"/>
  <c r="Z25" i="6"/>
  <c r="AG25" i="6" s="1"/>
  <c r="Y26" i="6"/>
  <c r="AF26" i="6" s="1"/>
  <c r="Z26" i="6"/>
  <c r="Y27" i="6"/>
  <c r="AF27" i="6" s="1"/>
  <c r="Z27" i="6"/>
  <c r="Y28" i="6"/>
  <c r="AF28" i="6" s="1"/>
  <c r="Z28" i="6"/>
  <c r="AG28" i="6" s="1"/>
  <c r="Y29" i="6"/>
  <c r="Z29" i="6"/>
  <c r="Y30" i="6"/>
  <c r="AF30" i="6" s="1"/>
  <c r="Z30" i="6"/>
  <c r="AA30" i="6" s="1"/>
  <c r="Y31" i="6"/>
  <c r="AA31" i="6" s="1"/>
  <c r="Z31" i="6"/>
  <c r="AG31" i="6" s="1"/>
  <c r="X22" i="6"/>
  <c r="AA22" i="6" s="1"/>
  <c r="X23" i="6"/>
  <c r="X24" i="6"/>
  <c r="X25" i="6"/>
  <c r="AE25" i="6" s="1"/>
  <c r="X26" i="6"/>
  <c r="AE26" i="6" s="1"/>
  <c r="X27" i="6"/>
  <c r="AA27" i="6" s="1"/>
  <c r="X28" i="6"/>
  <c r="AA28" i="6" s="1"/>
  <c r="X29" i="6"/>
  <c r="X30" i="6"/>
  <c r="X31" i="6"/>
  <c r="X6" i="6"/>
  <c r="AE6" i="6" s="1"/>
  <c r="X7" i="6"/>
  <c r="AE7" i="6" s="1"/>
  <c r="X8" i="6"/>
  <c r="AA8" i="6" s="1"/>
  <c r="X9" i="6"/>
  <c r="AE9" i="6" s="1"/>
  <c r="X10" i="6"/>
  <c r="X11" i="6"/>
  <c r="AE11" i="6" s="1"/>
  <c r="X12" i="6"/>
  <c r="X13" i="6"/>
  <c r="AE13" i="6" s="1"/>
  <c r="X14" i="6"/>
  <c r="AA14" i="6" s="1"/>
  <c r="AE31" i="6"/>
  <c r="AG30" i="6"/>
  <c r="AE30" i="6"/>
  <c r="AG29" i="6"/>
  <c r="AF29" i="6"/>
  <c r="AE29" i="6"/>
  <c r="AE28" i="6"/>
  <c r="AG27" i="6"/>
  <c r="AG26" i="6"/>
  <c r="AF25" i="6"/>
  <c r="AE24" i="6"/>
  <c r="AG23" i="6"/>
  <c r="AF23" i="6"/>
  <c r="AE23" i="6"/>
  <c r="AE22" i="6"/>
  <c r="X21" i="6"/>
  <c r="AA21" i="6" s="1"/>
  <c r="AG20" i="6"/>
  <c r="AF20" i="6"/>
  <c r="X20" i="6"/>
  <c r="AF19" i="6"/>
  <c r="X19" i="6"/>
  <c r="AE19" i="6" s="1"/>
  <c r="X18" i="6"/>
  <c r="AG17" i="6"/>
  <c r="X17" i="6"/>
  <c r="AA17" i="6" s="1"/>
  <c r="AG16" i="6"/>
  <c r="X16" i="6"/>
  <c r="AF15" i="6"/>
  <c r="X15" i="6"/>
  <c r="AE15" i="6" s="1"/>
  <c r="AG14" i="6"/>
  <c r="AG12" i="6"/>
  <c r="AF12" i="6"/>
  <c r="AE12" i="6"/>
  <c r="AG11" i="6"/>
  <c r="AE10" i="6"/>
  <c r="AG9" i="6"/>
  <c r="AF9" i="6"/>
  <c r="AG8" i="6"/>
  <c r="AF8" i="6"/>
  <c r="AE8" i="6"/>
  <c r="AG6" i="6"/>
  <c r="AG5" i="6"/>
  <c r="AF5" i="6"/>
  <c r="D5" i="6"/>
  <c r="D6" i="6"/>
  <c r="D7" i="6"/>
  <c r="D11" i="6"/>
  <c r="D12" i="6"/>
  <c r="D13" i="6"/>
  <c r="D17" i="6"/>
  <c r="D18" i="6"/>
  <c r="D19" i="6"/>
  <c r="D23" i="6"/>
  <c r="D24" i="6"/>
  <c r="D25" i="6"/>
  <c r="D29" i="6"/>
  <c r="D30" i="6"/>
  <c r="D31" i="6"/>
  <c r="D35" i="6"/>
  <c r="D36" i="6"/>
  <c r="D37" i="6"/>
  <c r="D41" i="6"/>
  <c r="D42" i="6"/>
  <c r="D43" i="6"/>
  <c r="C44" i="6"/>
  <c r="B44" i="6"/>
  <c r="D8" i="6" s="1"/>
  <c r="AH83" i="4"/>
  <c r="AG83" i="4"/>
  <c r="AF83" i="4"/>
  <c r="AE83" i="4"/>
  <c r="AH37" i="1"/>
  <c r="AF37" i="1"/>
  <c r="AE37" i="1"/>
  <c r="AH37" i="3"/>
  <c r="AF37" i="3"/>
  <c r="AE37" i="3"/>
  <c r="AH37" i="2"/>
  <c r="AG37" i="2"/>
  <c r="AF37" i="2"/>
  <c r="AE37" i="2"/>
  <c r="BB26" i="7" l="1"/>
  <c r="BB21" i="7"/>
  <c r="BH21" i="7"/>
  <c r="BH25" i="7"/>
  <c r="AZ33" i="7"/>
  <c r="BH22" i="7"/>
  <c r="BH19" i="7"/>
  <c r="BB22" i="7"/>
  <c r="BH26" i="7"/>
  <c r="BB15" i="7"/>
  <c r="AY33" i="7"/>
  <c r="BF33" i="7"/>
  <c r="BA33" i="7"/>
  <c r="BB20" i="7"/>
  <c r="BG33" i="7"/>
  <c r="BB24" i="7"/>
  <c r="BB19" i="7"/>
  <c r="BH17" i="7"/>
  <c r="BE33" i="7"/>
  <c r="BH15" i="7"/>
  <c r="N40" i="7"/>
  <c r="N34" i="7"/>
  <c r="N28" i="7"/>
  <c r="N22" i="7"/>
  <c r="N16" i="7"/>
  <c r="N10" i="7"/>
  <c r="N4" i="7"/>
  <c r="K45" i="7"/>
  <c r="N39" i="7"/>
  <c r="N33" i="7"/>
  <c r="N27" i="7"/>
  <c r="N21" i="7"/>
  <c r="N15" i="7"/>
  <c r="N9" i="7"/>
  <c r="N42" i="7"/>
  <c r="N36" i="7"/>
  <c r="N30" i="7"/>
  <c r="N24" i="7"/>
  <c r="N18" i="7"/>
  <c r="N6" i="7"/>
  <c r="N44" i="7"/>
  <c r="N38" i="7"/>
  <c r="N32" i="7"/>
  <c r="N26" i="7"/>
  <c r="N20" i="7"/>
  <c r="N14" i="7"/>
  <c r="N8" i="7"/>
  <c r="AO33" i="7"/>
  <c r="N41" i="7"/>
  <c r="N35" i="7"/>
  <c r="N29" i="7"/>
  <c r="N23" i="7"/>
  <c r="N17" i="7"/>
  <c r="N11" i="7"/>
  <c r="N5" i="7"/>
  <c r="AN33" i="7"/>
  <c r="AN38" i="7"/>
  <c r="N3" i="7"/>
  <c r="AM33" i="7"/>
  <c r="AB82" i="7" s="1"/>
  <c r="AE17" i="6"/>
  <c r="AE21" i="6"/>
  <c r="AA10" i="6"/>
  <c r="AA24" i="6"/>
  <c r="D40" i="6"/>
  <c r="D34" i="6"/>
  <c r="D28" i="6"/>
  <c r="D22" i="6"/>
  <c r="D16" i="6"/>
  <c r="D10" i="6"/>
  <c r="D4" i="6"/>
  <c r="AF31" i="6"/>
  <c r="D39" i="6"/>
  <c r="D33" i="6"/>
  <c r="D27" i="6"/>
  <c r="D21" i="6"/>
  <c r="D15" i="6"/>
  <c r="D9" i="6"/>
  <c r="D3" i="6"/>
  <c r="AA18" i="6"/>
  <c r="AE27" i="6"/>
  <c r="D2" i="6"/>
  <c r="D38" i="6"/>
  <c r="D32" i="6"/>
  <c r="D26" i="6"/>
  <c r="D20" i="6"/>
  <c r="D14" i="6"/>
  <c r="AA13" i="6"/>
  <c r="AA7" i="6"/>
  <c r="D45" i="7"/>
  <c r="E45" i="7"/>
  <c r="J45" i="7"/>
  <c r="AG32" i="6"/>
  <c r="AG34" i="6" s="1"/>
  <c r="E44" i="2"/>
  <c r="AH6" i="6"/>
  <c r="AH10" i="6"/>
  <c r="AH17" i="6"/>
  <c r="AH21" i="6"/>
  <c r="AH22" i="6"/>
  <c r="AH24" i="6"/>
  <c r="AH26" i="6"/>
  <c r="AH28" i="6"/>
  <c r="AH30" i="6"/>
  <c r="AH13" i="6"/>
  <c r="AH11" i="6"/>
  <c r="AH9" i="6"/>
  <c r="AH7" i="6"/>
  <c r="AH8" i="6"/>
  <c r="AH12" i="6"/>
  <c r="AA15" i="6"/>
  <c r="AH15" i="6"/>
  <c r="AA16" i="6"/>
  <c r="AA19" i="6"/>
  <c r="AH19" i="6"/>
  <c r="AA20" i="6"/>
  <c r="AH23" i="6"/>
  <c r="AH25" i="6"/>
  <c r="AH27" i="6"/>
  <c r="AH29" i="6"/>
  <c r="AH31" i="6"/>
  <c r="AE14" i="6"/>
  <c r="AH14" i="6" s="1"/>
  <c r="AE16" i="6"/>
  <c r="AH16" i="6" s="1"/>
  <c r="AE18" i="6"/>
  <c r="AH18" i="6" s="1"/>
  <c r="AE20" i="6"/>
  <c r="AH20" i="6" s="1"/>
  <c r="AF32" i="6"/>
  <c r="X52" i="4"/>
  <c r="AE52" i="4" s="1"/>
  <c r="AA68" i="4"/>
  <c r="AA71" i="4"/>
  <c r="AA73" i="4"/>
  <c r="AA74" i="4"/>
  <c r="AA77" i="4"/>
  <c r="AA52" i="4"/>
  <c r="AA58" i="4"/>
  <c r="X68" i="4"/>
  <c r="Y68" i="4"/>
  <c r="AF68" i="4" s="1"/>
  <c r="X69" i="4"/>
  <c r="AA69" i="4" s="1"/>
  <c r="Y69" i="4"/>
  <c r="AF69" i="4" s="1"/>
  <c r="X70" i="4"/>
  <c r="AA70" i="4" s="1"/>
  <c r="Y70" i="4"/>
  <c r="AF70" i="4" s="1"/>
  <c r="X71" i="4"/>
  <c r="Y71" i="4"/>
  <c r="X72" i="4"/>
  <c r="Y72" i="4"/>
  <c r="AF72" i="4" s="1"/>
  <c r="X73" i="4"/>
  <c r="AE73" i="4" s="1"/>
  <c r="Y73" i="4"/>
  <c r="AF73" i="4" s="1"/>
  <c r="X74" i="4"/>
  <c r="Y74" i="4"/>
  <c r="X75" i="4"/>
  <c r="AA75" i="4" s="1"/>
  <c r="Y75" i="4"/>
  <c r="X76" i="4"/>
  <c r="AA76" i="4" s="1"/>
  <c r="Y76" i="4"/>
  <c r="AF76" i="4" s="1"/>
  <c r="X77" i="4"/>
  <c r="Y77" i="4"/>
  <c r="AF77" i="4" s="1"/>
  <c r="Z61" i="4"/>
  <c r="AG61" i="4" s="1"/>
  <c r="Z62" i="4"/>
  <c r="AG62" i="4" s="1"/>
  <c r="Z63" i="4"/>
  <c r="Z64" i="4"/>
  <c r="AG64" i="4" s="1"/>
  <c r="Z65" i="4"/>
  <c r="Z66" i="4"/>
  <c r="Z67" i="4"/>
  <c r="AG67" i="4" s="1"/>
  <c r="Z68" i="4"/>
  <c r="AG68" i="4" s="1"/>
  <c r="Z69" i="4"/>
  <c r="AG69" i="4" s="1"/>
  <c r="Z70" i="4"/>
  <c r="AG70" i="4" s="1"/>
  <c r="Z71" i="4"/>
  <c r="Z72" i="4"/>
  <c r="AG72" i="4" s="1"/>
  <c r="Z73" i="4"/>
  <c r="AG73" i="4" s="1"/>
  <c r="Z74" i="4"/>
  <c r="AG74" i="4" s="1"/>
  <c r="Z75" i="4"/>
  <c r="AG75" i="4" s="1"/>
  <c r="Z76" i="4"/>
  <c r="AG76" i="4" s="1"/>
  <c r="Z77" i="4"/>
  <c r="Y52" i="4"/>
  <c r="Z52" i="4"/>
  <c r="Y53" i="4"/>
  <c r="AF53" i="4" s="1"/>
  <c r="Z53" i="4"/>
  <c r="AG53" i="4" s="1"/>
  <c r="Y54" i="4"/>
  <c r="AF54" i="4" s="1"/>
  <c r="Z54" i="4"/>
  <c r="AG54" i="4" s="1"/>
  <c r="Y55" i="4"/>
  <c r="AF55" i="4" s="1"/>
  <c r="Z55" i="4"/>
  <c r="Y56" i="4"/>
  <c r="Z56" i="4"/>
  <c r="AG56" i="4" s="1"/>
  <c r="Y57" i="4"/>
  <c r="AF57" i="4" s="1"/>
  <c r="Z57" i="4"/>
  <c r="AG57" i="4" s="1"/>
  <c r="Y58" i="4"/>
  <c r="Z58" i="4"/>
  <c r="AG58" i="4" s="1"/>
  <c r="Y59" i="4"/>
  <c r="Z59" i="4"/>
  <c r="AA59" i="4" s="1"/>
  <c r="Y60" i="4"/>
  <c r="AF60" i="4" s="1"/>
  <c r="Z60" i="4"/>
  <c r="X53" i="4"/>
  <c r="X54" i="4"/>
  <c r="AE54" i="4" s="1"/>
  <c r="X55" i="4"/>
  <c r="AA55" i="4" s="1"/>
  <c r="X56" i="4"/>
  <c r="AE56" i="4" s="1"/>
  <c r="X57" i="4"/>
  <c r="AE57" i="4" s="1"/>
  <c r="X58" i="4"/>
  <c r="AE58" i="4" s="1"/>
  <c r="X59" i="4"/>
  <c r="Z78" i="4"/>
  <c r="Y78" i="4"/>
  <c r="X78" i="4"/>
  <c r="AA78" i="4" s="1"/>
  <c r="AG77" i="4"/>
  <c r="AE77" i="4"/>
  <c r="AF75" i="4"/>
  <c r="AE75" i="4"/>
  <c r="AF74" i="4"/>
  <c r="AE74" i="4"/>
  <c r="AE72" i="4"/>
  <c r="AG71" i="4"/>
  <c r="AF71" i="4"/>
  <c r="AE71" i="4"/>
  <c r="AE69" i="4"/>
  <c r="AE68" i="4"/>
  <c r="Y67" i="4"/>
  <c r="AF67" i="4" s="1"/>
  <c r="X67" i="4"/>
  <c r="AE67" i="4" s="1"/>
  <c r="AG66" i="4"/>
  <c r="AE66" i="4"/>
  <c r="Y66" i="4"/>
  <c r="AF66" i="4" s="1"/>
  <c r="X66" i="4"/>
  <c r="AG65" i="4"/>
  <c r="Y65" i="4"/>
  <c r="AF65" i="4" s="1"/>
  <c r="X65" i="4"/>
  <c r="AE65" i="4" s="1"/>
  <c r="Y64" i="4"/>
  <c r="AF64" i="4" s="1"/>
  <c r="X64" i="4"/>
  <c r="AE64" i="4" s="1"/>
  <c r="AG63" i="4"/>
  <c r="AF63" i="4"/>
  <c r="Y63" i="4"/>
  <c r="X63" i="4"/>
  <c r="AE63" i="4" s="1"/>
  <c r="Y62" i="4"/>
  <c r="AF62" i="4" s="1"/>
  <c r="X62" i="4"/>
  <c r="AE62" i="4" s="1"/>
  <c r="Y61" i="4"/>
  <c r="AF61" i="4" s="1"/>
  <c r="X61" i="4"/>
  <c r="AE61" i="4" s="1"/>
  <c r="AG60" i="4"/>
  <c r="AE60" i="4"/>
  <c r="X60" i="4"/>
  <c r="AF59" i="4"/>
  <c r="AE59" i="4"/>
  <c r="AF58" i="4"/>
  <c r="AF56" i="4"/>
  <c r="AG55" i="4"/>
  <c r="AE55" i="4"/>
  <c r="AE53" i="4"/>
  <c r="AG52" i="4"/>
  <c r="AF52" i="4"/>
  <c r="AG51" i="4"/>
  <c r="AF51" i="4"/>
  <c r="AE51" i="4"/>
  <c r="D133" i="5"/>
  <c r="D167" i="5" s="1"/>
  <c r="C133" i="5"/>
  <c r="C167" i="5" s="1"/>
  <c r="D132" i="5"/>
  <c r="D166" i="5" s="1"/>
  <c r="C132" i="5"/>
  <c r="C166" i="5" s="1"/>
  <c r="D131" i="5"/>
  <c r="C131" i="5"/>
  <c r="C165" i="5" s="1"/>
  <c r="D130" i="5"/>
  <c r="C130" i="5"/>
  <c r="C164" i="5" s="1"/>
  <c r="D129" i="5"/>
  <c r="D163" i="5" s="1"/>
  <c r="C129" i="5"/>
  <c r="C163" i="5" s="1"/>
  <c r="D128" i="5"/>
  <c r="C128" i="5"/>
  <c r="C162" i="5" s="1"/>
  <c r="D127" i="5"/>
  <c r="D161" i="5" s="1"/>
  <c r="C127" i="5"/>
  <c r="C161" i="5" s="1"/>
  <c r="D126" i="5"/>
  <c r="D160" i="5" s="1"/>
  <c r="C126" i="5"/>
  <c r="C160" i="5" s="1"/>
  <c r="D125" i="5"/>
  <c r="C125" i="5"/>
  <c r="C159" i="5" s="1"/>
  <c r="D124" i="5"/>
  <c r="C124" i="5"/>
  <c r="C158" i="5" s="1"/>
  <c r="D123" i="5"/>
  <c r="D157" i="5" s="1"/>
  <c r="C123" i="5"/>
  <c r="C157" i="5" s="1"/>
  <c r="D122" i="5"/>
  <c r="C122" i="5"/>
  <c r="C156" i="5" s="1"/>
  <c r="D121" i="5"/>
  <c r="D155" i="5" s="1"/>
  <c r="C121" i="5"/>
  <c r="C155" i="5" s="1"/>
  <c r="D120" i="5"/>
  <c r="D154" i="5" s="1"/>
  <c r="C120" i="5"/>
  <c r="C154" i="5" s="1"/>
  <c r="D119" i="5"/>
  <c r="C119" i="5"/>
  <c r="C153" i="5" s="1"/>
  <c r="D118" i="5"/>
  <c r="C118" i="5"/>
  <c r="C152" i="5" s="1"/>
  <c r="D117" i="5"/>
  <c r="D151" i="5" s="1"/>
  <c r="C117" i="5"/>
  <c r="C151" i="5" s="1"/>
  <c r="D116" i="5"/>
  <c r="C116" i="5"/>
  <c r="C150" i="5" s="1"/>
  <c r="D115" i="5"/>
  <c r="D149" i="5" s="1"/>
  <c r="C115" i="5"/>
  <c r="C149" i="5" s="1"/>
  <c r="D114" i="5"/>
  <c r="D148" i="5" s="1"/>
  <c r="C114" i="5"/>
  <c r="C148" i="5" s="1"/>
  <c r="D113" i="5"/>
  <c r="C113" i="5"/>
  <c r="C147" i="5" s="1"/>
  <c r="D112" i="5"/>
  <c r="C112" i="5"/>
  <c r="C146" i="5" s="1"/>
  <c r="D111" i="5"/>
  <c r="D145" i="5" s="1"/>
  <c r="C111" i="5"/>
  <c r="C145" i="5" s="1"/>
  <c r="D110" i="5"/>
  <c r="C110" i="5"/>
  <c r="C144" i="5" s="1"/>
  <c r="D109" i="5"/>
  <c r="D143" i="5" s="1"/>
  <c r="C109" i="5"/>
  <c r="C143" i="5" s="1"/>
  <c r="D108" i="5"/>
  <c r="D142" i="5" s="1"/>
  <c r="C108" i="5"/>
  <c r="C142" i="5" s="1"/>
  <c r="D107" i="5"/>
  <c r="D134" i="5" s="1"/>
  <c r="C107" i="5"/>
  <c r="C141" i="5" s="1"/>
  <c r="B133" i="5"/>
  <c r="E133" i="5" s="1"/>
  <c r="B132" i="5"/>
  <c r="B166" i="5" s="1"/>
  <c r="B131" i="5"/>
  <c r="B165" i="5" s="1"/>
  <c r="E165" i="5" s="1"/>
  <c r="B130" i="5"/>
  <c r="B164" i="5" s="1"/>
  <c r="E164" i="5" s="1"/>
  <c r="B129" i="5"/>
  <c r="E129" i="5" s="1"/>
  <c r="B128" i="5"/>
  <c r="E128" i="5" s="1"/>
  <c r="B127" i="5"/>
  <c r="E127" i="5" s="1"/>
  <c r="B126" i="5"/>
  <c r="B160" i="5" s="1"/>
  <c r="B125" i="5"/>
  <c r="E125" i="5" s="1"/>
  <c r="B124" i="5"/>
  <c r="B158" i="5" s="1"/>
  <c r="E158" i="5" s="1"/>
  <c r="B123" i="5"/>
  <c r="E123" i="5" s="1"/>
  <c r="B122" i="5"/>
  <c r="E122" i="5" s="1"/>
  <c r="B121" i="5"/>
  <c r="E121" i="5" s="1"/>
  <c r="B120" i="5"/>
  <c r="B154" i="5" s="1"/>
  <c r="B119" i="5"/>
  <c r="B153" i="5" s="1"/>
  <c r="E153" i="5" s="1"/>
  <c r="B118" i="5"/>
  <c r="B152" i="5" s="1"/>
  <c r="E152" i="5" s="1"/>
  <c r="B117" i="5"/>
  <c r="E117" i="5" s="1"/>
  <c r="B116" i="5"/>
  <c r="E116" i="5" s="1"/>
  <c r="B115" i="5"/>
  <c r="E115" i="5" s="1"/>
  <c r="B114" i="5"/>
  <c r="B148" i="5" s="1"/>
  <c r="B113" i="5"/>
  <c r="E113" i="5" s="1"/>
  <c r="B112" i="5"/>
  <c r="B146" i="5" s="1"/>
  <c r="E146" i="5" s="1"/>
  <c r="B111" i="5"/>
  <c r="E111" i="5" s="1"/>
  <c r="B110" i="5"/>
  <c r="E110" i="5" s="1"/>
  <c r="B109" i="5"/>
  <c r="E109" i="5" s="1"/>
  <c r="B108" i="5"/>
  <c r="B142" i="5" s="1"/>
  <c r="B107" i="5"/>
  <c r="B141" i="5" s="1"/>
  <c r="D141" i="5"/>
  <c r="D144" i="5"/>
  <c r="D146" i="5"/>
  <c r="D147" i="5"/>
  <c r="D150" i="5"/>
  <c r="D152" i="5"/>
  <c r="D153" i="5"/>
  <c r="D156" i="5"/>
  <c r="D158" i="5"/>
  <c r="D159" i="5"/>
  <c r="D162" i="5"/>
  <c r="D164" i="5"/>
  <c r="D165" i="5"/>
  <c r="B143" i="5"/>
  <c r="E143" i="5" s="1"/>
  <c r="B144" i="5"/>
  <c r="E144" i="5" s="1"/>
  <c r="B145" i="5"/>
  <c r="B149" i="5"/>
  <c r="E149" i="5" s="1"/>
  <c r="B150" i="5"/>
  <c r="E150" i="5" s="1"/>
  <c r="B151" i="5"/>
  <c r="B155" i="5"/>
  <c r="E155" i="5" s="1"/>
  <c r="B156" i="5"/>
  <c r="E156" i="5" s="1"/>
  <c r="B157" i="5"/>
  <c r="B161" i="5"/>
  <c r="E161" i="5" s="1"/>
  <c r="B162" i="5"/>
  <c r="E162" i="5" s="1"/>
  <c r="B163" i="5"/>
  <c r="B167" i="5"/>
  <c r="E167" i="5" s="1"/>
  <c r="Y14" i="1"/>
  <c r="X14" i="1"/>
  <c r="Y32" i="1"/>
  <c r="X32" i="1"/>
  <c r="AA32" i="1" s="1"/>
  <c r="AA14" i="1"/>
  <c r="AA15" i="1"/>
  <c r="Y15" i="1"/>
  <c r="Y16" i="1"/>
  <c r="X15" i="1"/>
  <c r="AE15" i="1" s="1"/>
  <c r="AH15" i="1" s="1"/>
  <c r="X16" i="1"/>
  <c r="AA16" i="1" s="1"/>
  <c r="Z32" i="1"/>
  <c r="AG31" i="1"/>
  <c r="AF31" i="1"/>
  <c r="AE31" i="1"/>
  <c r="AH31" i="1" s="1"/>
  <c r="AG30" i="1"/>
  <c r="AF30" i="1"/>
  <c r="AE30" i="1"/>
  <c r="AH30" i="1" s="1"/>
  <c r="AG29" i="1"/>
  <c r="AF29" i="1"/>
  <c r="AE29" i="1"/>
  <c r="AH29" i="1" s="1"/>
  <c r="AG28" i="1"/>
  <c r="AF28" i="1"/>
  <c r="AE28" i="1"/>
  <c r="AH28" i="1" s="1"/>
  <c r="AG27" i="1"/>
  <c r="AF27" i="1"/>
  <c r="AE27" i="1"/>
  <c r="AH27" i="1" s="1"/>
  <c r="AG26" i="1"/>
  <c r="AF26" i="1"/>
  <c r="AE26" i="1"/>
  <c r="AH26" i="1" s="1"/>
  <c r="AG25" i="1"/>
  <c r="AF25" i="1"/>
  <c r="AE25" i="1"/>
  <c r="AG24" i="1"/>
  <c r="AF24" i="1"/>
  <c r="AE24" i="1"/>
  <c r="AH24" i="1" s="1"/>
  <c r="AG23" i="1"/>
  <c r="AF23" i="1"/>
  <c r="AE23" i="1"/>
  <c r="AG22" i="1"/>
  <c r="AF22" i="1"/>
  <c r="AE22" i="1"/>
  <c r="AH22" i="1" s="1"/>
  <c r="AG21" i="1"/>
  <c r="Y21" i="1"/>
  <c r="AF21" i="1" s="1"/>
  <c r="X21" i="1"/>
  <c r="AE21" i="1" s="1"/>
  <c r="AH21" i="1" s="1"/>
  <c r="AG20" i="1"/>
  <c r="Y20" i="1"/>
  <c r="AF20" i="1" s="1"/>
  <c r="X20" i="1"/>
  <c r="AE20" i="1" s="1"/>
  <c r="AG19" i="1"/>
  <c r="Y19" i="1"/>
  <c r="AF19" i="1" s="1"/>
  <c r="X19" i="1"/>
  <c r="AE19" i="1" s="1"/>
  <c r="AH19" i="1" s="1"/>
  <c r="AG18" i="1"/>
  <c r="Y18" i="1"/>
  <c r="AF18" i="1" s="1"/>
  <c r="X18" i="1"/>
  <c r="AE18" i="1" s="1"/>
  <c r="AG17" i="1"/>
  <c r="Y17" i="1"/>
  <c r="AF17" i="1" s="1"/>
  <c r="X17" i="1"/>
  <c r="AE17" i="1" s="1"/>
  <c r="AH17" i="1" s="1"/>
  <c r="AG16" i="1"/>
  <c r="AF16" i="1"/>
  <c r="AE16" i="1"/>
  <c r="AG15" i="1"/>
  <c r="AF15" i="1"/>
  <c r="AG14" i="1"/>
  <c r="AF14" i="1"/>
  <c r="AE14" i="1"/>
  <c r="AH14" i="1" s="1"/>
  <c r="AG13" i="1"/>
  <c r="AF13" i="1"/>
  <c r="AE13" i="1"/>
  <c r="AG12" i="1"/>
  <c r="AF12" i="1"/>
  <c r="AE12" i="1"/>
  <c r="AH12" i="1" s="1"/>
  <c r="AG11" i="1"/>
  <c r="AF11" i="1"/>
  <c r="AE11" i="1"/>
  <c r="AH11" i="1" s="1"/>
  <c r="AG10" i="1"/>
  <c r="AF10" i="1"/>
  <c r="AE10" i="1"/>
  <c r="AH10" i="1" s="1"/>
  <c r="AG9" i="1"/>
  <c r="AF9" i="1"/>
  <c r="AE9" i="1"/>
  <c r="AH9" i="1" s="1"/>
  <c r="AG8" i="1"/>
  <c r="AF8" i="1"/>
  <c r="AE8" i="1"/>
  <c r="AH8" i="1" s="1"/>
  <c r="AG7" i="1"/>
  <c r="AF7" i="1"/>
  <c r="AE7" i="1"/>
  <c r="AH7" i="1" s="1"/>
  <c r="AG6" i="1"/>
  <c r="AF6" i="1"/>
  <c r="AE6" i="1"/>
  <c r="AH6" i="1" s="1"/>
  <c r="AG5" i="1"/>
  <c r="AF5" i="1"/>
  <c r="AE5" i="1"/>
  <c r="J100" i="5"/>
  <c r="I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AE17" i="3"/>
  <c r="Z32" i="3"/>
  <c r="Y32" i="3"/>
  <c r="X32" i="3"/>
  <c r="E66" i="5"/>
  <c r="D66" i="5"/>
  <c r="C66" i="5"/>
  <c r="B66" i="5"/>
  <c r="AA32" i="3"/>
  <c r="AG31" i="3"/>
  <c r="AF31" i="3"/>
  <c r="AE31" i="3"/>
  <c r="AH31" i="3" s="1"/>
  <c r="AG30" i="3"/>
  <c r="AF30" i="3"/>
  <c r="AE30" i="3"/>
  <c r="AG29" i="3"/>
  <c r="AF29" i="3"/>
  <c r="AE29" i="3"/>
  <c r="AH29" i="3" s="1"/>
  <c r="AG28" i="3"/>
  <c r="AF28" i="3"/>
  <c r="AE28" i="3"/>
  <c r="AH28" i="3" s="1"/>
  <c r="AG27" i="3"/>
  <c r="AE27" i="3"/>
  <c r="Z26" i="3"/>
  <c r="AG26" i="3" s="1"/>
  <c r="Y26" i="3"/>
  <c r="AF26" i="3" s="1"/>
  <c r="X26" i="3"/>
  <c r="AE26" i="3" s="1"/>
  <c r="AH26" i="3" s="1"/>
  <c r="Z25" i="3"/>
  <c r="AG25" i="3" s="1"/>
  <c r="Y25" i="3"/>
  <c r="AF25" i="3" s="1"/>
  <c r="X25" i="3"/>
  <c r="AE25" i="3" s="1"/>
  <c r="Z24" i="3"/>
  <c r="AG24" i="3" s="1"/>
  <c r="Y24" i="3"/>
  <c r="AF24" i="3" s="1"/>
  <c r="X24" i="3"/>
  <c r="AE24" i="3" s="1"/>
  <c r="Z23" i="3"/>
  <c r="AG23" i="3" s="1"/>
  <c r="Y23" i="3"/>
  <c r="AF23" i="3" s="1"/>
  <c r="X23" i="3"/>
  <c r="AE23" i="3" s="1"/>
  <c r="Z22" i="3"/>
  <c r="AG22" i="3" s="1"/>
  <c r="Y22" i="3"/>
  <c r="AF22" i="3" s="1"/>
  <c r="X22" i="3"/>
  <c r="AE22" i="3" s="1"/>
  <c r="Z21" i="3"/>
  <c r="AG21" i="3" s="1"/>
  <c r="Y21" i="3"/>
  <c r="AF21" i="3" s="1"/>
  <c r="X21" i="3"/>
  <c r="AE21" i="3" s="1"/>
  <c r="Z20" i="3"/>
  <c r="AG20" i="3" s="1"/>
  <c r="Y20" i="3"/>
  <c r="AF20" i="3" s="1"/>
  <c r="X20" i="3"/>
  <c r="AE20" i="3" s="1"/>
  <c r="Z19" i="3"/>
  <c r="AG19" i="3" s="1"/>
  <c r="Y19" i="3"/>
  <c r="X19" i="3"/>
  <c r="AE19" i="3" s="1"/>
  <c r="Z18" i="3"/>
  <c r="AG18" i="3" s="1"/>
  <c r="Y18" i="3"/>
  <c r="AF18" i="3" s="1"/>
  <c r="X18" i="3"/>
  <c r="AE18" i="3" s="1"/>
  <c r="Z17" i="3"/>
  <c r="AG17" i="3" s="1"/>
  <c r="Y17" i="3"/>
  <c r="AF17" i="3" s="1"/>
  <c r="X17" i="3"/>
  <c r="AA17" i="3" s="1"/>
  <c r="AG16" i="3"/>
  <c r="AF16" i="3"/>
  <c r="AE16" i="3"/>
  <c r="AH16" i="3" s="1"/>
  <c r="AG15" i="3"/>
  <c r="AF15" i="3"/>
  <c r="AE15" i="3"/>
  <c r="AG14" i="3"/>
  <c r="AF14" i="3"/>
  <c r="AE14" i="3"/>
  <c r="AH14" i="3" s="1"/>
  <c r="AG13" i="3"/>
  <c r="AF13" i="3"/>
  <c r="AE13" i="3"/>
  <c r="AG12" i="3"/>
  <c r="AF12" i="3"/>
  <c r="AE12" i="3"/>
  <c r="AH12" i="3" s="1"/>
  <c r="AG11" i="3"/>
  <c r="AF11" i="3"/>
  <c r="AE11" i="3"/>
  <c r="AG10" i="3"/>
  <c r="AF10" i="3"/>
  <c r="AE10" i="3"/>
  <c r="AH10" i="3" s="1"/>
  <c r="AG9" i="3"/>
  <c r="AF9" i="3"/>
  <c r="AE9" i="3"/>
  <c r="AG8" i="3"/>
  <c r="AF8" i="3"/>
  <c r="AE8" i="3"/>
  <c r="AH8" i="3" s="1"/>
  <c r="AG7" i="3"/>
  <c r="AF7" i="3"/>
  <c r="AE7" i="3"/>
  <c r="AG6" i="3"/>
  <c r="AF6" i="3"/>
  <c r="AE6" i="3"/>
  <c r="AH6" i="3" s="1"/>
  <c r="AG5" i="3"/>
  <c r="AF5" i="3"/>
  <c r="AE5" i="3"/>
  <c r="AE32" i="3" s="1"/>
  <c r="AE34" i="3" s="1"/>
  <c r="J66" i="5"/>
  <c r="I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AG7" i="2"/>
  <c r="AM7" i="2" s="1"/>
  <c r="AG8" i="2"/>
  <c r="AM8" i="2" s="1"/>
  <c r="AG11" i="2"/>
  <c r="AM11" i="2" s="1"/>
  <c r="AG14" i="2"/>
  <c r="AM14" i="2" s="1"/>
  <c r="AG17" i="2"/>
  <c r="AM17" i="2" s="1"/>
  <c r="AG20" i="2"/>
  <c r="AM20" i="2" s="1"/>
  <c r="AG23" i="2"/>
  <c r="AM23" i="2" s="1"/>
  <c r="AG24" i="2"/>
  <c r="AM24" i="2" s="1"/>
  <c r="AG26" i="2"/>
  <c r="AM26" i="2" s="1"/>
  <c r="AG29" i="2"/>
  <c r="AM29" i="2" s="1"/>
  <c r="AG30" i="2"/>
  <c r="AF11" i="2"/>
  <c r="AL11" i="2" s="1"/>
  <c r="AF12" i="2"/>
  <c r="AL12" i="2" s="1"/>
  <c r="AF13" i="2"/>
  <c r="AL13" i="2" s="1"/>
  <c r="AF17" i="2"/>
  <c r="AL17" i="2" s="1"/>
  <c r="AF18" i="2"/>
  <c r="AL18" i="2" s="1"/>
  <c r="AF19" i="2"/>
  <c r="AL19" i="2" s="1"/>
  <c r="AF24" i="2"/>
  <c r="AL24" i="2" s="1"/>
  <c r="AF25" i="2"/>
  <c r="AL25" i="2" s="1"/>
  <c r="AF30" i="2"/>
  <c r="AL30" i="2" s="1"/>
  <c r="AF31" i="2"/>
  <c r="AL31" i="2" s="1"/>
  <c r="AF5" i="2"/>
  <c r="AL5" i="2" s="1"/>
  <c r="AG5" i="2"/>
  <c r="AM5" i="2" s="1"/>
  <c r="AE5" i="2"/>
  <c r="AK5" i="2" s="1"/>
  <c r="AE7" i="2"/>
  <c r="AK7" i="2" s="1"/>
  <c r="AE8" i="2"/>
  <c r="AK8" i="2" s="1"/>
  <c r="AE9" i="2"/>
  <c r="AK9" i="2" s="1"/>
  <c r="AE10" i="2"/>
  <c r="AK10" i="2" s="1"/>
  <c r="AE14" i="2"/>
  <c r="AK14" i="2" s="1"/>
  <c r="AE15" i="2"/>
  <c r="AK15" i="2" s="1"/>
  <c r="AE16" i="2"/>
  <c r="AK16" i="2" s="1"/>
  <c r="AE20" i="2"/>
  <c r="AK20" i="2" s="1"/>
  <c r="AE21" i="2"/>
  <c r="AK21" i="2" s="1"/>
  <c r="AE22" i="2"/>
  <c r="AK22" i="2" s="1"/>
  <c r="AE26" i="2"/>
  <c r="AK26" i="2" s="1"/>
  <c r="AE27" i="2"/>
  <c r="AK27" i="2" s="1"/>
  <c r="AE28" i="2"/>
  <c r="AK28" i="2" s="1"/>
  <c r="Y32" i="2"/>
  <c r="Z32" i="2"/>
  <c r="AA32" i="2"/>
  <c r="X32" i="2"/>
  <c r="AA30" i="2"/>
  <c r="Z6" i="2"/>
  <c r="AG6" i="2" s="1"/>
  <c r="Z7" i="2"/>
  <c r="Z8" i="2"/>
  <c r="Z9" i="2"/>
  <c r="AG9" i="2" s="1"/>
  <c r="AM9" i="2" s="1"/>
  <c r="Z10" i="2"/>
  <c r="AG10" i="2" s="1"/>
  <c r="AM10" i="2" s="1"/>
  <c r="Z11" i="2"/>
  <c r="Y11" i="2"/>
  <c r="Y10" i="2"/>
  <c r="AF10" i="2" s="1"/>
  <c r="AL10" i="2" s="1"/>
  <c r="Y9" i="2"/>
  <c r="AF9" i="2" s="1"/>
  <c r="AL9" i="2" s="1"/>
  <c r="Y8" i="2"/>
  <c r="AF8" i="2" s="1"/>
  <c r="AL8" i="2" s="1"/>
  <c r="Y7" i="2"/>
  <c r="AF7" i="2" s="1"/>
  <c r="AL7" i="2" s="1"/>
  <c r="Y6" i="2"/>
  <c r="AF6" i="2" s="1"/>
  <c r="Y20" i="2"/>
  <c r="AF20" i="2" s="1"/>
  <c r="AL20" i="2" s="1"/>
  <c r="Y12" i="2"/>
  <c r="Z12" i="2"/>
  <c r="AG12" i="2" s="1"/>
  <c r="AM12" i="2" s="1"/>
  <c r="Y13" i="2"/>
  <c r="Z13" i="2"/>
  <c r="AG13" i="2" s="1"/>
  <c r="AM13" i="2" s="1"/>
  <c r="Y14" i="2"/>
  <c r="AF14" i="2" s="1"/>
  <c r="AL14" i="2" s="1"/>
  <c r="Z14" i="2"/>
  <c r="Y15" i="2"/>
  <c r="AF15" i="2" s="1"/>
  <c r="AL15" i="2" s="1"/>
  <c r="Z15" i="2"/>
  <c r="AG15" i="2" s="1"/>
  <c r="AM15" i="2" s="1"/>
  <c r="Y16" i="2"/>
  <c r="AF16" i="2" s="1"/>
  <c r="AL16" i="2" s="1"/>
  <c r="Z16" i="2"/>
  <c r="AG16" i="2" s="1"/>
  <c r="AM16" i="2" s="1"/>
  <c r="Y17" i="2"/>
  <c r="Z17" i="2"/>
  <c r="Y18" i="2"/>
  <c r="Z18" i="2"/>
  <c r="AG18" i="2" s="1"/>
  <c r="AM18" i="2" s="1"/>
  <c r="Y19" i="2"/>
  <c r="Z19" i="2"/>
  <c r="AG19" i="2" s="1"/>
  <c r="AM19" i="2" s="1"/>
  <c r="Z20" i="2"/>
  <c r="Y21" i="2"/>
  <c r="AF21" i="2" s="1"/>
  <c r="AL21" i="2" s="1"/>
  <c r="Z21" i="2"/>
  <c r="AG21" i="2" s="1"/>
  <c r="AM21" i="2" s="1"/>
  <c r="Y22" i="2"/>
  <c r="AF22" i="2" s="1"/>
  <c r="AL22" i="2" s="1"/>
  <c r="Z22" i="2"/>
  <c r="AG22" i="2" s="1"/>
  <c r="AM22" i="2" s="1"/>
  <c r="Y23" i="2"/>
  <c r="AF23" i="2" s="1"/>
  <c r="AL23" i="2" s="1"/>
  <c r="Z23" i="2"/>
  <c r="Y24" i="2"/>
  <c r="Z24" i="2"/>
  <c r="Y25" i="2"/>
  <c r="Z25" i="2"/>
  <c r="AG25" i="2" s="1"/>
  <c r="AM25" i="2" s="1"/>
  <c r="Y26" i="2"/>
  <c r="AF26" i="2" s="1"/>
  <c r="AL26" i="2" s="1"/>
  <c r="Z26" i="2"/>
  <c r="Y27" i="2"/>
  <c r="AF27" i="2" s="1"/>
  <c r="AL27" i="2" s="1"/>
  <c r="Z27" i="2"/>
  <c r="AG27" i="2" s="1"/>
  <c r="AM27" i="2" s="1"/>
  <c r="Y28" i="2"/>
  <c r="AF28" i="2" s="1"/>
  <c r="AL28" i="2" s="1"/>
  <c r="Z28" i="2"/>
  <c r="AG28" i="2" s="1"/>
  <c r="Y29" i="2"/>
  <c r="AA29" i="2" s="1"/>
  <c r="Z29" i="2"/>
  <c r="Y30" i="2"/>
  <c r="Z30" i="2"/>
  <c r="Y31" i="2"/>
  <c r="Z31" i="2"/>
  <c r="AG31" i="2" s="1"/>
  <c r="AM31" i="2" s="1"/>
  <c r="X13" i="2"/>
  <c r="AE13" i="2" s="1"/>
  <c r="AK13" i="2" s="1"/>
  <c r="X14" i="2"/>
  <c r="X15" i="2"/>
  <c r="X16" i="2"/>
  <c r="X17" i="2"/>
  <c r="AE17" i="2" s="1"/>
  <c r="AK17" i="2" s="1"/>
  <c r="X18" i="2"/>
  <c r="AE18" i="2" s="1"/>
  <c r="AK18" i="2" s="1"/>
  <c r="X19" i="2"/>
  <c r="AE19" i="2" s="1"/>
  <c r="AK19" i="2" s="1"/>
  <c r="X20" i="2"/>
  <c r="X21" i="2"/>
  <c r="X22" i="2"/>
  <c r="X23" i="2"/>
  <c r="AE23" i="2" s="1"/>
  <c r="AK23" i="2" s="1"/>
  <c r="X24" i="2"/>
  <c r="AE24" i="2" s="1"/>
  <c r="AK24" i="2" s="1"/>
  <c r="X25" i="2"/>
  <c r="AE25" i="2" s="1"/>
  <c r="AK25" i="2" s="1"/>
  <c r="X26" i="2"/>
  <c r="X27" i="2"/>
  <c r="X28" i="2"/>
  <c r="X29" i="2"/>
  <c r="AE29" i="2" s="1"/>
  <c r="X30" i="2"/>
  <c r="AE30" i="2" s="1"/>
  <c r="AK30" i="2" s="1"/>
  <c r="X31" i="2"/>
  <c r="AA31" i="2" s="1"/>
  <c r="X6" i="2"/>
  <c r="AE6" i="2" s="1"/>
  <c r="X7" i="2"/>
  <c r="X8" i="2"/>
  <c r="X9" i="2"/>
  <c r="X10" i="2"/>
  <c r="X11" i="2"/>
  <c r="AE11" i="2" s="1"/>
  <c r="AK11" i="2" s="1"/>
  <c r="X12" i="2"/>
  <c r="AE12" i="2" s="1"/>
  <c r="AK12" i="2" s="1"/>
  <c r="D32" i="5"/>
  <c r="C32" i="5"/>
  <c r="B32" i="5"/>
  <c r="E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BB33" i="7" l="1"/>
  <c r="BH33" i="7"/>
  <c r="AO38" i="7"/>
  <c r="AD82" i="7"/>
  <c r="AO82" i="7"/>
  <c r="AC82" i="7"/>
  <c r="AN82" i="7"/>
  <c r="AP33" i="7"/>
  <c r="AP34" i="7" s="1"/>
  <c r="N45" i="7"/>
  <c r="N46" i="7" s="1"/>
  <c r="E141" i="5"/>
  <c r="AF78" i="4"/>
  <c r="E142" i="5"/>
  <c r="E148" i="5"/>
  <c r="E154" i="5"/>
  <c r="E160" i="5"/>
  <c r="E166" i="5"/>
  <c r="AL6" i="2"/>
  <c r="AH28" i="2"/>
  <c r="AN28" i="2" s="1"/>
  <c r="AM28" i="2"/>
  <c r="E157" i="5"/>
  <c r="E145" i="5"/>
  <c r="AK6" i="2"/>
  <c r="AK29" i="2"/>
  <c r="AM6" i="2"/>
  <c r="AG32" i="2"/>
  <c r="E163" i="5"/>
  <c r="E151" i="5"/>
  <c r="D168" i="5"/>
  <c r="C134" i="5"/>
  <c r="E112" i="5"/>
  <c r="E118" i="5"/>
  <c r="E124" i="5"/>
  <c r="E130" i="5"/>
  <c r="AA60" i="4"/>
  <c r="AA54" i="4"/>
  <c r="E119" i="5"/>
  <c r="E131" i="5"/>
  <c r="D44" i="6"/>
  <c r="E108" i="5"/>
  <c r="E114" i="5"/>
  <c r="E120" i="5"/>
  <c r="E126" i="5"/>
  <c r="E132" i="5"/>
  <c r="AA72" i="4"/>
  <c r="AG59" i="4"/>
  <c r="AG78" i="4" s="1"/>
  <c r="AE70" i="4"/>
  <c r="AE78" i="4" s="1"/>
  <c r="AA57" i="4"/>
  <c r="E107" i="5"/>
  <c r="AA53" i="4"/>
  <c r="AF29" i="2"/>
  <c r="AL29" i="2" s="1"/>
  <c r="AH30" i="2"/>
  <c r="AN30" i="2" s="1"/>
  <c r="AM30" i="2"/>
  <c r="AG34" i="2"/>
  <c r="AH7" i="3"/>
  <c r="AH32" i="3" s="1"/>
  <c r="AH9" i="3"/>
  <c r="AH11" i="3"/>
  <c r="AH13" i="3"/>
  <c r="AH15" i="3"/>
  <c r="B159" i="5"/>
  <c r="E159" i="5" s="1"/>
  <c r="B147" i="5"/>
  <c r="E147" i="5" s="1"/>
  <c r="C168" i="5"/>
  <c r="B134" i="5"/>
  <c r="AE76" i="4"/>
  <c r="AA56" i="4"/>
  <c r="AA10" i="2"/>
  <c r="AA28" i="2"/>
  <c r="AA8" i="2"/>
  <c r="AE31" i="2"/>
  <c r="AA6" i="2"/>
  <c r="AM38" i="7"/>
  <c r="AH32" i="6"/>
  <c r="AH34" i="6" s="1"/>
  <c r="AE32" i="6"/>
  <c r="AE33" i="6" s="1"/>
  <c r="AF34" i="6"/>
  <c r="AH51" i="4"/>
  <c r="AH68" i="4"/>
  <c r="AH70" i="4"/>
  <c r="AH72" i="4"/>
  <c r="AH74" i="4"/>
  <c r="AH76" i="4"/>
  <c r="AH61" i="4"/>
  <c r="AA62" i="4"/>
  <c r="AH62" i="4"/>
  <c r="AH63" i="4"/>
  <c r="AA64" i="4"/>
  <c r="AH64" i="4"/>
  <c r="AH65" i="4"/>
  <c r="AA66" i="4"/>
  <c r="AH66" i="4"/>
  <c r="AH67" i="4"/>
  <c r="AH69" i="4"/>
  <c r="AH71" i="4"/>
  <c r="AH73" i="4"/>
  <c r="AH75" i="4"/>
  <c r="AH77" i="4"/>
  <c r="AH60" i="4"/>
  <c r="AH54" i="4"/>
  <c r="AH56" i="4"/>
  <c r="AH58" i="4"/>
  <c r="AH53" i="4"/>
  <c r="AH55" i="4"/>
  <c r="AH57" i="4"/>
  <c r="AH59" i="4"/>
  <c r="AH52" i="4"/>
  <c r="AA61" i="4"/>
  <c r="AA63" i="4"/>
  <c r="AA65" i="4"/>
  <c r="AA67" i="4"/>
  <c r="AH13" i="1"/>
  <c r="AH16" i="1"/>
  <c r="AG32" i="1"/>
  <c r="AH23" i="1"/>
  <c r="AH25" i="1"/>
  <c r="AH18" i="1"/>
  <c r="AH20" i="1"/>
  <c r="AE34" i="1"/>
  <c r="AA17" i="1"/>
  <c r="AA18" i="1"/>
  <c r="AA19" i="1"/>
  <c r="AA20" i="1"/>
  <c r="AA21" i="1"/>
  <c r="AF32" i="1"/>
  <c r="AE32" i="1"/>
  <c r="AH30" i="3"/>
  <c r="AA26" i="3"/>
  <c r="AH18" i="3"/>
  <c r="AA19" i="3"/>
  <c r="AH20" i="3"/>
  <c r="AH22" i="3"/>
  <c r="AH24" i="3"/>
  <c r="AG32" i="3"/>
  <c r="AH17" i="3"/>
  <c r="AH21" i="3"/>
  <c r="AH23" i="3"/>
  <c r="AH25" i="3"/>
  <c r="AA18" i="3"/>
  <c r="AF19" i="3"/>
  <c r="AH19" i="3" s="1"/>
  <c r="AA20" i="3"/>
  <c r="AA21" i="3"/>
  <c r="AA23" i="3"/>
  <c r="AA24" i="3"/>
  <c r="AA25" i="3"/>
  <c r="AF27" i="3"/>
  <c r="AH27" i="3" s="1"/>
  <c r="AA22" i="3"/>
  <c r="AH11" i="2"/>
  <c r="AN11" i="2" s="1"/>
  <c r="AH9" i="2"/>
  <c r="AN9" i="2" s="1"/>
  <c r="AH7" i="2"/>
  <c r="AN7" i="2" s="1"/>
  <c r="AA27" i="2"/>
  <c r="AA25" i="2"/>
  <c r="AA23" i="2"/>
  <c r="AA21" i="2"/>
  <c r="AA19" i="2"/>
  <c r="AA17" i="2"/>
  <c r="AA15" i="2"/>
  <c r="AA13" i="2"/>
  <c r="AA11" i="2"/>
  <c r="AA9" i="2"/>
  <c r="AA7" i="2"/>
  <c r="AH6" i="2"/>
  <c r="AN6" i="2" s="1"/>
  <c r="AH8" i="2"/>
  <c r="AN8" i="2" s="1"/>
  <c r="AH10" i="2"/>
  <c r="AN10" i="2" s="1"/>
  <c r="AH12" i="2"/>
  <c r="AN12" i="2" s="1"/>
  <c r="AH14" i="2"/>
  <c r="AN14" i="2" s="1"/>
  <c r="AH16" i="2"/>
  <c r="AN16" i="2" s="1"/>
  <c r="AH18" i="2"/>
  <c r="AN18" i="2" s="1"/>
  <c r="AH20" i="2"/>
  <c r="AN20" i="2" s="1"/>
  <c r="AH22" i="2"/>
  <c r="AN22" i="2" s="1"/>
  <c r="AH24" i="2"/>
  <c r="AN24" i="2" s="1"/>
  <c r="AH26" i="2"/>
  <c r="AN26" i="2" s="1"/>
  <c r="AA26" i="2"/>
  <c r="AA24" i="2"/>
  <c r="AA22" i="2"/>
  <c r="AA20" i="2"/>
  <c r="AA18" i="2"/>
  <c r="AA16" i="2"/>
  <c r="AA14" i="2"/>
  <c r="AA12" i="2"/>
  <c r="AH13" i="2"/>
  <c r="AN13" i="2" s="1"/>
  <c r="AH15" i="2"/>
  <c r="AN15" i="2" s="1"/>
  <c r="AH17" i="2"/>
  <c r="AN17" i="2" s="1"/>
  <c r="AH19" i="2"/>
  <c r="AN19" i="2" s="1"/>
  <c r="AH21" i="2"/>
  <c r="AN21" i="2" s="1"/>
  <c r="AH23" i="2"/>
  <c r="AN23" i="2" s="1"/>
  <c r="AH25" i="2"/>
  <c r="AN25" i="2" s="1"/>
  <c r="AH27" i="2"/>
  <c r="AN27" i="2" s="1"/>
  <c r="BH34" i="7" l="1"/>
  <c r="BB34" i="7"/>
  <c r="BF34" i="7"/>
  <c r="BG34" i="7"/>
  <c r="BE34" i="7"/>
  <c r="AM34" i="7"/>
  <c r="AN34" i="7"/>
  <c r="AO34" i="7"/>
  <c r="AE82" i="7"/>
  <c r="AM82" i="7"/>
  <c r="AE80" i="4"/>
  <c r="AG80" i="4"/>
  <c r="AH80" i="4"/>
  <c r="AH29" i="2"/>
  <c r="AN29" i="2" s="1"/>
  <c r="AK31" i="2"/>
  <c r="AH31" i="2"/>
  <c r="AN31" i="2" s="1"/>
  <c r="AH33" i="6"/>
  <c r="AE32" i="2"/>
  <c r="AF80" i="4"/>
  <c r="AF79" i="4"/>
  <c r="E134" i="5"/>
  <c r="AF32" i="2"/>
  <c r="E168" i="5"/>
  <c r="AM32" i="2"/>
  <c r="B168" i="5"/>
  <c r="AF33" i="6"/>
  <c r="AG33" i="6"/>
  <c r="AE34" i="6"/>
  <c r="AH78" i="4"/>
  <c r="AH79" i="4" s="1"/>
  <c r="AH32" i="1"/>
  <c r="AH33" i="1" s="1"/>
  <c r="AH34" i="1"/>
  <c r="AF34" i="1"/>
  <c r="AH33" i="3"/>
  <c r="AH34" i="3"/>
  <c r="AG33" i="3"/>
  <c r="AE33" i="3"/>
  <c r="AF32" i="3"/>
  <c r="AR81" i="7" l="1"/>
  <c r="AK32" i="2"/>
  <c r="AE34" i="2"/>
  <c r="AG79" i="4"/>
  <c r="AF33" i="3"/>
  <c r="AF34" i="3"/>
  <c r="AE33" i="1"/>
  <c r="AF33" i="1"/>
  <c r="AL32" i="2"/>
  <c r="AF34" i="2"/>
  <c r="AH32" i="2"/>
  <c r="AE33" i="2" s="1"/>
  <c r="AG33" i="1"/>
  <c r="AE79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2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2" i="2"/>
  <c r="AN32" i="2" l="1"/>
  <c r="AH33" i="2"/>
  <c r="AH34" i="2"/>
  <c r="AG33" i="2"/>
  <c r="AF33" i="2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2" i="4"/>
  <c r="B44" i="4"/>
  <c r="C44" i="4"/>
  <c r="D44" i="4"/>
  <c r="E44" i="4"/>
  <c r="G44" i="4"/>
  <c r="F44" i="4"/>
  <c r="C44" i="3"/>
  <c r="B44" i="3"/>
  <c r="C44" i="1"/>
  <c r="B44" i="1"/>
  <c r="J44" i="4" l="1"/>
  <c r="I44" i="4"/>
  <c r="AP82" i="7"/>
</calcChain>
</file>

<file path=xl/sharedStrings.xml><?xml version="1.0" encoding="utf-8"?>
<sst xmlns="http://schemas.openxmlformats.org/spreadsheetml/2006/main" count="251" uniqueCount="43">
  <si>
    <t>L</t>
  </si>
  <si>
    <t>mil</t>
  </si>
  <si>
    <t>ton</t>
  </si>
  <si>
    <t>totalN</t>
  </si>
  <si>
    <t>totalB</t>
  </si>
  <si>
    <t>WEST COAST (OCN+OCS)</t>
  </si>
  <si>
    <t>L_CLASS</t>
  </si>
  <si>
    <t>AGE GROUP</t>
  </si>
  <si>
    <t>TOTAL</t>
  </si>
  <si>
    <t>IXa-S (ALG)</t>
  </si>
  <si>
    <t>IXa-S (CAD)</t>
  </si>
  <si>
    <t>PORTUGAL (OCN+OCS+ALG)</t>
  </si>
  <si>
    <t>TOTAL AREA (PORTUGAL+CADIZ)</t>
  </si>
  <si>
    <t>WEST COAST</t>
  </si>
  <si>
    <t>%Número</t>
  </si>
  <si>
    <t>%</t>
  </si>
  <si>
    <t>Lmed</t>
  </si>
  <si>
    <t>(Distribution amplified to the estimated abundance)</t>
  </si>
  <si>
    <t>ALGARVE</t>
  </si>
  <si>
    <t>ALG</t>
  </si>
  <si>
    <t>CAD</t>
  </si>
  <si>
    <t>IXaS</t>
  </si>
  <si>
    <t>Millones</t>
  </si>
  <si>
    <t>IXa-S (millones)</t>
  </si>
  <si>
    <t>SD</t>
  </si>
  <si>
    <t>ALG (millions)</t>
  </si>
  <si>
    <t>CAD (millions)</t>
  </si>
  <si>
    <t>N</t>
  </si>
  <si>
    <t>B</t>
  </si>
  <si>
    <t>Tonnes</t>
  </si>
  <si>
    <t>a=</t>
  </si>
  <si>
    <t>b=</t>
  </si>
  <si>
    <t>TALLA</t>
  </si>
  <si>
    <t>(cm)</t>
  </si>
  <si>
    <t>MEDIA</t>
  </si>
  <si>
    <t>buscar parámetros correctos, son asumidos por ahora</t>
  </si>
  <si>
    <t>Total</t>
  </si>
  <si>
    <t>media</t>
  </si>
  <si>
    <t>cálculo de tallas medias</t>
  </si>
  <si>
    <t>cálculo de pesos medios</t>
  </si>
  <si>
    <t>parámetros 2014</t>
  </si>
  <si>
    <t>Proporción por edad</t>
  </si>
  <si>
    <t>Wmed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</si>
</sst>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"/>
    <numFmt numFmtId="166" formatCode="0.0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  <charset val="1"/>
    </font>
    <font>
      <sz val="8"/>
      <name val="MS Sans"/>
      <family val="2"/>
      <charset val="1"/>
    </font>
    <font>
      <sz val="8"/>
      <color rgb="FFFF0000"/>
      <name val="Arial"/>
      <family val="2"/>
      <charset val="1"/>
    </font>
    <font>
      <b/>
      <sz val="11"/>
      <color rgb="FF000000"/>
      <name val="Calibri"/>
      <family val="2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9">
    <xf numFmtId="0" fontId="0" fillId="0" borderId="0" xfId="0"/>
    <xf numFmtId="0" fontId="0" fillId="33" borderId="0" xfId="0" applyFill="1"/>
    <xf numFmtId="0" fontId="16" fillId="33" borderId="13" xfId="0" applyFont="1" applyFill="1" applyBorder="1" applyAlignment="1">
      <alignment horizontal="center" vertical="center"/>
    </xf>
    <xf numFmtId="164" fontId="16" fillId="33" borderId="14" xfId="0" applyNumberFormat="1" applyFont="1" applyFill="1" applyBorder="1"/>
    <xf numFmtId="0" fontId="16" fillId="33" borderId="14" xfId="0" applyFont="1" applyFill="1" applyBorder="1"/>
    <xf numFmtId="0" fontId="16" fillId="33" borderId="11" xfId="0" applyFont="1" applyFill="1" applyBorder="1"/>
    <xf numFmtId="0" fontId="16" fillId="33" borderId="15" xfId="0" applyFont="1" applyFill="1" applyBorder="1"/>
    <xf numFmtId="0" fontId="16" fillId="0" borderId="13" xfId="0" applyFont="1" applyBorder="1" applyAlignment="1">
      <alignment horizontal="center" vertical="center"/>
    </xf>
    <xf numFmtId="164" fontId="16" fillId="0" borderId="14" xfId="0" applyNumberFormat="1" applyFont="1" applyBorder="1"/>
    <xf numFmtId="0" fontId="16" fillId="0" borderId="0" xfId="0" applyFont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4" xfId="0" applyFont="1" applyBorder="1"/>
    <xf numFmtId="0" fontId="16" fillId="0" borderId="15" xfId="0" applyFont="1" applyBorder="1" applyAlignment="1">
      <alignment horizontal="center" vertical="center"/>
    </xf>
    <xf numFmtId="0" fontId="16" fillId="0" borderId="11" xfId="0" applyFont="1" applyBorder="1"/>
    <xf numFmtId="0" fontId="16" fillId="0" borderId="15" xfId="0" applyFont="1" applyBorder="1"/>
    <xf numFmtId="0" fontId="16" fillId="0" borderId="16" xfId="0" applyFont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6" xfId="0" applyFont="1" applyFill="1" applyBorder="1"/>
    <xf numFmtId="0" fontId="16" fillId="33" borderId="17" xfId="0" applyFont="1" applyFill="1" applyBorder="1"/>
    <xf numFmtId="164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19" xfId="0" applyFont="1" applyBorder="1"/>
    <xf numFmtId="0" fontId="16" fillId="0" borderId="20" xfId="0" applyFont="1" applyBorder="1"/>
    <xf numFmtId="0" fontId="0" fillId="0" borderId="19" xfId="0" applyBorder="1"/>
    <xf numFmtId="0" fontId="0" fillId="0" borderId="20" xfId="0" applyBorder="1"/>
    <xf numFmtId="0" fontId="16" fillId="0" borderId="16" xfId="0" applyFont="1" applyBorder="1"/>
    <xf numFmtId="0" fontId="16" fillId="0" borderId="17" xfId="0" applyFont="1" applyBorder="1"/>
    <xf numFmtId="0" fontId="0" fillId="0" borderId="14" xfId="0" applyBorder="1"/>
    <xf numFmtId="164" fontId="16" fillId="0" borderId="19" xfId="0" applyNumberFormat="1" applyFont="1" applyBorder="1"/>
    <xf numFmtId="0" fontId="0" fillId="0" borderId="21" xfId="0" applyBorder="1"/>
    <xf numFmtId="0" fontId="16" fillId="0" borderId="18" xfId="0" applyFont="1" applyBorder="1"/>
    <xf numFmtId="0" fontId="16" fillId="0" borderId="10" xfId="0" applyFont="1" applyBorder="1" applyAlignment="1">
      <alignment horizontal="center"/>
    </xf>
    <xf numFmtId="164" fontId="16" fillId="0" borderId="10" xfId="0" applyNumberFormat="1" applyFont="1" applyBorder="1"/>
    <xf numFmtId="164" fontId="16" fillId="0" borderId="0" xfId="0" applyNumberFormat="1" applyFont="1"/>
    <xf numFmtId="0" fontId="16" fillId="34" borderId="16" xfId="0" applyFont="1" applyFill="1" applyBorder="1"/>
    <xf numFmtId="0" fontId="16" fillId="34" borderId="11" xfId="0" applyFont="1" applyFill="1" applyBorder="1"/>
    <xf numFmtId="0" fontId="16" fillId="34" borderId="17" xfId="0" applyFont="1" applyFill="1" applyBorder="1"/>
    <xf numFmtId="164" fontId="16" fillId="34" borderId="10" xfId="0" applyNumberFormat="1" applyFont="1" applyFill="1" applyBorder="1"/>
    <xf numFmtId="0" fontId="0" fillId="34" borderId="0" xfId="0" applyFill="1"/>
    <xf numFmtId="0" fontId="16" fillId="34" borderId="10" xfId="0" applyFont="1" applyFill="1" applyBorder="1" applyAlignment="1">
      <alignment horizontal="center"/>
    </xf>
    <xf numFmtId="164" fontId="16" fillId="34" borderId="14" xfId="0" applyNumberFormat="1" applyFont="1" applyFill="1" applyBorder="1"/>
    <xf numFmtId="0" fontId="0" fillId="34" borderId="14" xfId="0" applyFill="1" applyBorder="1"/>
    <xf numFmtId="0" fontId="16" fillId="34" borderId="15" xfId="0" applyFont="1" applyFill="1" applyBorder="1" applyAlignment="1">
      <alignment horizontal="center" vertical="center"/>
    </xf>
    <xf numFmtId="0" fontId="16" fillId="34" borderId="15" xfId="0" applyFont="1" applyFill="1" applyBorder="1"/>
    <xf numFmtId="164" fontId="16" fillId="34" borderId="11" xfId="0" applyNumberFormat="1" applyFont="1" applyFill="1" applyBorder="1"/>
    <xf numFmtId="164" fontId="16" fillId="34" borderId="15" xfId="0" applyNumberFormat="1" applyFont="1" applyFill="1" applyBorder="1"/>
    <xf numFmtId="0" fontId="18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164" fontId="16" fillId="34" borderId="16" xfId="0" applyNumberFormat="1" applyFont="1" applyFill="1" applyBorder="1"/>
    <xf numFmtId="164" fontId="16" fillId="34" borderId="21" xfId="0" applyNumberFormat="1" applyFont="1" applyFill="1" applyBorder="1"/>
    <xf numFmtId="164" fontId="16" fillId="34" borderId="22" xfId="0" applyNumberFormat="1" applyFont="1" applyFill="1" applyBorder="1"/>
    <xf numFmtId="164" fontId="16" fillId="34" borderId="18" xfId="0" applyNumberFormat="1" applyFont="1" applyFill="1" applyBorder="1"/>
    <xf numFmtId="0" fontId="19" fillId="33" borderId="0" xfId="0" applyFont="1" applyFill="1"/>
    <xf numFmtId="0" fontId="19" fillId="0" borderId="0" xfId="0" applyFont="1"/>
    <xf numFmtId="0" fontId="20" fillId="0" borderId="14" xfId="0" applyFont="1" applyBorder="1"/>
    <xf numFmtId="2" fontId="0" fillId="0" borderId="0" xfId="0" applyNumberFormat="1"/>
    <xf numFmtId="0" fontId="0" fillId="0" borderId="15" xfId="0" applyBorder="1"/>
    <xf numFmtId="0" fontId="16" fillId="35" borderId="0" xfId="0" applyFont="1" applyFill="1"/>
    <xf numFmtId="1" fontId="0" fillId="0" borderId="15" xfId="0" applyNumberFormat="1" applyBorder="1"/>
    <xf numFmtId="0" fontId="0" fillId="0" borderId="0" xfId="0" applyAlignment="1">
      <alignment horizontal="right"/>
    </xf>
    <xf numFmtId="0" fontId="21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1" fillId="0" borderId="27" xfId="0" applyFont="1" applyBorder="1" applyAlignment="1">
      <alignment vertical="center"/>
    </xf>
    <xf numFmtId="0" fontId="22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vertical="center"/>
    </xf>
    <xf numFmtId="0" fontId="21" fillId="0" borderId="23" xfId="0" applyFont="1" applyBorder="1" applyAlignment="1">
      <alignment vertical="center"/>
    </xf>
    <xf numFmtId="165" fontId="21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29" xfId="0" applyFont="1" applyBorder="1" applyAlignment="1">
      <alignment vertical="center"/>
    </xf>
    <xf numFmtId="1" fontId="21" fillId="0" borderId="29" xfId="0" applyNumberFormat="1" applyFont="1" applyBorder="1" applyAlignment="1">
      <alignment vertical="center"/>
    </xf>
    <xf numFmtId="0" fontId="23" fillId="0" borderId="0" xfId="0" applyFont="1" applyAlignment="1">
      <alignment vertical="center"/>
    </xf>
    <xf numFmtId="0" fontId="14" fillId="0" borderId="0" xfId="0" applyFont="1"/>
    <xf numFmtId="0" fontId="0" fillId="36" borderId="15" xfId="0" applyFill="1" applyBorder="1"/>
    <xf numFmtId="0" fontId="0" fillId="0" borderId="10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16" fillId="35" borderId="30" xfId="0" applyFont="1" applyFill="1" applyBorder="1"/>
    <xf numFmtId="0" fontId="16" fillId="35" borderId="31" xfId="0" applyFont="1" applyFill="1" applyBorder="1"/>
    <xf numFmtId="0" fontId="16" fillId="35" borderId="32" xfId="0" applyFont="1" applyFill="1" applyBorder="1"/>
    <xf numFmtId="164" fontId="24" fillId="0" borderId="11" xfId="0" applyNumberFormat="1" applyFont="1" applyBorder="1"/>
    <xf numFmtId="166" fontId="24" fillId="0" borderId="11" xfId="0" applyNumberFormat="1" applyFont="1" applyBorder="1"/>
    <xf numFmtId="0" fontId="16" fillId="34" borderId="10" xfId="0" applyFont="1" applyFill="1" applyBorder="1" applyAlignment="1">
      <alignment horizontal="center" vertical="center"/>
    </xf>
    <xf numFmtId="0" fontId="16" fillId="34" borderId="12" xfId="0" applyFont="1" applyFill="1" applyBorder="1" applyAlignment="1">
      <alignment horizontal="center" vertical="center"/>
    </xf>
    <xf numFmtId="0" fontId="16" fillId="34" borderId="16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34" borderId="0" xfId="0" applyFont="1" applyFill="1" applyAlignment="1">
      <alignment horizontal="center" vertical="center"/>
    </xf>
    <xf numFmtId="0" fontId="16" fillId="34" borderId="13" xfId="0" applyFont="1" applyFill="1" applyBorder="1" applyAlignment="1">
      <alignment horizontal="center"/>
    </xf>
    <xf numFmtId="0" fontId="16" fillId="0" borderId="11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6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West</a:t>
            </a:r>
          </a:p>
        </c:rich>
      </c:tx>
      <c:layout>
        <c:manualLayout>
          <c:xMode val="edge"/>
          <c:yMode val="edge"/>
          <c:x val="0.19782633420822396"/>
          <c:y val="0.20833333333333348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West!$A$3:$A$28</c:f>
              <c:numCache>
                <c:formatCode>General</c:formatCode>
                <c:ptCount val="26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</c:numCache>
            </c:numRef>
          </c:cat>
          <c:val>
            <c:numRef>
              <c:f>West!$D$3:$D$28</c:f>
              <c:numCache>
                <c:formatCode>General</c:formatCode>
                <c:ptCount val="26"/>
                <c:pt idx="0">
                  <c:v>1.3962861890230184E-4</c:v>
                </c:pt>
                <c:pt idx="1">
                  <c:v>1.3962861890230184E-4</c:v>
                </c:pt>
                <c:pt idx="2">
                  <c:v>7.6640597486374578E-4</c:v>
                </c:pt>
                <c:pt idx="3">
                  <c:v>1.1837404024717369E-3</c:v>
                </c:pt>
                <c:pt idx="4">
                  <c:v>1.6739919977287077E-3</c:v>
                </c:pt>
                <c:pt idx="5">
                  <c:v>1.8120691875320952E-3</c:v>
                </c:pt>
                <c:pt idx="6">
                  <c:v>2.2309550442390007E-3</c:v>
                </c:pt>
                <c:pt idx="7">
                  <c:v>3.9732099223199454E-3</c:v>
                </c:pt>
                <c:pt idx="8">
                  <c:v>6.3996450330221681E-3</c:v>
                </c:pt>
                <c:pt idx="9">
                  <c:v>1.1946004061641381E-2</c:v>
                </c:pt>
                <c:pt idx="10">
                  <c:v>0.12089511253290969</c:v>
                </c:pt>
                <c:pt idx="11">
                  <c:v>0.1775579575125627</c:v>
                </c:pt>
                <c:pt idx="12">
                  <c:v>0.14778603310439412</c:v>
                </c:pt>
                <c:pt idx="13">
                  <c:v>0.14305262292360607</c:v>
                </c:pt>
                <c:pt idx="14">
                  <c:v>9.6892952943604005E-2</c:v>
                </c:pt>
                <c:pt idx="15">
                  <c:v>7.3793725089866535E-2</c:v>
                </c:pt>
                <c:pt idx="16">
                  <c:v>7.0394543934144932E-2</c:v>
                </c:pt>
                <c:pt idx="17">
                  <c:v>5.4323289898489995E-2</c:v>
                </c:pt>
                <c:pt idx="18">
                  <c:v>2.8645586882356681E-2</c:v>
                </c:pt>
                <c:pt idx="19">
                  <c:v>2.0691409892222221E-2</c:v>
                </c:pt>
                <c:pt idx="20">
                  <c:v>1.7880220364989211E-2</c:v>
                </c:pt>
                <c:pt idx="21">
                  <c:v>1.0554372159915107E-2</c:v>
                </c:pt>
                <c:pt idx="22">
                  <c:v>2.9663324371244572E-3</c:v>
                </c:pt>
                <c:pt idx="23">
                  <c:v>3.3821154356335338E-3</c:v>
                </c:pt>
                <c:pt idx="24">
                  <c:v>4.1733442760799112E-4</c:v>
                </c:pt>
                <c:pt idx="25">
                  <c:v>5.0111159894937224E-4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E-B24E-9AB2-42CAE557F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70164864"/>
        <c:axId val="70166400"/>
      </c:barChart>
      <c:catAx>
        <c:axId val="7016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166400"/>
        <c:crosses val="autoZero"/>
        <c:auto val="1"/>
        <c:lblAlgn val="ctr"/>
        <c:lblOffset val="100"/>
        <c:noMultiLvlLbl val="0"/>
      </c:catAx>
      <c:valAx>
        <c:axId val="701664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016486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PELAGO 15 - ALGARVE</a:t>
            </a:r>
            <a:endParaRPr lang="en-US" sz="1200" b="1" baseline="0"/>
          </a:p>
          <a:p>
            <a:pPr>
              <a:defRPr sz="1200" b="1"/>
            </a:pPr>
            <a:r>
              <a:rPr lang="en-US" sz="1200" b="1" baseline="0"/>
              <a:t>Anchovy Age distribution (%)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Algarve!$AE$3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cat>
          <c:val>
            <c:numRef>
              <c:f>West!$AE$33:$AG$33</c:f>
              <c:numCache>
                <c:formatCode>0.0</c:formatCode>
                <c:ptCount val="3"/>
                <c:pt idx="0">
                  <c:v>91.938519957453522</c:v>
                </c:pt>
                <c:pt idx="1">
                  <c:v>7.1261990935819295</c:v>
                </c:pt>
                <c:pt idx="2">
                  <c:v>0.9352809489645536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9-5A40-B705-BA6499247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-27"/>
        <c:axId val="92381184"/>
        <c:axId val="92383104"/>
      </c:barChart>
      <c:catAx>
        <c:axId val="9238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383104"/>
        <c:crosses val="autoZero"/>
        <c:auto val="1"/>
        <c:lblAlgn val="ctr"/>
        <c:lblOffset val="100"/>
        <c:noMultiLvlLbl val="0"/>
      </c:catAx>
      <c:valAx>
        <c:axId val="923831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381184"/>
        <c:crosses val="autoZero"/>
        <c:crossBetween val="between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PELAGO 15 - ALGARVE</a:t>
            </a:r>
            <a:endParaRPr lang="en-US" sz="1400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cat>
          <c:val>
            <c:numRef>
              <c:f>Algarve!$AE$37:$AG$37</c:f>
              <c:numCache>
                <c:formatCode>General</c:formatCode>
                <c:ptCount val="3"/>
                <c:pt idx="0">
                  <c:v>137.64929999999998</c:v>
                </c:pt>
                <c:pt idx="1">
                  <c:v>20.018699999999999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3-C641-B101-08B3322B2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-27"/>
        <c:axId val="92419584"/>
        <c:axId val="92421504"/>
      </c:barChart>
      <c:catAx>
        <c:axId val="9241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/>
                  <a:t>Idade (anos)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421504"/>
        <c:crosses val="autoZero"/>
        <c:auto val="1"/>
        <c:lblAlgn val="ctr"/>
        <c:lblOffset val="100"/>
        <c:noMultiLvlLbl val="0"/>
      </c:catAx>
      <c:valAx>
        <c:axId val="92421504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Número de indivíduos (milhões)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419584"/>
        <c:crosses val="autoZero"/>
        <c:crossBetween val="between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Cadiz</a:t>
            </a:r>
          </a:p>
        </c:rich>
      </c:tx>
      <c:layout>
        <c:manualLayout>
          <c:xMode val="edge"/>
          <c:yMode val="edge"/>
          <c:x val="0.55800000000000005"/>
          <c:y val="0.19907407407407407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anchovy Cadiz</c:v>
          </c:tx>
          <c:invertIfNegative val="0"/>
          <c:cat>
            <c:numRef>
              <c:f>CADIZ!$A$9:$A$20</c:f>
              <c:numCache>
                <c:formatCode>General</c:formatCode>
                <c:ptCount val="12"/>
                <c:pt idx="0">
                  <c:v>8.5</c:v>
                </c:pt>
                <c:pt idx="1">
                  <c:v>9</c:v>
                </c:pt>
                <c:pt idx="2">
                  <c:v>9.5</c:v>
                </c:pt>
                <c:pt idx="3">
                  <c:v>10</c:v>
                </c:pt>
                <c:pt idx="4">
                  <c:v>10.5</c:v>
                </c:pt>
                <c:pt idx="5">
                  <c:v>11</c:v>
                </c:pt>
                <c:pt idx="6">
                  <c:v>11.5</c:v>
                </c:pt>
                <c:pt idx="7">
                  <c:v>12</c:v>
                </c:pt>
                <c:pt idx="8">
                  <c:v>12.5</c:v>
                </c:pt>
                <c:pt idx="9">
                  <c:v>13</c:v>
                </c:pt>
                <c:pt idx="10">
                  <c:v>13.5</c:v>
                </c:pt>
                <c:pt idx="11">
                  <c:v>14</c:v>
                </c:pt>
              </c:numCache>
            </c:numRef>
          </c:cat>
          <c:val>
            <c:numRef>
              <c:f>CADIZ!$D$9:$D$20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6.2653907058826189E-2</c:v>
                </c:pt>
                <c:pt idx="3">
                  <c:v>0.14362997514832845</c:v>
                </c:pt>
                <c:pt idx="4">
                  <c:v>0.27824442309914166</c:v>
                </c:pt>
                <c:pt idx="5">
                  <c:v>0.19771804113551977</c:v>
                </c:pt>
                <c:pt idx="6">
                  <c:v>0.14340258348643806</c:v>
                </c:pt>
                <c:pt idx="7">
                  <c:v>9.2298360514613098E-2</c:v>
                </c:pt>
                <c:pt idx="8">
                  <c:v>6.8610265983113553E-2</c:v>
                </c:pt>
                <c:pt idx="9">
                  <c:v>1.3442443574019242E-2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6-6C4C-8CD0-A05323D55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432640"/>
        <c:axId val="92483584"/>
      </c:barChart>
      <c:catAx>
        <c:axId val="9243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483584"/>
        <c:crosses val="autoZero"/>
        <c:auto val="1"/>
        <c:lblAlgn val="ctr"/>
        <c:lblOffset val="100"/>
        <c:noMultiLvlLbl val="0"/>
      </c:catAx>
      <c:valAx>
        <c:axId val="92483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243264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PELAGO 15 - CADIZ</a:t>
            </a:r>
            <a:endParaRPr lang="en-US" sz="1200" b="1" baseline="0"/>
          </a:p>
          <a:p>
            <a:pPr>
              <a:defRPr sz="1200" b="1"/>
            </a:pPr>
            <a:r>
              <a:rPr lang="en-US" sz="1200" b="1" baseline="0"/>
              <a:t>Anchovy Age distribution (Number)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CADIZ!$AE$3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cat>
          <c:val>
            <c:numRef>
              <c:f>CADIZ!$AE$32:$AG$32</c:f>
              <c:numCache>
                <c:formatCode>General</c:formatCode>
                <c:ptCount val="3"/>
                <c:pt idx="0">
                  <c:v>3257930.5767810089</c:v>
                </c:pt>
                <c:pt idx="1">
                  <c:v>273421.42321899114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B-0647-8D6F-9CB757DB7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-27"/>
        <c:axId val="92508544"/>
        <c:axId val="92510464"/>
      </c:barChart>
      <c:catAx>
        <c:axId val="9250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510464"/>
        <c:crosses val="autoZero"/>
        <c:auto val="1"/>
        <c:lblAlgn val="ctr"/>
        <c:lblOffset val="100"/>
        <c:noMultiLvlLbl val="0"/>
      </c:catAx>
      <c:valAx>
        <c:axId val="92510464"/>
        <c:scaling>
          <c:orientation val="minMax"/>
          <c:max val="4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Abundance (thousands)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508544"/>
        <c:crosses val="autoZero"/>
        <c:crossBetween val="between"/>
        <c:majorUnit val="250000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PELAGO 15 - CADIZ</a:t>
            </a:r>
            <a:endParaRPr lang="en-US" sz="1200" b="1" baseline="0"/>
          </a:p>
          <a:p>
            <a:pPr>
              <a:defRPr sz="1200" b="1"/>
            </a:pPr>
            <a:r>
              <a:rPr lang="en-US" sz="1200" b="1" baseline="0"/>
              <a:t>Anchovy Age distribution (%)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CADIZ!$AE$3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cat>
          <c:val>
            <c:numRef>
              <c:f>CADIZ!$AE$33:$AG$33</c:f>
              <c:numCache>
                <c:formatCode>0.0</c:formatCode>
                <c:ptCount val="3"/>
                <c:pt idx="0">
                  <c:v>92.257316086898413</c:v>
                </c:pt>
                <c:pt idx="1">
                  <c:v>7.7426839131015859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F-974C-B4BE-E38466DE8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-27"/>
        <c:axId val="94533504"/>
        <c:axId val="94539776"/>
      </c:barChart>
      <c:catAx>
        <c:axId val="9453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539776"/>
        <c:crosses val="autoZero"/>
        <c:auto val="1"/>
        <c:lblAlgn val="ctr"/>
        <c:lblOffset val="100"/>
        <c:noMultiLvlLbl val="0"/>
      </c:catAx>
      <c:valAx>
        <c:axId val="945397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533504"/>
        <c:crosses val="autoZero"/>
        <c:crossBetween val="between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PELAGO 15 - CÁDIS</a:t>
            </a:r>
            <a:endParaRPr lang="en-US" sz="1400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cat>
          <c:val>
            <c:numRef>
              <c:f>CADIZ!$AE$37:$AG$37</c:f>
              <c:numCache>
                <c:formatCode>General</c:formatCode>
                <c:ptCount val="3"/>
                <c:pt idx="0">
                  <c:v>3257.9305767810097</c:v>
                </c:pt>
                <c:pt idx="1">
                  <c:v>273.42142321899104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4-6649-A6BC-74FF0E031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-27"/>
        <c:axId val="94547328"/>
        <c:axId val="94574080"/>
      </c:barChart>
      <c:catAx>
        <c:axId val="9454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/>
                  <a:t>Idade (anos)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574080"/>
        <c:crosses val="autoZero"/>
        <c:auto val="1"/>
        <c:lblAlgn val="ctr"/>
        <c:lblOffset val="100"/>
        <c:noMultiLvlLbl val="0"/>
      </c:catAx>
      <c:valAx>
        <c:axId val="94574080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Número de indivíduos (milhões)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547328"/>
        <c:crosses val="autoZero"/>
        <c:crossBetween val="between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 IXa S . ABUNDANCE</a:t>
            </a:r>
          </a:p>
        </c:rich>
      </c:tx>
      <c:layout>
        <c:manualLayout>
          <c:xMode val="edge"/>
          <c:yMode val="edge"/>
          <c:x val="0.27498898460098903"/>
          <c:y val="5.092592592592592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'9a S'!$N$2</c:f>
              <c:strCache>
                <c:ptCount val="1"/>
                <c:pt idx="0">
                  <c:v>Millones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'9a S'!$M$4:$M$29</c:f>
              <c:numCache>
                <c:formatCode>General</c:formatCode>
                <c:ptCount val="26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</c:numCache>
            </c:numRef>
          </c:cat>
          <c:val>
            <c:numRef>
              <c:f>'9a S'!$N$4:$N$29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221.25299999999999</c:v>
                </c:pt>
                <c:pt idx="9">
                  <c:v>507.20800000000003</c:v>
                </c:pt>
                <c:pt idx="10">
                  <c:v>982.57899999999995</c:v>
                </c:pt>
                <c:pt idx="11">
                  <c:v>701.33399999999995</c:v>
                </c:pt>
                <c:pt idx="12">
                  <c:v>525.92399999999998</c:v>
                </c:pt>
                <c:pt idx="13">
                  <c:v>375.93399999999997</c:v>
                </c:pt>
                <c:pt idx="14">
                  <c:v>283.61200000000002</c:v>
                </c:pt>
                <c:pt idx="15">
                  <c:v>60.131</c:v>
                </c:pt>
                <c:pt idx="16">
                  <c:v>16.744</c:v>
                </c:pt>
                <c:pt idx="17">
                  <c:v>8.9870000000000001</c:v>
                </c:pt>
                <c:pt idx="18">
                  <c:v>3.2639999999999998</c:v>
                </c:pt>
                <c:pt idx="19">
                  <c:v>1.64</c:v>
                </c:pt>
                <c:pt idx="20">
                  <c:v>0.41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F-CA40-97D8-01269A356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4741248"/>
        <c:axId val="94743168"/>
      </c:barChart>
      <c:catAx>
        <c:axId val="9474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s-ES" sz="1100"/>
                  <a:t>Size</a:t>
                </a:r>
                <a:r>
                  <a:rPr lang="es-ES" sz="1100" baseline="0"/>
                  <a:t> class (cm)</a:t>
                </a:r>
                <a:endParaRPr lang="es-ES" sz="1100"/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crossAx val="94743168"/>
        <c:crosses val="autoZero"/>
        <c:auto val="1"/>
        <c:lblAlgn val="ctr"/>
        <c:lblOffset val="100"/>
        <c:tickLblSkip val="2"/>
        <c:noMultiLvlLbl val="0"/>
      </c:catAx>
      <c:valAx>
        <c:axId val="947431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s-ES" sz="1100"/>
                  <a:t>Number of fish (millions)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4741248"/>
        <c:crosses val="autoZero"/>
        <c:crossBetween val="between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IXa S. ABUNDANCE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'9a S'!$AM$4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'9a S'!$AM$5:$AO$5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'9a S'!$AM$33:$AO$33</c:f>
              <c:numCache>
                <c:formatCode>General</c:formatCode>
                <c:ptCount val="3"/>
                <c:pt idx="0">
                  <c:v>3395579.8767810087</c:v>
                </c:pt>
                <c:pt idx="1">
                  <c:v>293440.12321899115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5-E44C-98CD-1048593F1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-27"/>
        <c:axId val="94637440"/>
        <c:axId val="94660096"/>
      </c:barChart>
      <c:catAx>
        <c:axId val="9463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660096"/>
        <c:crosses val="autoZero"/>
        <c:auto val="1"/>
        <c:lblAlgn val="ctr"/>
        <c:lblOffset val="100"/>
        <c:noMultiLvlLbl val="0"/>
      </c:catAx>
      <c:valAx>
        <c:axId val="94660096"/>
        <c:scaling>
          <c:orientation val="minMax"/>
          <c:max val="4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Number of fish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637440"/>
        <c:crosses val="autoZero"/>
        <c:crossBetween val="between"/>
        <c:majorUnit val="1000"/>
        <c:minorUnit val="500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PELAGO 15 - PORTUGAL</a:t>
            </a:r>
            <a:endParaRPr lang="en-US" sz="1200" b="1" baseline="0"/>
          </a:p>
          <a:p>
            <a:pPr>
              <a:defRPr sz="1200" b="1"/>
            </a:pPr>
            <a:r>
              <a:rPr lang="en-US" sz="1200" b="1" baseline="0"/>
              <a:t>Anchovy Age distribution (Number)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Portugal!$AE$3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cat>
          <c:val>
            <c:numRef>
              <c:f>Portugal!$AE$32:$AG$32</c:f>
              <c:numCache>
                <c:formatCode>General</c:formatCode>
                <c:ptCount val="3"/>
                <c:pt idx="0">
                  <c:v>722780.56660532462</c:v>
                </c:pt>
                <c:pt idx="1">
                  <c:v>73628.906600417133</c:v>
                </c:pt>
                <c:pt idx="2">
                  <c:v>5825.5267942583732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2-114B-ACA0-186E4653D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-27"/>
        <c:axId val="94783360"/>
        <c:axId val="94806016"/>
      </c:barChart>
      <c:catAx>
        <c:axId val="9478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806016"/>
        <c:crosses val="autoZero"/>
        <c:auto val="1"/>
        <c:lblAlgn val="ctr"/>
        <c:lblOffset val="100"/>
        <c:noMultiLvlLbl val="0"/>
      </c:catAx>
      <c:valAx>
        <c:axId val="94806016"/>
        <c:scaling>
          <c:orientation val="minMax"/>
          <c:max val="7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Abundance (thousands)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783360"/>
        <c:crosses val="autoZero"/>
        <c:crossBetween val="between"/>
        <c:majorUnit val="100000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PELAGO 15 - PORTUGAL</a:t>
            </a:r>
            <a:endParaRPr lang="en-US" sz="1200" b="1" baseline="0"/>
          </a:p>
          <a:p>
            <a:pPr>
              <a:defRPr sz="1200" b="1"/>
            </a:pPr>
            <a:r>
              <a:rPr lang="en-US" sz="1200" b="1" baseline="0"/>
              <a:t>Anchovy Age distribution (%)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Portugal!$AE$3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cat>
          <c:val>
            <c:numRef>
              <c:f>Portugal!$AE$33:$AG$33</c:f>
              <c:numCache>
                <c:formatCode>0.0</c:formatCode>
                <c:ptCount val="3"/>
                <c:pt idx="0">
                  <c:v>90.095865501420974</c:v>
                </c:pt>
                <c:pt idx="1">
                  <c:v>9.177972364758098</c:v>
                </c:pt>
                <c:pt idx="2">
                  <c:v>0.72616213382093442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3-9E4D-AA01-AC138835E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-27"/>
        <c:axId val="94821760"/>
        <c:axId val="94905856"/>
      </c:barChart>
      <c:catAx>
        <c:axId val="9482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905856"/>
        <c:crosses val="autoZero"/>
        <c:auto val="1"/>
        <c:lblAlgn val="ctr"/>
        <c:lblOffset val="100"/>
        <c:noMultiLvlLbl val="0"/>
      </c:catAx>
      <c:valAx>
        <c:axId val="949058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821760"/>
        <c:crosses val="autoZero"/>
        <c:crossBetween val="between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PELAGO 15 - Portuguese</a:t>
            </a:r>
            <a:r>
              <a:rPr lang="en-US" sz="1200" b="1" baseline="0"/>
              <a:t> West Coast</a:t>
            </a:r>
          </a:p>
          <a:p>
            <a:pPr>
              <a:defRPr sz="1200" b="1"/>
            </a:pPr>
            <a:r>
              <a:rPr lang="en-US" sz="1200" b="1" baseline="0"/>
              <a:t>Anchovy Age distribution (Number)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West!$AE$3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cat>
          <c:val>
            <c:numRef>
              <c:f>West!$AE$32:$AG$32</c:f>
              <c:numCache>
                <c:formatCode>General</c:formatCode>
                <c:ptCount val="3"/>
                <c:pt idx="0">
                  <c:v>592605.35993415944</c:v>
                </c:pt>
                <c:pt idx="1">
                  <c:v>45933.127711528236</c:v>
                </c:pt>
                <c:pt idx="2">
                  <c:v>6028.5123543123545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8-F944-B32E-4E72437A9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-27"/>
        <c:axId val="84155008"/>
        <c:axId val="86778624"/>
      </c:barChart>
      <c:catAx>
        <c:axId val="8415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778624"/>
        <c:crosses val="autoZero"/>
        <c:auto val="1"/>
        <c:lblAlgn val="ctr"/>
        <c:lblOffset val="100"/>
        <c:noMultiLvlLbl val="0"/>
      </c:catAx>
      <c:valAx>
        <c:axId val="86778624"/>
        <c:scaling>
          <c:orientation val="minMax"/>
          <c:max val="6000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Abundance (thousands)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155008"/>
        <c:crosses val="autoZero"/>
        <c:crossBetween val="between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PELAGO 15 - PORTUGAL</a:t>
            </a:r>
            <a:endParaRPr lang="en-US" sz="1400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cat>
          <c:val>
            <c:numRef>
              <c:f>Portugal!$AE$37:$AG$37</c:f>
              <c:numCache>
                <c:formatCode>General</c:formatCode>
                <c:ptCount val="3"/>
                <c:pt idx="0">
                  <c:v>722.78056660532502</c:v>
                </c:pt>
                <c:pt idx="1">
                  <c:v>73.62890660041711</c:v>
                </c:pt>
                <c:pt idx="2">
                  <c:v>5.8255267942583693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9-E044-AD18-75FA4F767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-27"/>
        <c:axId val="94917760"/>
        <c:axId val="94919680"/>
      </c:barChart>
      <c:catAx>
        <c:axId val="9491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/>
                  <a:t>Idade (anos)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919680"/>
        <c:crosses val="autoZero"/>
        <c:auto val="1"/>
        <c:lblAlgn val="ctr"/>
        <c:lblOffset val="100"/>
        <c:noMultiLvlLbl val="0"/>
      </c:catAx>
      <c:valAx>
        <c:axId val="9491968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Número de indivíduos (milhões)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917760"/>
        <c:crosses val="autoZero"/>
        <c:crossBetween val="between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Portugal</a:t>
            </a:r>
          </a:p>
        </c:rich>
      </c:tx>
      <c:layout>
        <c:manualLayout>
          <c:xMode val="edge"/>
          <c:yMode val="edge"/>
          <c:x val="0.41633333333333333"/>
          <c:y val="3.240740740740743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Anchovy Portugal</c:v>
          </c:tx>
          <c:invertIfNegative val="0"/>
          <c:cat>
            <c:numRef>
              <c:f>Portugal!$A$2:$A$28</c:f>
              <c:numCache>
                <c:formatCode>General</c:formatCode>
                <c:ptCount val="27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</c:numCache>
            </c:numRef>
          </c:cat>
          <c:val>
            <c:numRef>
              <c:f>Portugal!$D$2:$D$28</c:f>
              <c:numCache>
                <c:formatCode>General</c:formatCode>
                <c:ptCount val="27"/>
                <c:pt idx="0">
                  <c:v>0</c:v>
                </c:pt>
                <c:pt idx="1">
                  <c:v>1.121865787456294E-4</c:v>
                </c:pt>
                <c:pt idx="2">
                  <c:v>1.121865787456294E-4</c:v>
                </c:pt>
                <c:pt idx="3">
                  <c:v>6.1577966555934353E-4</c:v>
                </c:pt>
                <c:pt idx="4">
                  <c:v>9.5109288425461371E-4</c:v>
                </c:pt>
                <c:pt idx="5">
                  <c:v>1.3449924274059346E-3</c:v>
                </c:pt>
                <c:pt idx="6">
                  <c:v>1.455932488609946E-3</c:v>
                </c:pt>
                <c:pt idx="7">
                  <c:v>1.7924922248468342E-3</c:v>
                </c:pt>
                <c:pt idx="8">
                  <c:v>3.1923314240839655E-3</c:v>
                </c:pt>
                <c:pt idx="9">
                  <c:v>5.1418848591746804E-3</c:v>
                </c:pt>
                <c:pt idx="10">
                  <c:v>9.5981850704594043E-3</c:v>
                </c:pt>
                <c:pt idx="11">
                  <c:v>9.7134879430590793E-2</c:v>
                </c:pt>
                <c:pt idx="12">
                  <c:v>0.14655306736804052</c:v>
                </c:pt>
                <c:pt idx="13">
                  <c:v>0.14307154387430118</c:v>
                </c:pt>
                <c:pt idx="14">
                  <c:v>0.17725853397071931</c:v>
                </c:pt>
                <c:pt idx="15">
                  <c:v>0.12936234395158525</c:v>
                </c:pt>
                <c:pt idx="16">
                  <c:v>7.5072765461491955E-2</c:v>
                </c:pt>
                <c:pt idx="17">
                  <c:v>7.7431176650233413E-2</c:v>
                </c:pt>
                <c:pt idx="18">
                  <c:v>5.4849264866279827E-2</c:v>
                </c:pt>
                <c:pt idx="19">
                  <c:v>2.7084333144278171E-2</c:v>
                </c:pt>
                <c:pt idx="20">
                  <c:v>1.8669093220814351E-2</c:v>
                </c:pt>
                <c:pt idx="21">
                  <c:v>1.4877186859212077E-2</c:v>
                </c:pt>
                <c:pt idx="22">
                  <c:v>8.4800588356279648E-3</c:v>
                </c:pt>
                <c:pt idx="23">
                  <c:v>2.3833415395738155E-3</c:v>
                </c:pt>
                <c:pt idx="24">
                  <c:v>2.7174082407274676E-3</c:v>
                </c:pt>
                <c:pt idx="25">
                  <c:v>3.3531321869527007E-4</c:v>
                </c:pt>
                <c:pt idx="26">
                  <c:v>4.0262516594264774E-4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7-D14B-804C-45F56A513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4852608"/>
        <c:axId val="94854144"/>
      </c:barChart>
      <c:catAx>
        <c:axId val="94852608"/>
        <c:scaling>
          <c:orientation val="minMax"/>
        </c:scaling>
        <c:delete val="0"/>
        <c:axPos val="b"/>
        <c:numFmt formatCode="#,##0.0" sourceLinked="0"/>
        <c:majorTickMark val="out"/>
        <c:minorTickMark val="none"/>
        <c:tickLblPos val="nextTo"/>
        <c:crossAx val="94854144"/>
        <c:crosses val="autoZero"/>
        <c:auto val="1"/>
        <c:lblAlgn val="ctr"/>
        <c:lblOffset val="100"/>
        <c:tickLblSkip val="1"/>
        <c:noMultiLvlLbl val="0"/>
      </c:catAx>
      <c:valAx>
        <c:axId val="94854144"/>
        <c:scaling>
          <c:orientation val="minMax"/>
        </c:scaling>
        <c:delete val="0"/>
        <c:axPos val="l"/>
        <c:numFmt formatCode="#,##0.00" sourceLinked="0"/>
        <c:majorTickMark val="out"/>
        <c:minorTickMark val="none"/>
        <c:tickLblPos val="nextTo"/>
        <c:crossAx val="9485260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PELAGO 15 - TOTAL AREA (PORTUGAL+CADIZ)</a:t>
            </a:r>
          </a:p>
          <a:p>
            <a:pPr>
              <a:defRPr sz="1200" b="1"/>
            </a:pPr>
            <a:r>
              <a:rPr lang="en-US" sz="1200" b="1" baseline="0"/>
              <a:t>Anchovy Age distribution (Number)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'Total (Portugal_Cadiz)'!$AE$49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cat>
          <c:val>
            <c:numRef>
              <c:f>'Total (Portugal_Cadiz)'!$AE$78:$AG$78</c:f>
              <c:numCache>
                <c:formatCode>General</c:formatCode>
                <c:ptCount val="3"/>
                <c:pt idx="0">
                  <c:v>4108248.3773967898</c:v>
                </c:pt>
                <c:pt idx="1">
                  <c:v>219513.09580895162</c:v>
                </c:pt>
                <c:pt idx="2">
                  <c:v>5825.5267942583732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5-384F-9A78-AF1DA0268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-27"/>
        <c:axId val="94961664"/>
        <c:axId val="94963584"/>
      </c:barChart>
      <c:catAx>
        <c:axId val="9496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963584"/>
        <c:crosses val="autoZero"/>
        <c:auto val="1"/>
        <c:lblAlgn val="ctr"/>
        <c:lblOffset val="100"/>
        <c:noMultiLvlLbl val="0"/>
      </c:catAx>
      <c:valAx>
        <c:axId val="94963584"/>
        <c:scaling>
          <c:orientation val="minMax"/>
          <c:max val="4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Abundance (thousands)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961664"/>
        <c:crosses val="autoZero"/>
        <c:crossBetween val="between"/>
        <c:majorUnit val="250000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PELAGO 15 - TOTAL AREA (PORTUGAL+CADIZ)</a:t>
            </a:r>
          </a:p>
          <a:p>
            <a:pPr>
              <a:defRPr sz="1200" b="1"/>
            </a:pPr>
            <a:r>
              <a:rPr lang="en-US" sz="1200" b="1" baseline="0"/>
              <a:t>Anchovy Age distribution (%)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(Portugal_Cadiz)'!$AE$49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cat>
          <c:val>
            <c:numRef>
              <c:f>'Total (Portugal_Cadiz)'!$AE$79:$AG$79</c:f>
              <c:numCache>
                <c:formatCode>0.0</c:formatCode>
                <c:ptCount val="3"/>
                <c:pt idx="0">
                  <c:v>94.80018232925265</c:v>
                </c:pt>
                <c:pt idx="1">
                  <c:v>5.0653903062048045</c:v>
                </c:pt>
                <c:pt idx="2">
                  <c:v>0.13442736454254578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B-2741-B20D-BAF82153B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-27"/>
        <c:axId val="94987776"/>
        <c:axId val="94989696"/>
      </c:barChart>
      <c:catAx>
        <c:axId val="9498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989696"/>
        <c:crosses val="autoZero"/>
        <c:auto val="1"/>
        <c:lblAlgn val="ctr"/>
        <c:lblOffset val="100"/>
        <c:noMultiLvlLbl val="0"/>
      </c:catAx>
      <c:valAx>
        <c:axId val="9498969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Abundance (thousands)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987776"/>
        <c:crosses val="autoZero"/>
        <c:crossBetween val="between"/>
        <c:majorUnit val="10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PELAGO 15 -</a:t>
            </a:r>
            <a:r>
              <a:rPr lang="en-US" sz="1400" b="1" baseline="0"/>
              <a:t> PORTUGAL+CÁDIS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cat>
          <c:val>
            <c:numRef>
              <c:f>'Total (Portugal_Cadiz)'!$AE$83:$AG$83</c:f>
              <c:numCache>
                <c:formatCode>General</c:formatCode>
                <c:ptCount val="3"/>
                <c:pt idx="0">
                  <c:v>4108.2483773967897</c:v>
                </c:pt>
                <c:pt idx="1">
                  <c:v>219.51309580895199</c:v>
                </c:pt>
                <c:pt idx="2">
                  <c:v>5.8255267942583693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6-6B4E-8558-654FA6163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-27"/>
        <c:axId val="94997504"/>
        <c:axId val="95429760"/>
      </c:barChart>
      <c:catAx>
        <c:axId val="9499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/>
                  <a:t>Idade (anos)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429760"/>
        <c:crosses val="autoZero"/>
        <c:auto val="1"/>
        <c:lblAlgn val="ctr"/>
        <c:lblOffset val="100"/>
        <c:noMultiLvlLbl val="0"/>
      </c:catAx>
      <c:valAx>
        <c:axId val="95429760"/>
        <c:scaling>
          <c:orientation val="minMax"/>
          <c:max val="4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Número de indivíduos (milhões)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997504"/>
        <c:crosses val="autoZero"/>
        <c:crossBetween val="between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Portugal + Cadiz</a:t>
            </a:r>
          </a:p>
        </c:rich>
      </c:tx>
      <c:layout>
        <c:manualLayout>
          <c:xMode val="edge"/>
          <c:yMode val="edge"/>
          <c:x val="0.36367020549720352"/>
          <c:y val="4.027377108834850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"Anchovy Portugal+Cadiz"</c:v>
          </c:tx>
          <c:invertIfNegative val="0"/>
          <c:cat>
            <c:numRef>
              <c:f>'Total (Portugal_Cadiz)'!$A$48:$A$74</c:f>
              <c:numCache>
                <c:formatCode>General</c:formatCode>
                <c:ptCount val="27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</c:numCache>
            </c:numRef>
          </c:cat>
          <c:val>
            <c:numRef>
              <c:f>'Total (Portugal_Cadiz)'!$C$48:$C$74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12</c:v>
                </c:pt>
                <c:pt idx="9">
                  <c:v>1215</c:v>
                </c:pt>
                <c:pt idx="10">
                  <c:v>3294</c:v>
                </c:pt>
                <c:pt idx="11">
                  <c:v>7979</c:v>
                </c:pt>
                <c:pt idx="12">
                  <c:v>7168</c:v>
                </c:pt>
                <c:pt idx="13">
                  <c:v>6330</c:v>
                </c:pt>
                <c:pt idx="14">
                  <c:v>5499</c:v>
                </c:pt>
                <c:pt idx="15">
                  <c:v>4658</c:v>
                </c:pt>
                <c:pt idx="16">
                  <c:v>1653</c:v>
                </c:pt>
                <c:pt idx="17">
                  <c:v>1083</c:v>
                </c:pt>
                <c:pt idx="18">
                  <c:v>865</c:v>
                </c:pt>
                <c:pt idx="19">
                  <c:v>481</c:v>
                </c:pt>
                <c:pt idx="20">
                  <c:v>371</c:v>
                </c:pt>
                <c:pt idx="21">
                  <c:v>330</c:v>
                </c:pt>
                <c:pt idx="22">
                  <c:v>210</c:v>
                </c:pt>
                <c:pt idx="23">
                  <c:v>66</c:v>
                </c:pt>
                <c:pt idx="24">
                  <c:v>82</c:v>
                </c:pt>
                <c:pt idx="25">
                  <c:v>11</c:v>
                </c:pt>
                <c:pt idx="2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2-B94A-8421-E819A56A8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5436160"/>
        <c:axId val="95077504"/>
      </c:barChart>
      <c:catAx>
        <c:axId val="95436160"/>
        <c:scaling>
          <c:orientation val="minMax"/>
        </c:scaling>
        <c:delete val="0"/>
        <c:axPos val="b"/>
        <c:numFmt formatCode="#,##0.0" sourceLinked="0"/>
        <c:majorTickMark val="out"/>
        <c:minorTickMark val="none"/>
        <c:tickLblPos val="nextTo"/>
        <c:crossAx val="95077504"/>
        <c:crosses val="autoZero"/>
        <c:auto val="1"/>
        <c:lblAlgn val="ctr"/>
        <c:lblOffset val="100"/>
        <c:tickLblSkip val="1"/>
        <c:noMultiLvlLbl val="0"/>
      </c:catAx>
      <c:valAx>
        <c:axId val="95077504"/>
        <c:scaling>
          <c:orientation val="minMax"/>
        </c:scaling>
        <c:delete val="0"/>
        <c:axPos val="l"/>
        <c:numFmt formatCode="#,##0.00" sourceLinked="0"/>
        <c:majorTickMark val="out"/>
        <c:minorTickMark val="none"/>
        <c:tickLblPos val="nextTo"/>
        <c:crossAx val="9543616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PELAGO 15 - Portuguese</a:t>
            </a:r>
            <a:r>
              <a:rPr lang="en-US" sz="1200" b="1" baseline="0"/>
              <a:t> West Coast</a:t>
            </a:r>
          </a:p>
          <a:p>
            <a:pPr>
              <a:defRPr sz="1200" b="1"/>
            </a:pPr>
            <a:r>
              <a:rPr lang="en-US" sz="1200" b="1" baseline="0"/>
              <a:t>Anchovy Age distribution (%)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West!$AE$3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cat>
          <c:val>
            <c:numRef>
              <c:f>West!$AE$33:$AG$33</c:f>
              <c:numCache>
                <c:formatCode>0.0</c:formatCode>
                <c:ptCount val="3"/>
                <c:pt idx="0">
                  <c:v>91.938519957453522</c:v>
                </c:pt>
                <c:pt idx="1">
                  <c:v>7.1261990935819295</c:v>
                </c:pt>
                <c:pt idx="2">
                  <c:v>0.9352809489645536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D-9C43-AD66-9595D7665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-27"/>
        <c:axId val="86802816"/>
        <c:axId val="86804736"/>
      </c:barChart>
      <c:catAx>
        <c:axId val="8680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804736"/>
        <c:crosses val="autoZero"/>
        <c:auto val="1"/>
        <c:lblAlgn val="ctr"/>
        <c:lblOffset val="100"/>
        <c:noMultiLvlLbl val="0"/>
      </c:catAx>
      <c:valAx>
        <c:axId val="868047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802816"/>
        <c:crosses val="autoZero"/>
        <c:crossBetween val="between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PELAGO 15 - Costa Oeste Portuguesa</a:t>
            </a:r>
            <a:endParaRPr lang="en-US" sz="1400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West!$AE$3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6C4-C940-ACCC-2CCC34EFDE0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6C4-C940-ACCC-2CCC34EFDE0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6C4-C940-ACCC-2CCC34EFDE00}"/>
              </c:ext>
            </c:extLst>
          </c:dPt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cat>
          <c:val>
            <c:numRef>
              <c:f>West!$AE$37:$AG$37</c:f>
              <c:numCache>
                <c:formatCode>General</c:formatCode>
                <c:ptCount val="3"/>
                <c:pt idx="0">
                  <c:v>592.60535993415897</c:v>
                </c:pt>
                <c:pt idx="1">
                  <c:v>45.933127711528201</c:v>
                </c:pt>
                <c:pt idx="2">
                  <c:v>6.0285123543123502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C4-C940-ACCC-2CCC34EFD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-27"/>
        <c:axId val="86854656"/>
        <c:axId val="86860928"/>
      </c:barChart>
      <c:catAx>
        <c:axId val="8685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/>
                  <a:t>Idade (anos)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860928"/>
        <c:crosses val="autoZero"/>
        <c:auto val="1"/>
        <c:lblAlgn val="ctr"/>
        <c:lblOffset val="100"/>
        <c:noMultiLvlLbl val="0"/>
      </c:catAx>
      <c:valAx>
        <c:axId val="86860928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baseline="0"/>
                  <a:t>Número de indivíduos </a:t>
                </a:r>
                <a:r>
                  <a:rPr lang="en-US" sz="1200" b="1"/>
                  <a:t> (milhões)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854656"/>
        <c:crosses val="autoZero"/>
        <c:crossBetween val="between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 IXa CN. ABUNDANCE</a:t>
            </a:r>
          </a:p>
        </c:rich>
      </c:tx>
      <c:layout>
        <c:manualLayout>
          <c:xMode val="edge"/>
          <c:yMode val="edge"/>
          <c:x val="0.28393744531933507"/>
          <c:y val="5.092592592592592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West!$A$3:$A$28</c:f>
              <c:numCache>
                <c:formatCode>General</c:formatCode>
                <c:ptCount val="26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</c:numCache>
            </c:numRef>
          </c:cat>
          <c:val>
            <c:numRef>
              <c:f>West!$E$3:$E$28</c:f>
              <c:numCache>
                <c:formatCode>General</c:formatCode>
                <c:ptCount val="26"/>
                <c:pt idx="0">
                  <c:v>0.09</c:v>
                </c:pt>
                <c:pt idx="1">
                  <c:v>0.09</c:v>
                </c:pt>
                <c:pt idx="2">
                  <c:v>0.49399999999999999</c:v>
                </c:pt>
                <c:pt idx="3">
                  <c:v>0.76300000000000001</c:v>
                </c:pt>
                <c:pt idx="4">
                  <c:v>1.079</c:v>
                </c:pt>
                <c:pt idx="5">
                  <c:v>1.1679999999999999</c:v>
                </c:pt>
                <c:pt idx="6">
                  <c:v>1.4379999999999999</c:v>
                </c:pt>
                <c:pt idx="7">
                  <c:v>2.5609999999999999</c:v>
                </c:pt>
                <c:pt idx="8">
                  <c:v>4.125</c:v>
                </c:pt>
                <c:pt idx="9">
                  <c:v>7.7</c:v>
                </c:pt>
                <c:pt idx="10">
                  <c:v>77.924999999999997</c:v>
                </c:pt>
                <c:pt idx="11">
                  <c:v>114.44799999999999</c:v>
                </c:pt>
                <c:pt idx="12">
                  <c:v>95.257999999999996</c:v>
                </c:pt>
                <c:pt idx="13">
                  <c:v>92.206999999999994</c:v>
                </c:pt>
                <c:pt idx="14">
                  <c:v>62.454000000000001</c:v>
                </c:pt>
                <c:pt idx="15">
                  <c:v>47.564999999999998</c:v>
                </c:pt>
                <c:pt idx="16">
                  <c:v>45.374000000000002</c:v>
                </c:pt>
                <c:pt idx="17">
                  <c:v>35.015000000000001</c:v>
                </c:pt>
                <c:pt idx="18">
                  <c:v>18.463999999999999</c:v>
                </c:pt>
                <c:pt idx="19">
                  <c:v>13.337</c:v>
                </c:pt>
                <c:pt idx="20">
                  <c:v>11.525</c:v>
                </c:pt>
                <c:pt idx="21">
                  <c:v>6.8029999999999999</c:v>
                </c:pt>
                <c:pt idx="22">
                  <c:v>1.9119999999999999</c:v>
                </c:pt>
                <c:pt idx="23">
                  <c:v>2.1800000000000002</c:v>
                </c:pt>
                <c:pt idx="24">
                  <c:v>0.26900000000000002</c:v>
                </c:pt>
                <c:pt idx="25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E-2E42-8CAB-3F7C02CBA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6867328"/>
        <c:axId val="86889984"/>
      </c:barChart>
      <c:catAx>
        <c:axId val="8686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Size</a:t>
                </a:r>
                <a:r>
                  <a:rPr lang="es-ES" baseline="0"/>
                  <a:t> class (cm)</a:t>
                </a:r>
                <a:endParaRPr lang="es-ES"/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crossAx val="86889984"/>
        <c:crosses val="autoZero"/>
        <c:auto val="1"/>
        <c:lblAlgn val="ctr"/>
        <c:lblOffset val="100"/>
        <c:tickLblSkip val="2"/>
        <c:noMultiLvlLbl val="0"/>
      </c:catAx>
      <c:valAx>
        <c:axId val="868899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Number of fish (millions)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867328"/>
        <c:crosses val="autoZero"/>
        <c:crossBetween val="between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IXa CN. ABUNDANCE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West!$AE$3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cat>
          <c:val>
            <c:numRef>
              <c:f>West!$AK$32:$AM$32</c:f>
              <c:numCache>
                <c:formatCode>General</c:formatCode>
                <c:ptCount val="3"/>
                <c:pt idx="0">
                  <c:v>592.60535993415942</c:v>
                </c:pt>
                <c:pt idx="1">
                  <c:v>45.933127711528236</c:v>
                </c:pt>
                <c:pt idx="2">
                  <c:v>6.0285123543123547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0-0B41-848F-0B5E9C0E2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-27"/>
        <c:axId val="85551360"/>
        <c:axId val="85569920"/>
      </c:barChart>
      <c:catAx>
        <c:axId val="8555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569920"/>
        <c:crosses val="autoZero"/>
        <c:auto val="1"/>
        <c:lblAlgn val="ctr"/>
        <c:lblOffset val="100"/>
        <c:noMultiLvlLbl val="0"/>
      </c:catAx>
      <c:valAx>
        <c:axId val="85569920"/>
        <c:scaling>
          <c:orientation val="minMax"/>
          <c:max val="8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Number of fish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551360"/>
        <c:crosses val="autoZero"/>
        <c:crossBetween val="between"/>
        <c:minorUnit val="50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 IXa CN. ABUNDANCE</a:t>
            </a:r>
          </a:p>
        </c:rich>
      </c:tx>
      <c:layout>
        <c:manualLayout>
          <c:xMode val="edge"/>
          <c:yMode val="edge"/>
          <c:x val="0.28393744531933507"/>
          <c:y val="5.092592592592592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</c:spPr>
          <c:invertIfNegative val="0"/>
          <c:cat>
            <c:numRef>
              <c:f>West!$A$3:$A$28</c:f>
              <c:numCache>
                <c:formatCode>General</c:formatCode>
                <c:ptCount val="26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8.5</c:v>
                </c:pt>
                <c:pt idx="7">
                  <c:v>9</c:v>
                </c:pt>
                <c:pt idx="8">
                  <c:v>9.5</c:v>
                </c:pt>
                <c:pt idx="9">
                  <c:v>10</c:v>
                </c:pt>
                <c:pt idx="10">
                  <c:v>10.5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12.5</c:v>
                </c:pt>
                <c:pt idx="15">
                  <c:v>13</c:v>
                </c:pt>
                <c:pt idx="16">
                  <c:v>13.5</c:v>
                </c:pt>
                <c:pt idx="17">
                  <c:v>14</c:v>
                </c:pt>
                <c:pt idx="18">
                  <c:v>14.5</c:v>
                </c:pt>
                <c:pt idx="19">
                  <c:v>15</c:v>
                </c:pt>
                <c:pt idx="20">
                  <c:v>15.5</c:v>
                </c:pt>
                <c:pt idx="21">
                  <c:v>16</c:v>
                </c:pt>
                <c:pt idx="22">
                  <c:v>16.5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</c:numCache>
            </c:numRef>
          </c:cat>
          <c:val>
            <c:numRef>
              <c:f>West!$E$3:$E$28</c:f>
              <c:numCache>
                <c:formatCode>General</c:formatCode>
                <c:ptCount val="26"/>
                <c:pt idx="0">
                  <c:v>0.09</c:v>
                </c:pt>
                <c:pt idx="1">
                  <c:v>0.09</c:v>
                </c:pt>
                <c:pt idx="2">
                  <c:v>0.49399999999999999</c:v>
                </c:pt>
                <c:pt idx="3">
                  <c:v>0.76300000000000001</c:v>
                </c:pt>
                <c:pt idx="4">
                  <c:v>1.079</c:v>
                </c:pt>
                <c:pt idx="5">
                  <c:v>1.1679999999999999</c:v>
                </c:pt>
                <c:pt idx="6">
                  <c:v>1.4379999999999999</c:v>
                </c:pt>
                <c:pt idx="7">
                  <c:v>2.5609999999999999</c:v>
                </c:pt>
                <c:pt idx="8">
                  <c:v>4.125</c:v>
                </c:pt>
                <c:pt idx="9">
                  <c:v>7.7</c:v>
                </c:pt>
                <c:pt idx="10">
                  <c:v>77.924999999999997</c:v>
                </c:pt>
                <c:pt idx="11">
                  <c:v>114.44799999999999</c:v>
                </c:pt>
                <c:pt idx="12">
                  <c:v>95.257999999999996</c:v>
                </c:pt>
                <c:pt idx="13">
                  <c:v>92.206999999999994</c:v>
                </c:pt>
                <c:pt idx="14">
                  <c:v>62.454000000000001</c:v>
                </c:pt>
                <c:pt idx="15">
                  <c:v>47.564999999999998</c:v>
                </c:pt>
                <c:pt idx="16">
                  <c:v>45.374000000000002</c:v>
                </c:pt>
                <c:pt idx="17">
                  <c:v>35.015000000000001</c:v>
                </c:pt>
                <c:pt idx="18">
                  <c:v>18.463999999999999</c:v>
                </c:pt>
                <c:pt idx="19">
                  <c:v>13.337</c:v>
                </c:pt>
                <c:pt idx="20">
                  <c:v>11.525</c:v>
                </c:pt>
                <c:pt idx="21">
                  <c:v>6.8029999999999999</c:v>
                </c:pt>
                <c:pt idx="22">
                  <c:v>1.9119999999999999</c:v>
                </c:pt>
                <c:pt idx="23">
                  <c:v>2.1800000000000002</c:v>
                </c:pt>
                <c:pt idx="24">
                  <c:v>0.26900000000000002</c:v>
                </c:pt>
                <c:pt idx="25">
                  <c:v>0.32300000000000001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3-EC46-8851-85DE51839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5580416"/>
        <c:axId val="90194688"/>
      </c:barChart>
      <c:catAx>
        <c:axId val="8558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s-ES" sz="1100"/>
                  <a:t>Size</a:t>
                </a:r>
                <a:r>
                  <a:rPr lang="es-ES" sz="1100" baseline="0"/>
                  <a:t> class (cm)</a:t>
                </a:r>
                <a:endParaRPr lang="es-ES" sz="1100"/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crossAx val="90194688"/>
        <c:crosses val="autoZero"/>
        <c:auto val="1"/>
        <c:lblAlgn val="ctr"/>
        <c:lblOffset val="100"/>
        <c:tickLblSkip val="2"/>
        <c:noMultiLvlLbl val="0"/>
      </c:catAx>
      <c:valAx>
        <c:axId val="901946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s-ES" sz="1100"/>
                  <a:t>Number of fish (millions)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580416"/>
        <c:crosses val="autoZero"/>
        <c:crossBetween val="between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Algarve</a:t>
            </a:r>
          </a:p>
        </c:rich>
      </c:tx>
      <c:layout>
        <c:manualLayout>
          <c:xMode val="edge"/>
          <c:yMode val="edge"/>
          <c:x val="0.57361111111111152"/>
          <c:y val="0.20370370370370369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ahnchovy Algarve</c:v>
          </c:tx>
          <c:invertIfNegative val="0"/>
          <c:cat>
            <c:numRef>
              <c:f>Algarve!$A$12:$A$25</c:f>
              <c:numCache>
                <c:formatCode>General</c:formatCode>
                <c:ptCount val="14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</c:numCache>
            </c:numRef>
          </c:cat>
          <c:val>
            <c:numRef>
              <c:f>Algarve!$D$12:$D$25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1.9801101047771268E-2</c:v>
                </c:pt>
                <c:pt idx="3">
                  <c:v>0.12379810741558211</c:v>
                </c:pt>
                <c:pt idx="4">
                  <c:v>0.31709668417180403</c:v>
                </c:pt>
                <c:pt idx="5">
                  <c:v>0.26210137757820229</c:v>
                </c:pt>
                <c:pt idx="6">
                  <c:v>8.0301646497704035E-2</c:v>
                </c:pt>
                <c:pt idx="7">
                  <c:v>0.1061978334221275</c:v>
                </c:pt>
                <c:pt idx="8">
                  <c:v>5.6999517974478019E-2</c:v>
                </c:pt>
                <c:pt idx="9">
                  <c:v>2.0701727680949845E-2</c:v>
                </c:pt>
                <c:pt idx="10">
                  <c:v>1.0401603369104701E-2</c:v>
                </c:pt>
                <c:pt idx="11">
                  <c:v>2.6004008422761751E-3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E-9E4F-A1AF-1BBBA0CBF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235264"/>
        <c:axId val="90236800"/>
      </c:barChart>
      <c:catAx>
        <c:axId val="9023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236800"/>
        <c:crosses val="autoZero"/>
        <c:auto val="1"/>
        <c:lblAlgn val="ctr"/>
        <c:lblOffset val="100"/>
        <c:noMultiLvlLbl val="0"/>
      </c:catAx>
      <c:valAx>
        <c:axId val="90236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023526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PELAGO 15 - ALGARVE</a:t>
            </a:r>
            <a:endParaRPr lang="en-US" sz="1200" b="1" baseline="0"/>
          </a:p>
          <a:p>
            <a:pPr>
              <a:defRPr sz="1200" b="1"/>
            </a:pPr>
            <a:r>
              <a:rPr lang="en-US" sz="1200" b="1" baseline="0"/>
              <a:t>Anchovy Age distribution (Number)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Algarve!$AE$3</c:f>
              <c:strCache>
                <c:ptCount val="1"/>
                <c:pt idx="0">
                  <c:v>AGE GROUP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cat>
          <c:val>
            <c:numRef>
              <c:f>Algarve!$AE$32:$AG$32</c:f>
              <c:numCache>
                <c:formatCode>General</c:formatCode>
                <c:ptCount val="3"/>
                <c:pt idx="0">
                  <c:v>137649.30000000002</c:v>
                </c:pt>
                <c:pt idx="1">
                  <c:v>20018.7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4-734B-8559-8F6B020BE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-27"/>
        <c:axId val="86952192"/>
        <c:axId val="86962560"/>
      </c:barChart>
      <c:catAx>
        <c:axId val="8695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="1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962560"/>
        <c:crosses val="autoZero"/>
        <c:auto val="1"/>
        <c:lblAlgn val="ctr"/>
        <c:lblOffset val="100"/>
        <c:noMultiLvlLbl val="0"/>
      </c:catAx>
      <c:valAx>
        <c:axId val="86962560"/>
        <c:scaling>
          <c:orientation val="minMax"/>
          <c:max val="1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Abundance (thousands)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952192"/>
        <c:crosses val="autoZero"/>
        <c:crossBetween val="between"/>
        <c:majorUnit val="25000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5</xdr:row>
      <xdr:rowOff>133350</xdr:rowOff>
    </xdr:from>
    <xdr:to>
      <xdr:col>13</xdr:col>
      <xdr:colOff>285750</xdr:colOff>
      <xdr:row>20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609599</xdr:colOff>
      <xdr:row>1</xdr:row>
      <xdr:rowOff>0</xdr:rowOff>
    </xdr:from>
    <xdr:to>
      <xdr:col>50</xdr:col>
      <xdr:colOff>142875</xdr:colOff>
      <xdr:row>21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0</xdr:colOff>
      <xdr:row>23</xdr:row>
      <xdr:rowOff>0</xdr:rowOff>
    </xdr:from>
    <xdr:to>
      <xdr:col>50</xdr:col>
      <xdr:colOff>142876</xdr:colOff>
      <xdr:row>43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0</xdr:colOff>
      <xdr:row>1</xdr:row>
      <xdr:rowOff>0</xdr:rowOff>
    </xdr:from>
    <xdr:to>
      <xdr:col>60</xdr:col>
      <xdr:colOff>142876</xdr:colOff>
      <xdr:row>21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22</xdr:row>
      <xdr:rowOff>0</xdr:rowOff>
    </xdr:from>
    <xdr:to>
      <xdr:col>13</xdr:col>
      <xdr:colOff>304800</xdr:colOff>
      <xdr:row>36</xdr:row>
      <xdr:rowOff>76200</xdr:rowOff>
    </xdr:to>
    <xdr:graphicFrame macro="">
      <xdr:nvGraphicFramePr>
        <xdr:cNvPr id="6" name="Gráfico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38101</xdr:colOff>
      <xdr:row>37</xdr:row>
      <xdr:rowOff>38101</xdr:rowOff>
    </xdr:from>
    <xdr:to>
      <xdr:col>28</xdr:col>
      <xdr:colOff>28575</xdr:colOff>
      <xdr:row>51</xdr:row>
      <xdr:rowOff>171450</xdr:rowOff>
    </xdr:to>
    <xdr:graphicFrame macro="">
      <xdr:nvGraphicFramePr>
        <xdr:cNvPr id="7" name="Gráfico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9525</xdr:colOff>
      <xdr:row>37</xdr:row>
      <xdr:rowOff>19050</xdr:rowOff>
    </xdr:from>
    <xdr:to>
      <xdr:col>21</xdr:col>
      <xdr:colOff>1</xdr:colOff>
      <xdr:row>51</xdr:row>
      <xdr:rowOff>95250</xdr:rowOff>
    </xdr:to>
    <xdr:graphicFrame macro="">
      <xdr:nvGraphicFramePr>
        <xdr:cNvPr id="8" name="Gráfico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10</xdr:row>
      <xdr:rowOff>19050</xdr:rowOff>
    </xdr:from>
    <xdr:to>
      <xdr:col>14</xdr:col>
      <xdr:colOff>533400</xdr:colOff>
      <xdr:row>24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0</xdr:colOff>
      <xdr:row>1</xdr:row>
      <xdr:rowOff>0</xdr:rowOff>
    </xdr:from>
    <xdr:to>
      <xdr:col>44</xdr:col>
      <xdr:colOff>142876</xdr:colOff>
      <xdr:row>21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0</xdr:colOff>
      <xdr:row>23</xdr:row>
      <xdr:rowOff>0</xdr:rowOff>
    </xdr:from>
    <xdr:to>
      <xdr:col>44</xdr:col>
      <xdr:colOff>142876</xdr:colOff>
      <xdr:row>43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0</xdr:colOff>
      <xdr:row>1</xdr:row>
      <xdr:rowOff>0</xdr:rowOff>
    </xdr:from>
    <xdr:to>
      <xdr:col>54</xdr:col>
      <xdr:colOff>142876</xdr:colOff>
      <xdr:row>21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10</xdr:row>
      <xdr:rowOff>19050</xdr:rowOff>
    </xdr:from>
    <xdr:to>
      <xdr:col>14</xdr:col>
      <xdr:colOff>533400</xdr:colOff>
      <xdr:row>24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0</xdr:colOff>
      <xdr:row>1</xdr:row>
      <xdr:rowOff>0</xdr:rowOff>
    </xdr:from>
    <xdr:to>
      <xdr:col>44</xdr:col>
      <xdr:colOff>142876</xdr:colOff>
      <xdr:row>21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0</xdr:colOff>
      <xdr:row>23</xdr:row>
      <xdr:rowOff>0</xdr:rowOff>
    </xdr:from>
    <xdr:to>
      <xdr:col>44</xdr:col>
      <xdr:colOff>142876</xdr:colOff>
      <xdr:row>43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0</xdr:colOff>
      <xdr:row>1</xdr:row>
      <xdr:rowOff>0</xdr:rowOff>
    </xdr:from>
    <xdr:to>
      <xdr:col>54</xdr:col>
      <xdr:colOff>142876</xdr:colOff>
      <xdr:row>21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7</xdr:row>
      <xdr:rowOff>0</xdr:rowOff>
    </xdr:from>
    <xdr:to>
      <xdr:col>21</xdr:col>
      <xdr:colOff>447676</xdr:colOff>
      <xdr:row>21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66675</xdr:colOff>
      <xdr:row>22</xdr:row>
      <xdr:rowOff>0</xdr:rowOff>
    </xdr:from>
    <xdr:to>
      <xdr:col>21</xdr:col>
      <xdr:colOff>514349</xdr:colOff>
      <xdr:row>36</xdr:row>
      <xdr:rowOff>133349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0</xdr:colOff>
      <xdr:row>1</xdr:row>
      <xdr:rowOff>0</xdr:rowOff>
    </xdr:from>
    <xdr:to>
      <xdr:col>44</xdr:col>
      <xdr:colOff>142876</xdr:colOff>
      <xdr:row>21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0</xdr:colOff>
      <xdr:row>23</xdr:row>
      <xdr:rowOff>0</xdr:rowOff>
    </xdr:from>
    <xdr:to>
      <xdr:col>44</xdr:col>
      <xdr:colOff>142876</xdr:colOff>
      <xdr:row>43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0</xdr:colOff>
      <xdr:row>1</xdr:row>
      <xdr:rowOff>0</xdr:rowOff>
    </xdr:from>
    <xdr:to>
      <xdr:col>54</xdr:col>
      <xdr:colOff>142876</xdr:colOff>
      <xdr:row>21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609599</xdr:colOff>
      <xdr:row>5</xdr:row>
      <xdr:rowOff>190499</xdr:rowOff>
    </xdr:from>
    <xdr:to>
      <xdr:col>14</xdr:col>
      <xdr:colOff>428624</xdr:colOff>
      <xdr:row>22</xdr:row>
      <xdr:rowOff>180974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0</xdr:colOff>
      <xdr:row>46</xdr:row>
      <xdr:rowOff>0</xdr:rowOff>
    </xdr:from>
    <xdr:to>
      <xdr:col>44</xdr:col>
      <xdr:colOff>142876</xdr:colOff>
      <xdr:row>65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0</xdr:colOff>
      <xdr:row>68</xdr:row>
      <xdr:rowOff>0</xdr:rowOff>
    </xdr:from>
    <xdr:to>
      <xdr:col>44</xdr:col>
      <xdr:colOff>142876</xdr:colOff>
      <xdr:row>88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0</xdr:colOff>
      <xdr:row>46</xdr:row>
      <xdr:rowOff>0</xdr:rowOff>
    </xdr:from>
    <xdr:to>
      <xdr:col>55</xdr:col>
      <xdr:colOff>142876</xdr:colOff>
      <xdr:row>65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49</xdr:row>
      <xdr:rowOff>0</xdr:rowOff>
    </xdr:from>
    <xdr:to>
      <xdr:col>13</xdr:col>
      <xdr:colOff>428625</xdr:colOff>
      <xdr:row>65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4"/>
  <sheetViews>
    <sheetView zoomScaleNormal="100" workbookViewId="0">
      <selection activeCell="C44" sqref="C44"/>
    </sheetView>
  </sheetViews>
  <sheetFormatPr baseColWidth="10" defaultColWidth="9.109375" defaultRowHeight="14.4"/>
  <cols>
    <col min="30" max="35" width="10.109375" customWidth="1"/>
  </cols>
  <sheetData>
    <row r="1" spans="1:40" ht="21">
      <c r="A1" t="s">
        <v>0</v>
      </c>
      <c r="B1" t="s">
        <v>1</v>
      </c>
      <c r="C1" t="s">
        <v>2</v>
      </c>
      <c r="Q1" s="97" t="s">
        <v>5</v>
      </c>
      <c r="R1" s="97"/>
      <c r="S1" s="97"/>
      <c r="T1" s="97"/>
      <c r="U1" s="97"/>
      <c r="W1" s="97" t="s">
        <v>5</v>
      </c>
      <c r="X1" s="97"/>
      <c r="Y1" s="97"/>
      <c r="Z1" s="97"/>
      <c r="AA1" s="97"/>
      <c r="AB1" s="20"/>
      <c r="AD1" s="98" t="s">
        <v>5</v>
      </c>
      <c r="AE1" s="98"/>
      <c r="AF1" s="98"/>
      <c r="AG1" s="98"/>
      <c r="AH1" s="98"/>
    </row>
    <row r="2" spans="1:40">
      <c r="A2">
        <v>5</v>
      </c>
      <c r="B2">
        <v>0</v>
      </c>
      <c r="C2">
        <v>0</v>
      </c>
      <c r="D2">
        <f>B2/644567</f>
        <v>0</v>
      </c>
      <c r="E2">
        <f>B2/1000</f>
        <v>0</v>
      </c>
      <c r="W2" s="20"/>
      <c r="X2" s="20"/>
      <c r="Y2" s="9" t="s">
        <v>15</v>
      </c>
      <c r="Z2" s="20"/>
      <c r="AA2" s="20"/>
      <c r="AB2" s="20"/>
      <c r="AD2" s="99" t="s">
        <v>17</v>
      </c>
      <c r="AE2" s="99"/>
      <c r="AF2" s="99"/>
      <c r="AG2" s="99"/>
      <c r="AH2" s="99"/>
    </row>
    <row r="3" spans="1:40">
      <c r="A3">
        <v>5.5</v>
      </c>
      <c r="B3">
        <v>90</v>
      </c>
      <c r="C3">
        <v>0</v>
      </c>
      <c r="D3">
        <f>B3/644567</f>
        <v>1.3962861890230184E-4</v>
      </c>
      <c r="E3">
        <f t="shared" ref="E3:E43" si="0">B3/1000</f>
        <v>0.09</v>
      </c>
      <c r="Q3" s="95" t="s">
        <v>6</v>
      </c>
      <c r="R3" s="100" t="s">
        <v>7</v>
      </c>
      <c r="S3" s="100"/>
      <c r="T3" s="100"/>
      <c r="U3" s="95" t="s">
        <v>8</v>
      </c>
      <c r="W3" s="95" t="s">
        <v>6</v>
      </c>
      <c r="X3" s="101" t="s">
        <v>7</v>
      </c>
      <c r="Y3" s="102"/>
      <c r="Z3" s="102"/>
      <c r="AA3" s="95" t="s">
        <v>8</v>
      </c>
      <c r="AB3" s="9"/>
      <c r="AD3" s="91" t="s">
        <v>6</v>
      </c>
      <c r="AE3" s="93" t="s">
        <v>7</v>
      </c>
      <c r="AF3" s="94"/>
      <c r="AG3" s="94"/>
      <c r="AH3" s="91" t="s">
        <v>8</v>
      </c>
      <c r="AJ3" s="91" t="s">
        <v>6</v>
      </c>
      <c r="AK3" s="93" t="s">
        <v>7</v>
      </c>
      <c r="AL3" s="94"/>
      <c r="AM3" s="94"/>
      <c r="AN3" s="91" t="s">
        <v>8</v>
      </c>
    </row>
    <row r="4" spans="1:40">
      <c r="A4">
        <v>6</v>
      </c>
      <c r="B4">
        <v>90</v>
      </c>
      <c r="C4">
        <v>0</v>
      </c>
      <c r="D4">
        <f t="shared" ref="D4:D43" si="1">B4/644567</f>
        <v>1.3962861890230184E-4</v>
      </c>
      <c r="E4">
        <f t="shared" si="0"/>
        <v>0.09</v>
      </c>
      <c r="Q4" s="96"/>
      <c r="R4" s="7">
        <v>1</v>
      </c>
      <c r="S4" s="7">
        <v>2</v>
      </c>
      <c r="T4" s="7">
        <v>3</v>
      </c>
      <c r="U4" s="96"/>
      <c r="W4" s="96"/>
      <c r="X4" s="22">
        <v>1</v>
      </c>
      <c r="Y4" s="13">
        <v>2</v>
      </c>
      <c r="Z4" s="20">
        <v>3</v>
      </c>
      <c r="AA4" s="96"/>
      <c r="AB4" s="9"/>
      <c r="AD4" s="92"/>
      <c r="AE4" s="35">
        <v>1</v>
      </c>
      <c r="AF4" s="36">
        <v>2</v>
      </c>
      <c r="AG4" s="37">
        <v>3</v>
      </c>
      <c r="AH4" s="92"/>
      <c r="AJ4" s="92"/>
      <c r="AK4" s="35">
        <v>1</v>
      </c>
      <c r="AL4" s="36">
        <v>2</v>
      </c>
      <c r="AM4" s="37">
        <v>3</v>
      </c>
      <c r="AN4" s="92"/>
    </row>
    <row r="5" spans="1:40">
      <c r="A5">
        <v>6.5</v>
      </c>
      <c r="B5">
        <v>494</v>
      </c>
      <c r="C5">
        <v>1</v>
      </c>
      <c r="D5">
        <f t="shared" si="1"/>
        <v>7.6640597486374578E-4</v>
      </c>
      <c r="E5">
        <f t="shared" si="0"/>
        <v>0.49399999999999999</v>
      </c>
      <c r="Q5" s="8">
        <v>5</v>
      </c>
      <c r="U5" s="11"/>
      <c r="W5" s="29">
        <v>5</v>
      </c>
      <c r="X5" s="30"/>
      <c r="Z5" s="31"/>
      <c r="AA5" s="32"/>
      <c r="AB5" s="21"/>
      <c r="AC5">
        <v>5.25</v>
      </c>
      <c r="AD5" s="38">
        <v>5</v>
      </c>
      <c r="AE5" s="39">
        <f>+X5*$B2</f>
        <v>0</v>
      </c>
      <c r="AF5" s="39">
        <f t="shared" ref="AF5:AG20" si="2">+Y5*$B2</f>
        <v>0</v>
      </c>
      <c r="AG5" s="39">
        <f t="shared" si="2"/>
        <v>0</v>
      </c>
      <c r="AH5" s="40"/>
      <c r="AJ5" s="38">
        <v>5</v>
      </c>
      <c r="AK5">
        <f>AE5/1000</f>
        <v>0</v>
      </c>
      <c r="AL5">
        <f t="shared" ref="AL5:AN5" si="3">AF5/1000</f>
        <v>0</v>
      </c>
      <c r="AM5">
        <f t="shared" si="3"/>
        <v>0</v>
      </c>
      <c r="AN5">
        <f t="shared" si="3"/>
        <v>0</v>
      </c>
    </row>
    <row r="6" spans="1:40">
      <c r="A6">
        <v>7</v>
      </c>
      <c r="B6">
        <v>763</v>
      </c>
      <c r="C6">
        <v>2</v>
      </c>
      <c r="D6">
        <f t="shared" si="1"/>
        <v>1.1837404024717369E-3</v>
      </c>
      <c r="E6">
        <f t="shared" si="0"/>
        <v>0.76300000000000001</v>
      </c>
      <c r="Q6" s="8">
        <v>5.5</v>
      </c>
      <c r="R6">
        <v>1</v>
      </c>
      <c r="U6" s="11">
        <v>1</v>
      </c>
      <c r="W6" s="29">
        <v>5.5</v>
      </c>
      <c r="X6" s="24">
        <f t="shared" ref="X6:X11" si="4">+R6/$U6</f>
        <v>1</v>
      </c>
      <c r="Y6">
        <f t="shared" ref="Y6:Z11" si="5">+S6/$U6</f>
        <v>0</v>
      </c>
      <c r="Z6" s="25">
        <f t="shared" si="5"/>
        <v>0</v>
      </c>
      <c r="AA6" s="28">
        <f>SUM(X6:Z6)</f>
        <v>1</v>
      </c>
      <c r="AC6">
        <v>5.75</v>
      </c>
      <c r="AD6" s="41">
        <v>5.5</v>
      </c>
      <c r="AE6" s="39">
        <f t="shared" ref="AE6:AG31" si="6">+X6*$B3</f>
        <v>90</v>
      </c>
      <c r="AF6" s="39">
        <f t="shared" si="2"/>
        <v>0</v>
      </c>
      <c r="AG6" s="39">
        <f t="shared" si="2"/>
        <v>0</v>
      </c>
      <c r="AH6" s="42">
        <f>SUM(AE6:AG6)</f>
        <v>90</v>
      </c>
      <c r="AJ6" s="41">
        <v>5.5</v>
      </c>
      <c r="AK6">
        <f t="shared" ref="AK6:AK32" si="7">AE6/1000</f>
        <v>0.09</v>
      </c>
      <c r="AL6">
        <f t="shared" ref="AL6:AL32" si="8">AF6/1000</f>
        <v>0</v>
      </c>
      <c r="AM6">
        <f t="shared" ref="AM6:AM32" si="9">AG6/1000</f>
        <v>0</v>
      </c>
      <c r="AN6">
        <f t="shared" ref="AN6:AN32" si="10">AH6/1000</f>
        <v>0.09</v>
      </c>
    </row>
    <row r="7" spans="1:40">
      <c r="A7">
        <v>7.5</v>
      </c>
      <c r="B7">
        <v>1079</v>
      </c>
      <c r="C7">
        <v>3</v>
      </c>
      <c r="D7">
        <f t="shared" si="1"/>
        <v>1.6739919977287077E-3</v>
      </c>
      <c r="E7">
        <f t="shared" si="0"/>
        <v>1.079</v>
      </c>
      <c r="Q7" s="8">
        <v>6</v>
      </c>
      <c r="R7">
        <v>1</v>
      </c>
      <c r="U7" s="11">
        <v>1</v>
      </c>
      <c r="W7" s="29">
        <v>6</v>
      </c>
      <c r="X7" s="24">
        <f t="shared" si="4"/>
        <v>1</v>
      </c>
      <c r="Y7">
        <f t="shared" si="5"/>
        <v>0</v>
      </c>
      <c r="Z7" s="25">
        <f t="shared" si="5"/>
        <v>0</v>
      </c>
      <c r="AA7" s="28">
        <f t="shared" ref="AA7:AA31" si="11">SUM(X7:Z7)</f>
        <v>1</v>
      </c>
      <c r="AC7">
        <v>6.25</v>
      </c>
      <c r="AD7" s="41">
        <v>6</v>
      </c>
      <c r="AE7" s="39">
        <f t="shared" si="6"/>
        <v>90</v>
      </c>
      <c r="AF7" s="39">
        <f t="shared" si="2"/>
        <v>0</v>
      </c>
      <c r="AG7" s="39">
        <f t="shared" si="2"/>
        <v>0</v>
      </c>
      <c r="AH7" s="42">
        <f t="shared" ref="AH7:AH31" si="12">SUM(AE7:AG7)</f>
        <v>90</v>
      </c>
      <c r="AJ7" s="41">
        <v>6</v>
      </c>
      <c r="AK7">
        <f t="shared" si="7"/>
        <v>0.09</v>
      </c>
      <c r="AL7">
        <f t="shared" si="8"/>
        <v>0</v>
      </c>
      <c r="AM7">
        <f t="shared" si="9"/>
        <v>0</v>
      </c>
      <c r="AN7">
        <f t="shared" si="10"/>
        <v>0.09</v>
      </c>
    </row>
    <row r="8" spans="1:40">
      <c r="A8">
        <v>8</v>
      </c>
      <c r="B8">
        <v>1168</v>
      </c>
      <c r="C8">
        <v>4</v>
      </c>
      <c r="D8">
        <f t="shared" si="1"/>
        <v>1.8120691875320952E-3</v>
      </c>
      <c r="E8">
        <f t="shared" si="0"/>
        <v>1.1679999999999999</v>
      </c>
      <c r="Q8" s="8">
        <v>6.5</v>
      </c>
      <c r="R8">
        <v>8</v>
      </c>
      <c r="U8" s="11">
        <v>8</v>
      </c>
      <c r="W8" s="29">
        <v>6.5</v>
      </c>
      <c r="X8" s="24">
        <f t="shared" si="4"/>
        <v>1</v>
      </c>
      <c r="Y8">
        <f t="shared" si="5"/>
        <v>0</v>
      </c>
      <c r="Z8" s="25">
        <f t="shared" si="5"/>
        <v>0</v>
      </c>
      <c r="AA8" s="28">
        <f t="shared" si="11"/>
        <v>1</v>
      </c>
      <c r="AC8">
        <v>6.75</v>
      </c>
      <c r="AD8" s="41">
        <v>6.5</v>
      </c>
      <c r="AE8" s="39">
        <f t="shared" si="6"/>
        <v>494</v>
      </c>
      <c r="AF8" s="39">
        <f t="shared" si="2"/>
        <v>0</v>
      </c>
      <c r="AG8" s="39">
        <f t="shared" si="2"/>
        <v>0</v>
      </c>
      <c r="AH8" s="42">
        <f t="shared" si="12"/>
        <v>494</v>
      </c>
      <c r="AJ8" s="41">
        <v>6.5</v>
      </c>
      <c r="AK8">
        <f t="shared" si="7"/>
        <v>0.49399999999999999</v>
      </c>
      <c r="AL8">
        <f t="shared" si="8"/>
        <v>0</v>
      </c>
      <c r="AM8">
        <f t="shared" si="9"/>
        <v>0</v>
      </c>
      <c r="AN8">
        <f t="shared" si="10"/>
        <v>0.49399999999999999</v>
      </c>
    </row>
    <row r="9" spans="1:40">
      <c r="A9">
        <v>8.5</v>
      </c>
      <c r="B9">
        <v>1438</v>
      </c>
      <c r="C9">
        <v>5</v>
      </c>
      <c r="D9">
        <f t="shared" si="1"/>
        <v>2.2309550442390007E-3</v>
      </c>
      <c r="E9">
        <f t="shared" si="0"/>
        <v>1.4379999999999999</v>
      </c>
      <c r="Q9" s="8">
        <v>7</v>
      </c>
      <c r="R9">
        <v>8</v>
      </c>
      <c r="U9" s="11">
        <v>8</v>
      </c>
      <c r="W9" s="29">
        <v>7</v>
      </c>
      <c r="X9" s="24">
        <f t="shared" si="4"/>
        <v>1</v>
      </c>
      <c r="Y9">
        <f t="shared" si="5"/>
        <v>0</v>
      </c>
      <c r="Z9" s="25">
        <f t="shared" si="5"/>
        <v>0</v>
      </c>
      <c r="AA9" s="28">
        <f t="shared" si="11"/>
        <v>1</v>
      </c>
      <c r="AC9">
        <v>7.25</v>
      </c>
      <c r="AD9" s="41">
        <v>7</v>
      </c>
      <c r="AE9" s="39">
        <f t="shared" si="6"/>
        <v>763</v>
      </c>
      <c r="AF9" s="39">
        <f t="shared" si="2"/>
        <v>0</v>
      </c>
      <c r="AG9" s="39">
        <f t="shared" si="2"/>
        <v>0</v>
      </c>
      <c r="AH9" s="42">
        <f t="shared" si="12"/>
        <v>763</v>
      </c>
      <c r="AJ9" s="41">
        <v>7</v>
      </c>
      <c r="AK9">
        <f t="shared" si="7"/>
        <v>0.76300000000000001</v>
      </c>
      <c r="AL9">
        <f t="shared" si="8"/>
        <v>0</v>
      </c>
      <c r="AM9">
        <f t="shared" si="9"/>
        <v>0</v>
      </c>
      <c r="AN9">
        <f t="shared" si="10"/>
        <v>0.76300000000000001</v>
      </c>
    </row>
    <row r="10" spans="1:40">
      <c r="A10">
        <v>9</v>
      </c>
      <c r="B10">
        <v>2561</v>
      </c>
      <c r="C10">
        <v>12</v>
      </c>
      <c r="D10">
        <f t="shared" si="1"/>
        <v>3.9732099223199454E-3</v>
      </c>
      <c r="E10">
        <f t="shared" si="0"/>
        <v>2.5609999999999999</v>
      </c>
      <c r="Q10" s="8">
        <v>7.5</v>
      </c>
      <c r="R10">
        <v>7</v>
      </c>
      <c r="U10" s="11">
        <v>7</v>
      </c>
      <c r="W10" s="29">
        <v>7.5</v>
      </c>
      <c r="X10" s="24">
        <f t="shared" si="4"/>
        <v>1</v>
      </c>
      <c r="Y10">
        <f t="shared" si="5"/>
        <v>0</v>
      </c>
      <c r="Z10" s="25">
        <f t="shared" si="5"/>
        <v>0</v>
      </c>
      <c r="AA10" s="28">
        <f t="shared" si="11"/>
        <v>1</v>
      </c>
      <c r="AC10">
        <v>7.75</v>
      </c>
      <c r="AD10" s="41">
        <v>7.5</v>
      </c>
      <c r="AE10" s="39">
        <f t="shared" si="6"/>
        <v>1079</v>
      </c>
      <c r="AF10" s="39">
        <f t="shared" si="2"/>
        <v>0</v>
      </c>
      <c r="AG10" s="39">
        <f t="shared" si="2"/>
        <v>0</v>
      </c>
      <c r="AH10" s="42">
        <f t="shared" si="12"/>
        <v>1079</v>
      </c>
      <c r="AJ10" s="41">
        <v>7.5</v>
      </c>
      <c r="AK10">
        <f t="shared" si="7"/>
        <v>1.079</v>
      </c>
      <c r="AL10">
        <f t="shared" si="8"/>
        <v>0</v>
      </c>
      <c r="AM10">
        <f t="shared" si="9"/>
        <v>0</v>
      </c>
      <c r="AN10">
        <f t="shared" si="10"/>
        <v>1.079</v>
      </c>
    </row>
    <row r="11" spans="1:40">
      <c r="A11">
        <v>9.5</v>
      </c>
      <c r="B11">
        <v>4125</v>
      </c>
      <c r="C11">
        <v>22</v>
      </c>
      <c r="D11">
        <f t="shared" si="1"/>
        <v>6.3996450330221681E-3</v>
      </c>
      <c r="E11">
        <f t="shared" si="0"/>
        <v>4.125</v>
      </c>
      <c r="Q11" s="8">
        <v>8</v>
      </c>
      <c r="R11">
        <v>8</v>
      </c>
      <c r="U11" s="11">
        <v>8</v>
      </c>
      <c r="W11" s="29">
        <v>8</v>
      </c>
      <c r="X11" s="24">
        <f t="shared" si="4"/>
        <v>1</v>
      </c>
      <c r="Y11">
        <f t="shared" si="5"/>
        <v>0</v>
      </c>
      <c r="Z11" s="25">
        <f t="shared" si="5"/>
        <v>0</v>
      </c>
      <c r="AA11" s="28">
        <f t="shared" si="11"/>
        <v>1</v>
      </c>
      <c r="AC11">
        <v>8.25</v>
      </c>
      <c r="AD11" s="41">
        <v>8</v>
      </c>
      <c r="AE11" s="39">
        <f t="shared" si="6"/>
        <v>1168</v>
      </c>
      <c r="AF11" s="39">
        <f t="shared" si="2"/>
        <v>0</v>
      </c>
      <c r="AG11" s="39">
        <f t="shared" si="2"/>
        <v>0</v>
      </c>
      <c r="AH11" s="42">
        <f t="shared" si="12"/>
        <v>1168</v>
      </c>
      <c r="AJ11" s="41">
        <v>8</v>
      </c>
      <c r="AK11">
        <f t="shared" si="7"/>
        <v>1.1679999999999999</v>
      </c>
      <c r="AL11">
        <f t="shared" si="8"/>
        <v>0</v>
      </c>
      <c r="AM11">
        <f t="shared" si="9"/>
        <v>0</v>
      </c>
      <c r="AN11">
        <f t="shared" si="10"/>
        <v>1.1679999999999999</v>
      </c>
    </row>
    <row r="12" spans="1:40">
      <c r="A12">
        <v>10</v>
      </c>
      <c r="B12">
        <v>7700</v>
      </c>
      <c r="C12">
        <v>49</v>
      </c>
      <c r="D12">
        <f t="shared" si="1"/>
        <v>1.1946004061641381E-2</v>
      </c>
      <c r="E12">
        <f t="shared" si="0"/>
        <v>7.7</v>
      </c>
      <c r="Q12" s="8">
        <v>8.5</v>
      </c>
      <c r="R12">
        <v>10</v>
      </c>
      <c r="U12" s="11">
        <v>10</v>
      </c>
      <c r="W12" s="29">
        <v>8.5</v>
      </c>
      <c r="X12" s="24">
        <f>+R12/$U12</f>
        <v>1</v>
      </c>
      <c r="Y12">
        <f t="shared" ref="Y12:Z27" si="13">+S12/$U12</f>
        <v>0</v>
      </c>
      <c r="Z12" s="25">
        <f t="shared" si="13"/>
        <v>0</v>
      </c>
      <c r="AA12" s="28">
        <f t="shared" si="11"/>
        <v>1</v>
      </c>
      <c r="AC12">
        <v>8.75</v>
      </c>
      <c r="AD12" s="41">
        <v>8.5</v>
      </c>
      <c r="AE12" s="39">
        <f t="shared" si="6"/>
        <v>1438</v>
      </c>
      <c r="AF12" s="39">
        <f t="shared" si="2"/>
        <v>0</v>
      </c>
      <c r="AG12" s="39">
        <f t="shared" si="2"/>
        <v>0</v>
      </c>
      <c r="AH12" s="42">
        <f t="shared" si="12"/>
        <v>1438</v>
      </c>
      <c r="AJ12" s="41">
        <v>8.5</v>
      </c>
      <c r="AK12">
        <f t="shared" si="7"/>
        <v>1.4379999999999999</v>
      </c>
      <c r="AL12">
        <f t="shared" si="8"/>
        <v>0</v>
      </c>
      <c r="AM12">
        <f t="shared" si="9"/>
        <v>0</v>
      </c>
      <c r="AN12">
        <f t="shared" si="10"/>
        <v>1.4379999999999999</v>
      </c>
    </row>
    <row r="13" spans="1:40">
      <c r="A13">
        <v>10.5</v>
      </c>
      <c r="B13">
        <v>77925</v>
      </c>
      <c r="C13">
        <v>586</v>
      </c>
      <c r="D13">
        <f t="shared" si="1"/>
        <v>0.12089511253290969</v>
      </c>
      <c r="E13">
        <f t="shared" si="0"/>
        <v>77.924999999999997</v>
      </c>
      <c r="Q13" s="8">
        <v>9</v>
      </c>
      <c r="R13">
        <v>10</v>
      </c>
      <c r="U13" s="11">
        <v>10</v>
      </c>
      <c r="W13" s="29">
        <v>9</v>
      </c>
      <c r="X13" s="24">
        <f t="shared" ref="X13:X31" si="14">+R13/$U13</f>
        <v>1</v>
      </c>
      <c r="Y13">
        <f t="shared" si="13"/>
        <v>0</v>
      </c>
      <c r="Z13" s="25">
        <f t="shared" si="13"/>
        <v>0</v>
      </c>
      <c r="AA13" s="28">
        <f t="shared" si="11"/>
        <v>1</v>
      </c>
      <c r="AC13">
        <v>9.25</v>
      </c>
      <c r="AD13" s="41">
        <v>9</v>
      </c>
      <c r="AE13" s="39">
        <f t="shared" si="6"/>
        <v>2561</v>
      </c>
      <c r="AF13" s="39">
        <f t="shared" si="2"/>
        <v>0</v>
      </c>
      <c r="AG13" s="39">
        <f t="shared" si="2"/>
        <v>0</v>
      </c>
      <c r="AH13" s="42">
        <f t="shared" si="12"/>
        <v>2561</v>
      </c>
      <c r="AJ13" s="41">
        <v>9</v>
      </c>
      <c r="AK13">
        <f t="shared" si="7"/>
        <v>2.5609999999999999</v>
      </c>
      <c r="AL13">
        <f t="shared" si="8"/>
        <v>0</v>
      </c>
      <c r="AM13">
        <f t="shared" si="9"/>
        <v>0</v>
      </c>
      <c r="AN13">
        <f t="shared" si="10"/>
        <v>2.5609999999999999</v>
      </c>
    </row>
    <row r="14" spans="1:40">
      <c r="A14">
        <v>11</v>
      </c>
      <c r="B14">
        <v>114448</v>
      </c>
      <c r="C14">
        <v>1006</v>
      </c>
      <c r="D14">
        <f t="shared" si="1"/>
        <v>0.1775579575125627</v>
      </c>
      <c r="E14">
        <f t="shared" si="0"/>
        <v>114.44799999999999</v>
      </c>
      <c r="Q14" s="8">
        <v>9.5</v>
      </c>
      <c r="R14">
        <v>17</v>
      </c>
      <c r="U14" s="11">
        <v>17</v>
      </c>
      <c r="W14" s="29">
        <v>9.5</v>
      </c>
      <c r="X14" s="24">
        <f t="shared" si="14"/>
        <v>1</v>
      </c>
      <c r="Y14">
        <f t="shared" si="13"/>
        <v>0</v>
      </c>
      <c r="Z14" s="25">
        <f t="shared" si="13"/>
        <v>0</v>
      </c>
      <c r="AA14" s="28">
        <f t="shared" si="11"/>
        <v>1</v>
      </c>
      <c r="AC14">
        <v>9.75</v>
      </c>
      <c r="AD14" s="41">
        <v>9.5</v>
      </c>
      <c r="AE14" s="39">
        <f t="shared" si="6"/>
        <v>4125</v>
      </c>
      <c r="AF14" s="39">
        <f t="shared" si="2"/>
        <v>0</v>
      </c>
      <c r="AG14" s="39">
        <f t="shared" si="2"/>
        <v>0</v>
      </c>
      <c r="AH14" s="42">
        <f t="shared" si="12"/>
        <v>4125</v>
      </c>
      <c r="AJ14" s="41">
        <v>9.5</v>
      </c>
      <c r="AK14">
        <f t="shared" si="7"/>
        <v>4.125</v>
      </c>
      <c r="AL14">
        <f t="shared" si="8"/>
        <v>0</v>
      </c>
      <c r="AM14">
        <f t="shared" si="9"/>
        <v>0</v>
      </c>
      <c r="AN14">
        <f t="shared" si="10"/>
        <v>4.125</v>
      </c>
    </row>
    <row r="15" spans="1:40">
      <c r="A15">
        <v>11.5</v>
      </c>
      <c r="B15">
        <v>95258</v>
      </c>
      <c r="C15">
        <v>971</v>
      </c>
      <c r="D15">
        <f t="shared" si="1"/>
        <v>0.14778603310439412</v>
      </c>
      <c r="E15">
        <f t="shared" si="0"/>
        <v>95.257999999999996</v>
      </c>
      <c r="Q15" s="8">
        <v>10</v>
      </c>
      <c r="R15">
        <v>20</v>
      </c>
      <c r="U15" s="11">
        <v>20</v>
      </c>
      <c r="W15" s="29">
        <v>10</v>
      </c>
      <c r="X15" s="24">
        <f t="shared" si="14"/>
        <v>1</v>
      </c>
      <c r="Y15">
        <f t="shared" si="13"/>
        <v>0</v>
      </c>
      <c r="Z15" s="25">
        <f t="shared" si="13"/>
        <v>0</v>
      </c>
      <c r="AA15" s="28">
        <f t="shared" si="11"/>
        <v>1</v>
      </c>
      <c r="AC15">
        <v>10.25</v>
      </c>
      <c r="AD15" s="41">
        <v>10</v>
      </c>
      <c r="AE15" s="39">
        <f t="shared" si="6"/>
        <v>7700</v>
      </c>
      <c r="AF15" s="39">
        <f t="shared" si="2"/>
        <v>0</v>
      </c>
      <c r="AG15" s="39">
        <f t="shared" si="2"/>
        <v>0</v>
      </c>
      <c r="AH15" s="42">
        <f t="shared" si="12"/>
        <v>7700</v>
      </c>
      <c r="AJ15" s="41">
        <v>10</v>
      </c>
      <c r="AK15">
        <f t="shared" si="7"/>
        <v>7.7</v>
      </c>
      <c r="AL15">
        <f t="shared" si="8"/>
        <v>0</v>
      </c>
      <c r="AM15">
        <f t="shared" si="9"/>
        <v>0</v>
      </c>
      <c r="AN15">
        <f t="shared" si="10"/>
        <v>7.7</v>
      </c>
    </row>
    <row r="16" spans="1:40">
      <c r="A16">
        <v>12</v>
      </c>
      <c r="B16">
        <v>92207</v>
      </c>
      <c r="C16">
        <v>1084</v>
      </c>
      <c r="D16">
        <f t="shared" si="1"/>
        <v>0.14305262292360607</v>
      </c>
      <c r="E16">
        <f t="shared" si="0"/>
        <v>92.206999999999994</v>
      </c>
      <c r="Q16" s="8">
        <v>10.5</v>
      </c>
      <c r="R16">
        <v>29</v>
      </c>
      <c r="U16" s="11">
        <v>29</v>
      </c>
      <c r="W16" s="29">
        <v>10.5</v>
      </c>
      <c r="X16" s="24">
        <f t="shared" si="14"/>
        <v>1</v>
      </c>
      <c r="Y16">
        <f t="shared" si="13"/>
        <v>0</v>
      </c>
      <c r="Z16" s="25">
        <f t="shared" si="13"/>
        <v>0</v>
      </c>
      <c r="AA16" s="28">
        <f t="shared" si="11"/>
        <v>1</v>
      </c>
      <c r="AC16">
        <v>10.75</v>
      </c>
      <c r="AD16" s="41">
        <v>10.5</v>
      </c>
      <c r="AE16" s="39">
        <f t="shared" si="6"/>
        <v>77925</v>
      </c>
      <c r="AF16" s="39">
        <f t="shared" si="2"/>
        <v>0</v>
      </c>
      <c r="AG16" s="39">
        <f t="shared" si="2"/>
        <v>0</v>
      </c>
      <c r="AH16" s="42">
        <f t="shared" si="12"/>
        <v>77925</v>
      </c>
      <c r="AJ16" s="41">
        <v>10.5</v>
      </c>
      <c r="AK16">
        <f t="shared" si="7"/>
        <v>77.924999999999997</v>
      </c>
      <c r="AL16">
        <f t="shared" si="8"/>
        <v>0</v>
      </c>
      <c r="AM16">
        <f t="shared" si="9"/>
        <v>0</v>
      </c>
      <c r="AN16">
        <f t="shared" si="10"/>
        <v>77.924999999999997</v>
      </c>
    </row>
    <row r="17" spans="1:40">
      <c r="A17">
        <v>12.5</v>
      </c>
      <c r="B17">
        <v>62454</v>
      </c>
      <c r="C17">
        <v>841</v>
      </c>
      <c r="D17">
        <f t="shared" si="1"/>
        <v>9.6892952943604005E-2</v>
      </c>
      <c r="E17">
        <f t="shared" si="0"/>
        <v>62.454000000000001</v>
      </c>
      <c r="Q17" s="8">
        <v>11</v>
      </c>
      <c r="R17">
        <v>21</v>
      </c>
      <c r="U17" s="11">
        <v>21</v>
      </c>
      <c r="W17" s="29">
        <v>11</v>
      </c>
      <c r="X17" s="24">
        <f t="shared" si="14"/>
        <v>1</v>
      </c>
      <c r="Y17">
        <f t="shared" si="13"/>
        <v>0</v>
      </c>
      <c r="Z17" s="25">
        <f t="shared" si="13"/>
        <v>0</v>
      </c>
      <c r="AA17" s="28">
        <f t="shared" si="11"/>
        <v>1</v>
      </c>
      <c r="AC17">
        <v>11.25</v>
      </c>
      <c r="AD17" s="41">
        <v>11</v>
      </c>
      <c r="AE17" s="39">
        <f t="shared" si="6"/>
        <v>114448</v>
      </c>
      <c r="AF17" s="39">
        <f t="shared" si="2"/>
        <v>0</v>
      </c>
      <c r="AG17" s="39">
        <f t="shared" si="2"/>
        <v>0</v>
      </c>
      <c r="AH17" s="42">
        <f t="shared" si="12"/>
        <v>114448</v>
      </c>
      <c r="AJ17" s="41">
        <v>11</v>
      </c>
      <c r="AK17">
        <f t="shared" si="7"/>
        <v>114.44799999999999</v>
      </c>
      <c r="AL17">
        <f t="shared" si="8"/>
        <v>0</v>
      </c>
      <c r="AM17">
        <f t="shared" si="9"/>
        <v>0</v>
      </c>
      <c r="AN17">
        <f t="shared" si="10"/>
        <v>114.44799999999999</v>
      </c>
    </row>
    <row r="18" spans="1:40">
      <c r="A18">
        <v>13</v>
      </c>
      <c r="B18">
        <v>47565</v>
      </c>
      <c r="C18">
        <v>730</v>
      </c>
      <c r="D18">
        <f t="shared" si="1"/>
        <v>7.3793725089866535E-2</v>
      </c>
      <c r="E18">
        <f t="shared" si="0"/>
        <v>47.564999999999998</v>
      </c>
      <c r="Q18" s="8">
        <v>11.5</v>
      </c>
      <c r="R18">
        <v>21</v>
      </c>
      <c r="U18" s="11">
        <v>21</v>
      </c>
      <c r="W18" s="29">
        <v>11.5</v>
      </c>
      <c r="X18" s="24">
        <f t="shared" si="14"/>
        <v>1</v>
      </c>
      <c r="Y18">
        <f t="shared" si="13"/>
        <v>0</v>
      </c>
      <c r="Z18" s="25">
        <f t="shared" si="13"/>
        <v>0</v>
      </c>
      <c r="AA18" s="28">
        <f t="shared" si="11"/>
        <v>1</v>
      </c>
      <c r="AC18">
        <v>11.75</v>
      </c>
      <c r="AD18" s="41">
        <v>11.5</v>
      </c>
      <c r="AE18" s="39">
        <f t="shared" si="6"/>
        <v>95258</v>
      </c>
      <c r="AF18" s="39">
        <f t="shared" si="2"/>
        <v>0</v>
      </c>
      <c r="AG18" s="39">
        <f t="shared" si="2"/>
        <v>0</v>
      </c>
      <c r="AH18" s="42">
        <f t="shared" si="12"/>
        <v>95258</v>
      </c>
      <c r="AJ18" s="41">
        <v>11.5</v>
      </c>
      <c r="AK18">
        <f t="shared" si="7"/>
        <v>95.257999999999996</v>
      </c>
      <c r="AL18">
        <f t="shared" si="8"/>
        <v>0</v>
      </c>
      <c r="AM18">
        <f t="shared" si="9"/>
        <v>0</v>
      </c>
      <c r="AN18">
        <f t="shared" si="10"/>
        <v>95.257999999999996</v>
      </c>
    </row>
    <row r="19" spans="1:40">
      <c r="A19">
        <v>13.5</v>
      </c>
      <c r="B19">
        <v>45374</v>
      </c>
      <c r="C19">
        <v>791</v>
      </c>
      <c r="D19">
        <f t="shared" si="1"/>
        <v>7.0394543934144932E-2</v>
      </c>
      <c r="E19">
        <f t="shared" si="0"/>
        <v>45.374000000000002</v>
      </c>
      <c r="Q19" s="8">
        <v>12</v>
      </c>
      <c r="R19">
        <v>21</v>
      </c>
      <c r="U19" s="11">
        <v>21</v>
      </c>
      <c r="W19" s="29">
        <v>12</v>
      </c>
      <c r="X19" s="24">
        <f t="shared" si="14"/>
        <v>1</v>
      </c>
      <c r="Y19">
        <f t="shared" si="13"/>
        <v>0</v>
      </c>
      <c r="Z19" s="25">
        <f t="shared" si="13"/>
        <v>0</v>
      </c>
      <c r="AA19" s="28">
        <f t="shared" si="11"/>
        <v>1</v>
      </c>
      <c r="AC19">
        <v>12.25</v>
      </c>
      <c r="AD19" s="41">
        <v>12</v>
      </c>
      <c r="AE19" s="39">
        <f t="shared" si="6"/>
        <v>92207</v>
      </c>
      <c r="AF19" s="39">
        <f t="shared" si="2"/>
        <v>0</v>
      </c>
      <c r="AG19" s="39">
        <f t="shared" si="2"/>
        <v>0</v>
      </c>
      <c r="AH19" s="42">
        <f t="shared" si="12"/>
        <v>92207</v>
      </c>
      <c r="AJ19" s="41">
        <v>12</v>
      </c>
      <c r="AK19">
        <f t="shared" si="7"/>
        <v>92.206999999999994</v>
      </c>
      <c r="AL19">
        <f t="shared" si="8"/>
        <v>0</v>
      </c>
      <c r="AM19">
        <f t="shared" si="9"/>
        <v>0</v>
      </c>
      <c r="AN19">
        <f t="shared" si="10"/>
        <v>92.206999999999994</v>
      </c>
    </row>
    <row r="20" spans="1:40">
      <c r="A20">
        <v>14</v>
      </c>
      <c r="B20">
        <v>35015</v>
      </c>
      <c r="C20">
        <v>688</v>
      </c>
      <c r="D20">
        <f t="shared" si="1"/>
        <v>5.4323289898489995E-2</v>
      </c>
      <c r="E20">
        <f t="shared" si="0"/>
        <v>35.015000000000001</v>
      </c>
      <c r="Q20" s="8">
        <v>12.5</v>
      </c>
      <c r="R20">
        <v>24</v>
      </c>
      <c r="S20">
        <v>1</v>
      </c>
      <c r="U20" s="11">
        <v>25</v>
      </c>
      <c r="W20" s="29">
        <v>12.5</v>
      </c>
      <c r="X20" s="24">
        <f t="shared" si="14"/>
        <v>0.96</v>
      </c>
      <c r="Y20">
        <f t="shared" si="13"/>
        <v>0.04</v>
      </c>
      <c r="Z20" s="25">
        <f t="shared" si="13"/>
        <v>0</v>
      </c>
      <c r="AA20" s="28">
        <f t="shared" si="11"/>
        <v>1</v>
      </c>
      <c r="AC20">
        <v>12.75</v>
      </c>
      <c r="AD20" s="41">
        <v>12.5</v>
      </c>
      <c r="AE20" s="39">
        <f t="shared" si="6"/>
        <v>59955.839999999997</v>
      </c>
      <c r="AF20" s="39">
        <f t="shared" si="2"/>
        <v>2498.16</v>
      </c>
      <c r="AG20" s="39">
        <f t="shared" si="2"/>
        <v>0</v>
      </c>
      <c r="AH20" s="42">
        <f t="shared" si="12"/>
        <v>62454</v>
      </c>
      <c r="AJ20" s="41">
        <v>12.5</v>
      </c>
      <c r="AK20">
        <f t="shared" si="7"/>
        <v>59.955839999999995</v>
      </c>
      <c r="AL20">
        <f t="shared" si="8"/>
        <v>2.4981599999999999</v>
      </c>
      <c r="AM20">
        <f t="shared" si="9"/>
        <v>0</v>
      </c>
      <c r="AN20">
        <f t="shared" si="10"/>
        <v>62.454000000000001</v>
      </c>
    </row>
    <row r="21" spans="1:40">
      <c r="A21">
        <v>14.5</v>
      </c>
      <c r="B21">
        <v>18464</v>
      </c>
      <c r="C21">
        <v>409</v>
      </c>
      <c r="D21">
        <f t="shared" si="1"/>
        <v>2.8645586882356681E-2</v>
      </c>
      <c r="E21">
        <f t="shared" si="0"/>
        <v>18.463999999999999</v>
      </c>
      <c r="Q21" s="8">
        <v>13</v>
      </c>
      <c r="R21">
        <v>18</v>
      </c>
      <c r="S21">
        <v>2</v>
      </c>
      <c r="U21" s="11">
        <v>20</v>
      </c>
      <c r="W21" s="29">
        <v>13</v>
      </c>
      <c r="X21" s="24">
        <f t="shared" si="14"/>
        <v>0.9</v>
      </c>
      <c r="Y21">
        <f t="shared" si="13"/>
        <v>0.1</v>
      </c>
      <c r="Z21" s="25">
        <f t="shared" si="13"/>
        <v>0</v>
      </c>
      <c r="AA21" s="28">
        <f t="shared" si="11"/>
        <v>1</v>
      </c>
      <c r="AC21">
        <v>13.25</v>
      </c>
      <c r="AD21" s="41">
        <v>13</v>
      </c>
      <c r="AE21" s="39">
        <f t="shared" si="6"/>
        <v>42808.5</v>
      </c>
      <c r="AF21" s="39">
        <f t="shared" si="6"/>
        <v>4756.5</v>
      </c>
      <c r="AG21" s="39">
        <f t="shared" si="6"/>
        <v>0</v>
      </c>
      <c r="AH21" s="42">
        <f t="shared" si="12"/>
        <v>47565</v>
      </c>
      <c r="AJ21" s="41">
        <v>13</v>
      </c>
      <c r="AK21">
        <f t="shared" si="7"/>
        <v>42.808500000000002</v>
      </c>
      <c r="AL21">
        <f t="shared" si="8"/>
        <v>4.7565</v>
      </c>
      <c r="AM21">
        <f t="shared" si="9"/>
        <v>0</v>
      </c>
      <c r="AN21">
        <f t="shared" si="10"/>
        <v>47.564999999999998</v>
      </c>
    </row>
    <row r="22" spans="1:40">
      <c r="A22">
        <v>15</v>
      </c>
      <c r="B22">
        <v>13337</v>
      </c>
      <c r="C22">
        <v>330</v>
      </c>
      <c r="D22">
        <f t="shared" si="1"/>
        <v>2.0691409892222221E-2</v>
      </c>
      <c r="E22">
        <f t="shared" si="0"/>
        <v>13.337</v>
      </c>
      <c r="Q22" s="8">
        <v>13.5</v>
      </c>
      <c r="R22">
        <v>15</v>
      </c>
      <c r="S22">
        <v>4</v>
      </c>
      <c r="U22" s="11">
        <v>19</v>
      </c>
      <c r="W22" s="29">
        <v>13.5</v>
      </c>
      <c r="X22" s="24">
        <f t="shared" si="14"/>
        <v>0.78947368421052633</v>
      </c>
      <c r="Y22">
        <f t="shared" si="13"/>
        <v>0.21052631578947367</v>
      </c>
      <c r="Z22" s="25">
        <f t="shared" si="13"/>
        <v>0</v>
      </c>
      <c r="AA22" s="28">
        <f t="shared" si="11"/>
        <v>1</v>
      </c>
      <c r="AC22">
        <v>13.75</v>
      </c>
      <c r="AD22" s="41">
        <v>13.5</v>
      </c>
      <c r="AE22" s="39">
        <f t="shared" si="6"/>
        <v>35821.57894736842</v>
      </c>
      <c r="AF22" s="39">
        <f t="shared" si="6"/>
        <v>9552.4210526315783</v>
      </c>
      <c r="AG22" s="39">
        <f t="shared" si="6"/>
        <v>0</v>
      </c>
      <c r="AH22" s="42">
        <f t="shared" si="12"/>
        <v>45374</v>
      </c>
      <c r="AJ22" s="41">
        <v>13.5</v>
      </c>
      <c r="AK22">
        <f t="shared" si="7"/>
        <v>35.821578947368423</v>
      </c>
      <c r="AL22">
        <f t="shared" si="8"/>
        <v>9.552421052631578</v>
      </c>
      <c r="AM22">
        <f t="shared" si="9"/>
        <v>0</v>
      </c>
      <c r="AN22">
        <f t="shared" si="10"/>
        <v>45.374000000000002</v>
      </c>
    </row>
    <row r="23" spans="1:40">
      <c r="A23">
        <v>15.5</v>
      </c>
      <c r="B23">
        <v>11525</v>
      </c>
      <c r="C23">
        <v>319</v>
      </c>
      <c r="D23">
        <f t="shared" si="1"/>
        <v>1.7880220364989211E-2</v>
      </c>
      <c r="E23">
        <f t="shared" si="0"/>
        <v>11.525</v>
      </c>
      <c r="Q23" s="8">
        <v>14</v>
      </c>
      <c r="R23">
        <v>17</v>
      </c>
      <c r="S23">
        <v>3</v>
      </c>
      <c r="U23" s="11">
        <v>20</v>
      </c>
      <c r="W23" s="29">
        <v>14</v>
      </c>
      <c r="X23" s="24">
        <f t="shared" si="14"/>
        <v>0.85</v>
      </c>
      <c r="Y23">
        <f t="shared" si="13"/>
        <v>0.15</v>
      </c>
      <c r="Z23" s="25">
        <f t="shared" si="13"/>
        <v>0</v>
      </c>
      <c r="AA23" s="28">
        <f t="shared" si="11"/>
        <v>1</v>
      </c>
      <c r="AC23">
        <v>14.25</v>
      </c>
      <c r="AD23" s="41">
        <v>14</v>
      </c>
      <c r="AE23" s="39">
        <f t="shared" si="6"/>
        <v>29762.75</v>
      </c>
      <c r="AF23" s="39">
        <f t="shared" si="6"/>
        <v>5252.25</v>
      </c>
      <c r="AG23" s="39">
        <f t="shared" si="6"/>
        <v>0</v>
      </c>
      <c r="AH23" s="42">
        <f t="shared" si="12"/>
        <v>35015</v>
      </c>
      <c r="AJ23" s="41">
        <v>14</v>
      </c>
      <c r="AK23">
        <f t="shared" si="7"/>
        <v>29.76275</v>
      </c>
      <c r="AL23">
        <f t="shared" si="8"/>
        <v>5.2522500000000001</v>
      </c>
      <c r="AM23">
        <f t="shared" si="9"/>
        <v>0</v>
      </c>
      <c r="AN23">
        <f t="shared" si="10"/>
        <v>35.015000000000001</v>
      </c>
    </row>
    <row r="24" spans="1:40">
      <c r="A24">
        <v>16</v>
      </c>
      <c r="B24">
        <v>6803</v>
      </c>
      <c r="C24">
        <v>210</v>
      </c>
      <c r="D24">
        <f t="shared" si="1"/>
        <v>1.0554372159915107E-2</v>
      </c>
      <c r="E24">
        <f t="shared" si="0"/>
        <v>6.8029999999999999</v>
      </c>
      <c r="Q24" s="8">
        <v>14.5</v>
      </c>
      <c r="R24">
        <v>17</v>
      </c>
      <c r="S24">
        <v>1</v>
      </c>
      <c r="U24" s="11">
        <v>18</v>
      </c>
      <c r="W24" s="29">
        <v>14.5</v>
      </c>
      <c r="X24" s="24">
        <f t="shared" si="14"/>
        <v>0.94444444444444442</v>
      </c>
      <c r="Y24">
        <f t="shared" si="13"/>
        <v>5.5555555555555552E-2</v>
      </c>
      <c r="Z24" s="25">
        <f t="shared" si="13"/>
        <v>0</v>
      </c>
      <c r="AA24" s="28">
        <f t="shared" si="11"/>
        <v>1</v>
      </c>
      <c r="AC24">
        <v>14.75</v>
      </c>
      <c r="AD24" s="41">
        <v>14.5</v>
      </c>
      <c r="AE24" s="39">
        <f t="shared" si="6"/>
        <v>17438.222222222223</v>
      </c>
      <c r="AF24" s="39">
        <f t="shared" si="6"/>
        <v>1025.7777777777778</v>
      </c>
      <c r="AG24" s="39">
        <f t="shared" si="6"/>
        <v>0</v>
      </c>
      <c r="AH24" s="42">
        <f t="shared" si="12"/>
        <v>18464</v>
      </c>
      <c r="AJ24" s="41">
        <v>14.5</v>
      </c>
      <c r="AK24">
        <f t="shared" si="7"/>
        <v>17.438222222222223</v>
      </c>
      <c r="AL24">
        <f t="shared" si="8"/>
        <v>1.0257777777777779</v>
      </c>
      <c r="AM24">
        <f t="shared" si="9"/>
        <v>0</v>
      </c>
      <c r="AN24">
        <f t="shared" si="10"/>
        <v>18.463999999999999</v>
      </c>
    </row>
    <row r="25" spans="1:40">
      <c r="A25">
        <v>16.5</v>
      </c>
      <c r="B25">
        <v>1912</v>
      </c>
      <c r="C25">
        <v>66</v>
      </c>
      <c r="D25">
        <f t="shared" si="1"/>
        <v>2.9663324371244572E-3</v>
      </c>
      <c r="E25">
        <f t="shared" si="0"/>
        <v>1.9119999999999999</v>
      </c>
      <c r="Q25" s="8">
        <v>15</v>
      </c>
      <c r="R25">
        <v>5</v>
      </c>
      <c r="S25">
        <v>9</v>
      </c>
      <c r="T25">
        <v>1</v>
      </c>
      <c r="U25" s="11">
        <v>15</v>
      </c>
      <c r="W25" s="29">
        <v>15</v>
      </c>
      <c r="X25" s="24">
        <f t="shared" si="14"/>
        <v>0.33333333333333331</v>
      </c>
      <c r="Y25">
        <f t="shared" si="13"/>
        <v>0.6</v>
      </c>
      <c r="Z25" s="25">
        <f t="shared" si="13"/>
        <v>6.6666666666666666E-2</v>
      </c>
      <c r="AA25" s="28">
        <f t="shared" si="11"/>
        <v>1</v>
      </c>
      <c r="AC25">
        <v>15.25</v>
      </c>
      <c r="AD25" s="41">
        <v>15</v>
      </c>
      <c r="AE25" s="39">
        <f t="shared" si="6"/>
        <v>4445.6666666666661</v>
      </c>
      <c r="AF25" s="39">
        <f t="shared" si="6"/>
        <v>8002.2</v>
      </c>
      <c r="AG25" s="39">
        <f t="shared" si="6"/>
        <v>889.13333333333333</v>
      </c>
      <c r="AH25" s="42">
        <f t="shared" si="12"/>
        <v>13336.999999999998</v>
      </c>
      <c r="AJ25" s="41">
        <v>15</v>
      </c>
      <c r="AK25">
        <f t="shared" si="7"/>
        <v>4.445666666666666</v>
      </c>
      <c r="AL25">
        <f t="shared" si="8"/>
        <v>8.0022000000000002</v>
      </c>
      <c r="AM25">
        <f t="shared" si="9"/>
        <v>0.88913333333333333</v>
      </c>
      <c r="AN25">
        <f t="shared" si="10"/>
        <v>13.336999999999998</v>
      </c>
    </row>
    <row r="26" spans="1:40">
      <c r="A26">
        <v>17</v>
      </c>
      <c r="B26">
        <v>2180</v>
      </c>
      <c r="C26">
        <v>82</v>
      </c>
      <c r="D26">
        <f t="shared" si="1"/>
        <v>3.3821154356335338E-3</v>
      </c>
      <c r="E26">
        <f t="shared" si="0"/>
        <v>2.1800000000000002</v>
      </c>
      <c r="Q26" s="8">
        <v>15.5</v>
      </c>
      <c r="R26">
        <v>1</v>
      </c>
      <c r="S26">
        <v>9</v>
      </c>
      <c r="T26">
        <v>3</v>
      </c>
      <c r="U26" s="11">
        <v>13</v>
      </c>
      <c r="W26" s="29">
        <v>15.5</v>
      </c>
      <c r="X26" s="24">
        <f t="shared" si="14"/>
        <v>7.6923076923076927E-2</v>
      </c>
      <c r="Y26">
        <f t="shared" si="13"/>
        <v>0.69230769230769229</v>
      </c>
      <c r="Z26" s="25">
        <f t="shared" si="13"/>
        <v>0.23076923076923078</v>
      </c>
      <c r="AA26" s="28">
        <f t="shared" si="11"/>
        <v>1</v>
      </c>
      <c r="AC26">
        <v>15.75</v>
      </c>
      <c r="AD26" s="41">
        <v>15.5</v>
      </c>
      <c r="AE26" s="39">
        <f t="shared" si="6"/>
        <v>886.53846153846155</v>
      </c>
      <c r="AF26" s="39">
        <f t="shared" si="6"/>
        <v>7978.8461538461534</v>
      </c>
      <c r="AG26" s="39">
        <f t="shared" si="6"/>
        <v>2659.6153846153848</v>
      </c>
      <c r="AH26" s="42">
        <f t="shared" si="12"/>
        <v>11525</v>
      </c>
      <c r="AJ26" s="41">
        <v>15.5</v>
      </c>
      <c r="AK26">
        <f t="shared" si="7"/>
        <v>0.8865384615384615</v>
      </c>
      <c r="AL26">
        <f t="shared" si="8"/>
        <v>7.9788461538461535</v>
      </c>
      <c r="AM26">
        <f t="shared" si="9"/>
        <v>2.6596153846153849</v>
      </c>
      <c r="AN26">
        <f t="shared" si="10"/>
        <v>11.525</v>
      </c>
    </row>
    <row r="27" spans="1:40">
      <c r="A27">
        <v>17.5</v>
      </c>
      <c r="B27">
        <v>269</v>
      </c>
      <c r="C27">
        <v>11</v>
      </c>
      <c r="D27">
        <f t="shared" si="1"/>
        <v>4.1733442760799112E-4</v>
      </c>
      <c r="E27">
        <f t="shared" si="0"/>
        <v>0.26900000000000002</v>
      </c>
      <c r="Q27" s="8">
        <v>16</v>
      </c>
      <c r="R27">
        <v>3</v>
      </c>
      <c r="S27">
        <v>8</v>
      </c>
      <c r="T27">
        <v>2</v>
      </c>
      <c r="U27" s="11">
        <v>13</v>
      </c>
      <c r="W27" s="29">
        <v>16</v>
      </c>
      <c r="X27" s="24">
        <f t="shared" si="14"/>
        <v>0.23076923076923078</v>
      </c>
      <c r="Y27">
        <f t="shared" si="13"/>
        <v>0.61538461538461542</v>
      </c>
      <c r="Z27" s="25">
        <f t="shared" si="13"/>
        <v>0.15384615384615385</v>
      </c>
      <c r="AA27" s="28">
        <f t="shared" si="11"/>
        <v>1</v>
      </c>
      <c r="AC27">
        <v>16.25</v>
      </c>
      <c r="AD27" s="41">
        <v>16</v>
      </c>
      <c r="AE27" s="39">
        <f t="shared" si="6"/>
        <v>1569.9230769230769</v>
      </c>
      <c r="AF27" s="39">
        <f t="shared" si="6"/>
        <v>4186.461538461539</v>
      </c>
      <c r="AG27" s="39">
        <f t="shared" si="6"/>
        <v>1046.6153846153848</v>
      </c>
      <c r="AH27" s="42">
        <f t="shared" si="12"/>
        <v>6803.0000000000009</v>
      </c>
      <c r="AJ27" s="41">
        <v>16</v>
      </c>
      <c r="AK27">
        <f t="shared" si="7"/>
        <v>1.569923076923077</v>
      </c>
      <c r="AL27">
        <f t="shared" si="8"/>
        <v>4.1864615384615389</v>
      </c>
      <c r="AM27">
        <f t="shared" si="9"/>
        <v>1.0466153846153847</v>
      </c>
      <c r="AN27">
        <f t="shared" si="10"/>
        <v>6.8030000000000008</v>
      </c>
    </row>
    <row r="28" spans="1:40">
      <c r="A28">
        <v>18</v>
      </c>
      <c r="B28">
        <v>323</v>
      </c>
      <c r="C28">
        <v>15</v>
      </c>
      <c r="D28">
        <f t="shared" si="1"/>
        <v>5.0111159894937224E-4</v>
      </c>
      <c r="E28">
        <f t="shared" si="0"/>
        <v>0.32300000000000001</v>
      </c>
      <c r="Q28" s="8">
        <v>16.5</v>
      </c>
      <c r="R28">
        <v>1</v>
      </c>
      <c r="S28">
        <v>7</v>
      </c>
      <c r="T28">
        <v>5</v>
      </c>
      <c r="U28" s="11">
        <v>13</v>
      </c>
      <c r="W28" s="29">
        <v>16.5</v>
      </c>
      <c r="X28" s="24">
        <f t="shared" si="14"/>
        <v>7.6923076923076927E-2</v>
      </c>
      <c r="Y28">
        <f t="shared" ref="Y28:Y32" si="15">+S28/$U28</f>
        <v>0.53846153846153844</v>
      </c>
      <c r="Z28" s="25">
        <f t="shared" ref="Z28:Z32" si="16">+T28/$U28</f>
        <v>0.38461538461538464</v>
      </c>
      <c r="AA28" s="28">
        <f t="shared" si="11"/>
        <v>1</v>
      </c>
      <c r="AC28">
        <v>16.75</v>
      </c>
      <c r="AD28" s="41">
        <v>16.5</v>
      </c>
      <c r="AE28" s="39">
        <f t="shared" si="6"/>
        <v>147.07692307692309</v>
      </c>
      <c r="AF28" s="39">
        <f t="shared" si="6"/>
        <v>1029.5384615384614</v>
      </c>
      <c r="AG28" s="39">
        <f t="shared" si="6"/>
        <v>735.38461538461547</v>
      </c>
      <c r="AH28" s="42">
        <f t="shared" si="12"/>
        <v>1912</v>
      </c>
      <c r="AJ28" s="41">
        <v>16.5</v>
      </c>
      <c r="AK28">
        <f t="shared" si="7"/>
        <v>0.14707692307692311</v>
      </c>
      <c r="AL28">
        <f t="shared" si="8"/>
        <v>1.0295384615384615</v>
      </c>
      <c r="AM28">
        <f t="shared" si="9"/>
        <v>0.73538461538461553</v>
      </c>
      <c r="AN28">
        <f t="shared" si="10"/>
        <v>1.9119999999999999</v>
      </c>
    </row>
    <row r="29" spans="1:40">
      <c r="A29">
        <v>18.5</v>
      </c>
      <c r="B29">
        <v>0</v>
      </c>
      <c r="C29">
        <v>0</v>
      </c>
      <c r="D29">
        <f t="shared" si="1"/>
        <v>0</v>
      </c>
      <c r="E29">
        <f t="shared" si="0"/>
        <v>0</v>
      </c>
      <c r="Q29" s="8">
        <v>17</v>
      </c>
      <c r="R29">
        <v>2</v>
      </c>
      <c r="S29">
        <v>7</v>
      </c>
      <c r="T29">
        <v>2</v>
      </c>
      <c r="U29" s="11">
        <v>11</v>
      </c>
      <c r="W29" s="29">
        <v>17</v>
      </c>
      <c r="X29" s="24">
        <f t="shared" si="14"/>
        <v>0.18181818181818182</v>
      </c>
      <c r="Y29">
        <f t="shared" si="15"/>
        <v>0.63636363636363635</v>
      </c>
      <c r="Z29" s="25">
        <f t="shared" si="16"/>
        <v>0.18181818181818182</v>
      </c>
      <c r="AA29" s="28">
        <f t="shared" si="11"/>
        <v>1</v>
      </c>
      <c r="AC29">
        <v>17.25</v>
      </c>
      <c r="AD29" s="41">
        <v>17</v>
      </c>
      <c r="AE29" s="39">
        <f t="shared" si="6"/>
        <v>396.36363636363637</v>
      </c>
      <c r="AF29" s="39">
        <f t="shared" si="6"/>
        <v>1387.2727272727273</v>
      </c>
      <c r="AG29" s="39">
        <f t="shared" si="6"/>
        <v>396.36363636363637</v>
      </c>
      <c r="AH29" s="42">
        <f t="shared" si="12"/>
        <v>2180</v>
      </c>
      <c r="AJ29" s="41">
        <v>17</v>
      </c>
      <c r="AK29">
        <f t="shared" si="7"/>
        <v>0.39636363636363636</v>
      </c>
      <c r="AL29">
        <f t="shared" si="8"/>
        <v>1.3872727272727272</v>
      </c>
      <c r="AM29">
        <f t="shared" si="9"/>
        <v>0.39636363636363636</v>
      </c>
      <c r="AN29">
        <f t="shared" si="10"/>
        <v>2.1800000000000002</v>
      </c>
    </row>
    <row r="30" spans="1:40">
      <c r="A30">
        <v>19</v>
      </c>
      <c r="B30">
        <v>0</v>
      </c>
      <c r="C30">
        <v>0</v>
      </c>
      <c r="D30">
        <f t="shared" si="1"/>
        <v>0</v>
      </c>
      <c r="E30">
        <f t="shared" si="0"/>
        <v>0</v>
      </c>
      <c r="Q30" s="8">
        <v>17.5</v>
      </c>
      <c r="R30">
        <v>1</v>
      </c>
      <c r="S30">
        <v>5</v>
      </c>
      <c r="T30">
        <v>4</v>
      </c>
      <c r="U30" s="11">
        <v>10</v>
      </c>
      <c r="W30" s="29">
        <v>17.5</v>
      </c>
      <c r="X30" s="24">
        <f t="shared" si="14"/>
        <v>0.1</v>
      </c>
      <c r="Y30">
        <f t="shared" si="15"/>
        <v>0.5</v>
      </c>
      <c r="Z30" s="25">
        <f t="shared" si="16"/>
        <v>0.4</v>
      </c>
      <c r="AA30" s="28">
        <f t="shared" si="11"/>
        <v>1</v>
      </c>
      <c r="AC30">
        <v>17.75</v>
      </c>
      <c r="AD30" s="41">
        <v>17.5</v>
      </c>
      <c r="AE30" s="39">
        <f t="shared" si="6"/>
        <v>26.900000000000002</v>
      </c>
      <c r="AF30" s="39">
        <f t="shared" si="6"/>
        <v>134.5</v>
      </c>
      <c r="AG30" s="39">
        <f t="shared" si="6"/>
        <v>107.60000000000001</v>
      </c>
      <c r="AH30" s="42">
        <f t="shared" si="12"/>
        <v>269</v>
      </c>
      <c r="AJ30" s="41">
        <v>17.5</v>
      </c>
      <c r="AK30">
        <f t="shared" si="7"/>
        <v>2.6900000000000004E-2</v>
      </c>
      <c r="AL30">
        <f t="shared" si="8"/>
        <v>0.13450000000000001</v>
      </c>
      <c r="AM30">
        <f t="shared" si="9"/>
        <v>0.10760000000000002</v>
      </c>
      <c r="AN30">
        <f t="shared" si="10"/>
        <v>0.26900000000000002</v>
      </c>
    </row>
    <row r="31" spans="1:40">
      <c r="A31">
        <v>19.5</v>
      </c>
      <c r="B31">
        <v>0</v>
      </c>
      <c r="C31">
        <v>0</v>
      </c>
      <c r="D31">
        <f t="shared" si="1"/>
        <v>0</v>
      </c>
      <c r="E31">
        <f t="shared" si="0"/>
        <v>0</v>
      </c>
      <c r="Q31" s="8">
        <v>18</v>
      </c>
      <c r="S31">
        <v>4</v>
      </c>
      <c r="T31">
        <v>6</v>
      </c>
      <c r="U31" s="11">
        <v>10</v>
      </c>
      <c r="W31" s="29">
        <v>18</v>
      </c>
      <c r="X31" s="24">
        <f t="shared" si="14"/>
        <v>0</v>
      </c>
      <c r="Y31">
        <f t="shared" si="15"/>
        <v>0.4</v>
      </c>
      <c r="Z31" s="25">
        <f t="shared" si="16"/>
        <v>0.6</v>
      </c>
      <c r="AA31" s="28">
        <f t="shared" si="11"/>
        <v>1</v>
      </c>
      <c r="AC31">
        <v>18.25</v>
      </c>
      <c r="AD31" s="41">
        <v>18</v>
      </c>
      <c r="AE31" s="39">
        <f t="shared" si="6"/>
        <v>0</v>
      </c>
      <c r="AF31" s="39">
        <f t="shared" si="6"/>
        <v>129.20000000000002</v>
      </c>
      <c r="AG31" s="39">
        <f t="shared" si="6"/>
        <v>193.79999999999998</v>
      </c>
      <c r="AH31" s="42">
        <f t="shared" si="12"/>
        <v>323</v>
      </c>
      <c r="AJ31" s="41">
        <v>18</v>
      </c>
      <c r="AK31">
        <f t="shared" si="7"/>
        <v>0</v>
      </c>
      <c r="AL31">
        <f t="shared" si="8"/>
        <v>0.12920000000000001</v>
      </c>
      <c r="AM31">
        <f t="shared" si="9"/>
        <v>0.19379999999999997</v>
      </c>
      <c r="AN31">
        <f t="shared" si="10"/>
        <v>0.32300000000000001</v>
      </c>
    </row>
    <row r="32" spans="1:40">
      <c r="A32">
        <v>20</v>
      </c>
      <c r="B32">
        <v>0</v>
      </c>
      <c r="C32">
        <v>0</v>
      </c>
      <c r="D32">
        <f t="shared" si="1"/>
        <v>0</v>
      </c>
      <c r="E32">
        <f t="shared" si="0"/>
        <v>0</v>
      </c>
      <c r="Q32" s="12" t="s">
        <v>8</v>
      </c>
      <c r="R32" s="13">
        <v>286</v>
      </c>
      <c r="S32" s="13">
        <v>60</v>
      </c>
      <c r="T32" s="13">
        <v>23</v>
      </c>
      <c r="U32" s="14">
        <v>369</v>
      </c>
      <c r="W32" s="12" t="s">
        <v>8</v>
      </c>
      <c r="X32" s="13">
        <f>+R32/$U32</f>
        <v>0.77506775067750677</v>
      </c>
      <c r="Y32" s="13">
        <f t="shared" si="15"/>
        <v>0.16260162601626016</v>
      </c>
      <c r="Z32" s="13">
        <f t="shared" si="16"/>
        <v>6.2330623306233061E-2</v>
      </c>
      <c r="AA32" s="14">
        <f t="shared" ref="AA32" si="17">+U32/$U32</f>
        <v>1</v>
      </c>
      <c r="AB32" s="20"/>
      <c r="AD32" s="43" t="s">
        <v>8</v>
      </c>
      <c r="AE32" s="36">
        <f>SUM(AE5:AE31)</f>
        <v>592605.35993415944</v>
      </c>
      <c r="AF32" s="36">
        <f>SUM(AF5:AF31)</f>
        <v>45933.127711528236</v>
      </c>
      <c r="AG32" s="36">
        <f t="shared" ref="AG32:AH32" si="18">SUM(AG5:AG31)</f>
        <v>6028.5123543123545</v>
      </c>
      <c r="AH32" s="44">
        <f t="shared" si="18"/>
        <v>644567</v>
      </c>
      <c r="AJ32" s="43" t="s">
        <v>8</v>
      </c>
      <c r="AK32">
        <f t="shared" si="7"/>
        <v>592.60535993415942</v>
      </c>
      <c r="AL32">
        <f t="shared" si="8"/>
        <v>45.933127711528236</v>
      </c>
      <c r="AM32">
        <f t="shared" si="9"/>
        <v>6.0285123543123547</v>
      </c>
      <c r="AN32">
        <f t="shared" si="10"/>
        <v>644.56700000000001</v>
      </c>
    </row>
    <row r="33" spans="1:40">
      <c r="A33">
        <v>20.5</v>
      </c>
      <c r="B33">
        <v>0</v>
      </c>
      <c r="C33">
        <v>0</v>
      </c>
      <c r="D33">
        <f t="shared" si="1"/>
        <v>0</v>
      </c>
      <c r="E33">
        <f t="shared" si="0"/>
        <v>0</v>
      </c>
      <c r="AD33" s="44" t="s">
        <v>15</v>
      </c>
      <c r="AE33" s="45">
        <f>+AE32/$AH$32*100</f>
        <v>91.938519957453522</v>
      </c>
      <c r="AF33" s="45">
        <f t="shared" ref="AF33:AH33" si="19">+AF32/$AH$32*100</f>
        <v>7.1261990935819295</v>
      </c>
      <c r="AG33" s="45">
        <f t="shared" si="19"/>
        <v>0.9352809489645536</v>
      </c>
      <c r="AH33" s="46">
        <f t="shared" si="19"/>
        <v>100</v>
      </c>
      <c r="AJ33" s="44" t="s">
        <v>15</v>
      </c>
      <c r="AK33" s="34"/>
      <c r="AL33" s="34"/>
      <c r="AM33" s="34"/>
      <c r="AN33" s="34"/>
    </row>
    <row r="34" spans="1:40">
      <c r="A34">
        <v>21</v>
      </c>
      <c r="B34">
        <v>0</v>
      </c>
      <c r="C34">
        <v>0</v>
      </c>
      <c r="D34">
        <f t="shared" si="1"/>
        <v>0</v>
      </c>
      <c r="E34">
        <f t="shared" si="0"/>
        <v>0</v>
      </c>
      <c r="AD34" s="44" t="s">
        <v>16</v>
      </c>
      <c r="AE34" s="45">
        <f>SUMPRODUCT(AE5:AE31,$AC$5:$AC$31)/AE$32</f>
        <v>12.115970728355416</v>
      </c>
      <c r="AF34" s="45">
        <f>SUMPRODUCT(AF5:AF31,$AC$5:$AC$31)/AF$32</f>
        <v>14.757249259233053</v>
      </c>
      <c r="AG34" s="45">
        <f>SUMPRODUCT(AG5:AG31,$AC$5:$AC$31)/AG$32</f>
        <v>16.09973322963549</v>
      </c>
      <c r="AH34" s="46">
        <f t="shared" ref="AH34" si="20">SUMPRODUCT(AH5:AH31,$AC$5:$AC$31)/AH$32</f>
        <v>12.341452866808261</v>
      </c>
      <c r="AJ34" s="44" t="s">
        <v>16</v>
      </c>
      <c r="AK34" s="56">
        <v>12.115970728355427</v>
      </c>
      <c r="AL34" s="56">
        <v>14.757249259233047</v>
      </c>
      <c r="AM34" s="56">
        <v>16.09973322963549</v>
      </c>
      <c r="AN34" s="56">
        <v>12.341452866808265</v>
      </c>
    </row>
    <row r="35" spans="1:40">
      <c r="A35">
        <v>21.5</v>
      </c>
      <c r="B35">
        <v>0</v>
      </c>
      <c r="C35">
        <v>0</v>
      </c>
      <c r="D35">
        <f t="shared" si="1"/>
        <v>0</v>
      </c>
      <c r="E35">
        <f t="shared" si="0"/>
        <v>0</v>
      </c>
      <c r="AK35">
        <v>1.2591189835977701</v>
      </c>
      <c r="AL35">
        <v>1.2168959104776653</v>
      </c>
      <c r="AM35">
        <v>0.77438035680312345</v>
      </c>
      <c r="AN35">
        <v>1.4700734101376078</v>
      </c>
    </row>
    <row r="36" spans="1:40">
      <c r="A36">
        <v>22</v>
      </c>
      <c r="B36">
        <v>0</v>
      </c>
      <c r="C36">
        <v>0</v>
      </c>
      <c r="D36">
        <f t="shared" si="1"/>
        <v>0</v>
      </c>
      <c r="E36">
        <f t="shared" si="0"/>
        <v>0</v>
      </c>
    </row>
    <row r="37" spans="1:40">
      <c r="A37">
        <v>22.5</v>
      </c>
      <c r="B37">
        <v>0</v>
      </c>
      <c r="C37">
        <v>0</v>
      </c>
      <c r="D37">
        <f t="shared" si="1"/>
        <v>0</v>
      </c>
      <c r="E37">
        <f t="shared" si="0"/>
        <v>0</v>
      </c>
      <c r="AD37" t="s">
        <v>8</v>
      </c>
      <c r="AE37">
        <f>592605.359934159/1000</f>
        <v>592.60535993415897</v>
      </c>
      <c r="AF37">
        <f>45933.1277115282/1000</f>
        <v>45.933127711528201</v>
      </c>
      <c r="AG37">
        <f>6028.51235431235/1000</f>
        <v>6.0285123543123502</v>
      </c>
      <c r="AH37">
        <f>644567/1000</f>
        <v>644.56700000000001</v>
      </c>
    </row>
    <row r="38" spans="1:40">
      <c r="A38">
        <v>23</v>
      </c>
      <c r="B38">
        <v>0</v>
      </c>
      <c r="C38">
        <v>0</v>
      </c>
      <c r="D38">
        <f t="shared" si="1"/>
        <v>0</v>
      </c>
      <c r="E38">
        <f t="shared" si="0"/>
        <v>0</v>
      </c>
    </row>
    <row r="39" spans="1:40">
      <c r="A39">
        <v>23.5</v>
      </c>
      <c r="B39">
        <v>0</v>
      </c>
      <c r="C39">
        <v>0</v>
      </c>
      <c r="D39">
        <f t="shared" si="1"/>
        <v>0</v>
      </c>
      <c r="E39">
        <f t="shared" si="0"/>
        <v>0</v>
      </c>
    </row>
    <row r="40" spans="1:40">
      <c r="A40">
        <v>24</v>
      </c>
      <c r="B40">
        <v>0</v>
      </c>
      <c r="C40">
        <v>0</v>
      </c>
      <c r="D40">
        <f t="shared" si="1"/>
        <v>0</v>
      </c>
      <c r="E40">
        <f t="shared" si="0"/>
        <v>0</v>
      </c>
    </row>
    <row r="41" spans="1:40">
      <c r="A41">
        <v>24.5</v>
      </c>
      <c r="B41">
        <v>0</v>
      </c>
      <c r="C41">
        <v>0</v>
      </c>
      <c r="D41">
        <f t="shared" si="1"/>
        <v>0</v>
      </c>
      <c r="E41">
        <f t="shared" si="0"/>
        <v>0</v>
      </c>
    </row>
    <row r="42" spans="1:40">
      <c r="A42">
        <v>25</v>
      </c>
      <c r="B42">
        <v>0</v>
      </c>
      <c r="C42">
        <v>0</v>
      </c>
      <c r="D42">
        <f t="shared" si="1"/>
        <v>0</v>
      </c>
      <c r="E42">
        <f t="shared" si="0"/>
        <v>0</v>
      </c>
    </row>
    <row r="43" spans="1:40">
      <c r="A43">
        <v>25.5</v>
      </c>
      <c r="B43">
        <v>0</v>
      </c>
      <c r="C43">
        <v>0</v>
      </c>
      <c r="D43">
        <f t="shared" si="1"/>
        <v>0</v>
      </c>
      <c r="E43">
        <f t="shared" si="0"/>
        <v>0</v>
      </c>
    </row>
    <row r="44" spans="1:40">
      <c r="B44">
        <v>644567</v>
      </c>
      <c r="C44">
        <v>8237</v>
      </c>
      <c r="E44">
        <f>SUM(E2:E43)</f>
        <v>644.56699999999978</v>
      </c>
    </row>
  </sheetData>
  <mergeCells count="16">
    <mergeCell ref="W1:AA1"/>
    <mergeCell ref="AD1:AH1"/>
    <mergeCell ref="AD2:AH2"/>
    <mergeCell ref="Q1:U1"/>
    <mergeCell ref="Q3:Q4"/>
    <mergeCell ref="R3:T3"/>
    <mergeCell ref="U3:U4"/>
    <mergeCell ref="X3:Z3"/>
    <mergeCell ref="W3:W4"/>
    <mergeCell ref="AJ3:AJ4"/>
    <mergeCell ref="AK3:AM3"/>
    <mergeCell ref="AN3:AN4"/>
    <mergeCell ref="AA3:AA4"/>
    <mergeCell ref="AD3:AD4"/>
    <mergeCell ref="AE3:AG3"/>
    <mergeCell ref="AH3:AH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4"/>
  <sheetViews>
    <sheetView topLeftCell="U16" workbookViewId="0">
      <selection activeCell="C44" sqref="C44"/>
    </sheetView>
  </sheetViews>
  <sheetFormatPr baseColWidth="10" defaultColWidth="9.109375" defaultRowHeight="14.4"/>
  <cols>
    <col min="34" max="34" width="12.33203125" customWidth="1"/>
  </cols>
  <sheetData>
    <row r="1" spans="1:34" ht="21">
      <c r="A1" t="s">
        <v>0</v>
      </c>
      <c r="B1" t="s">
        <v>1</v>
      </c>
      <c r="C1" t="s">
        <v>2</v>
      </c>
      <c r="Q1" s="97" t="s">
        <v>9</v>
      </c>
      <c r="R1" s="97"/>
      <c r="S1" s="97"/>
      <c r="T1" s="97"/>
      <c r="U1" s="97"/>
      <c r="W1" s="97" t="s">
        <v>9</v>
      </c>
      <c r="X1" s="97"/>
      <c r="Y1" s="97"/>
      <c r="Z1" s="97"/>
      <c r="AA1" s="97"/>
      <c r="AB1" s="20"/>
      <c r="AD1" s="98" t="s">
        <v>9</v>
      </c>
      <c r="AE1" s="98"/>
      <c r="AF1" s="98"/>
      <c r="AG1" s="98"/>
      <c r="AH1" s="98"/>
    </row>
    <row r="2" spans="1:34">
      <c r="A2">
        <v>5</v>
      </c>
      <c r="B2">
        <v>0</v>
      </c>
      <c r="C2">
        <v>0</v>
      </c>
      <c r="D2">
        <f>B2/157668</f>
        <v>0</v>
      </c>
      <c r="E2">
        <v>157668</v>
      </c>
      <c r="W2" s="20"/>
      <c r="X2" s="20"/>
      <c r="Y2" s="9" t="s">
        <v>15</v>
      </c>
      <c r="Z2" s="20"/>
      <c r="AA2" s="20"/>
      <c r="AB2" s="20"/>
      <c r="AD2" s="99" t="s">
        <v>17</v>
      </c>
      <c r="AE2" s="99"/>
      <c r="AF2" s="99"/>
      <c r="AG2" s="99"/>
      <c r="AH2" s="99"/>
    </row>
    <row r="3" spans="1:34">
      <c r="A3">
        <v>5.5</v>
      </c>
      <c r="B3">
        <v>0</v>
      </c>
      <c r="C3">
        <v>0</v>
      </c>
      <c r="D3">
        <f t="shared" ref="D3:D43" si="0">B3/157668</f>
        <v>0</v>
      </c>
      <c r="Q3" s="95" t="s">
        <v>6</v>
      </c>
      <c r="R3" s="103" t="s">
        <v>7</v>
      </c>
      <c r="S3" s="100"/>
      <c r="T3" s="100"/>
      <c r="U3" s="95" t="s">
        <v>8</v>
      </c>
      <c r="W3" s="95" t="s">
        <v>6</v>
      </c>
      <c r="X3" s="101" t="s">
        <v>7</v>
      </c>
      <c r="Y3" s="102"/>
      <c r="Z3" s="102"/>
      <c r="AA3" s="95" t="s">
        <v>8</v>
      </c>
      <c r="AB3" s="9"/>
      <c r="AD3" s="91" t="s">
        <v>6</v>
      </c>
      <c r="AE3" s="93" t="s">
        <v>7</v>
      </c>
      <c r="AF3" s="94"/>
      <c r="AG3" s="94"/>
      <c r="AH3" s="91" t="s">
        <v>8</v>
      </c>
    </row>
    <row r="4" spans="1:34">
      <c r="A4">
        <v>6</v>
      </c>
      <c r="B4">
        <v>0</v>
      </c>
      <c r="C4">
        <v>0</v>
      </c>
      <c r="D4">
        <f t="shared" si="0"/>
        <v>0</v>
      </c>
      <c r="Q4" s="96"/>
      <c r="R4" s="7">
        <v>1</v>
      </c>
      <c r="S4" s="7">
        <v>2</v>
      </c>
      <c r="T4" s="7">
        <v>3</v>
      </c>
      <c r="U4" s="96"/>
      <c r="W4" s="96"/>
      <c r="X4" s="22">
        <v>1</v>
      </c>
      <c r="Y4" s="13">
        <v>2</v>
      </c>
      <c r="Z4" s="20">
        <v>3</v>
      </c>
      <c r="AA4" s="96"/>
      <c r="AB4" s="9"/>
      <c r="AD4" s="92"/>
      <c r="AE4" s="35">
        <v>1</v>
      </c>
      <c r="AF4" s="36">
        <v>2</v>
      </c>
      <c r="AG4" s="37">
        <v>3</v>
      </c>
      <c r="AH4" s="92"/>
    </row>
    <row r="5" spans="1:34">
      <c r="A5">
        <v>6.5</v>
      </c>
      <c r="B5">
        <v>0</v>
      </c>
      <c r="C5">
        <v>0</v>
      </c>
      <c r="D5">
        <f t="shared" si="0"/>
        <v>0</v>
      </c>
      <c r="Q5" s="8">
        <v>5</v>
      </c>
      <c r="R5" s="9"/>
      <c r="S5" s="9"/>
      <c r="T5" s="9"/>
      <c r="U5" s="10"/>
      <c r="W5" s="29">
        <v>5</v>
      </c>
      <c r="X5" s="30"/>
      <c r="Z5" s="31"/>
      <c r="AA5" s="32"/>
      <c r="AB5" s="21"/>
      <c r="AC5">
        <v>5.25</v>
      </c>
      <c r="AD5" s="38">
        <v>5</v>
      </c>
      <c r="AE5" s="39">
        <f>+X5*$B2</f>
        <v>0</v>
      </c>
      <c r="AF5" s="39">
        <f t="shared" ref="AF5:AG20" si="1">+Y5*$B2</f>
        <v>0</v>
      </c>
      <c r="AG5" s="39">
        <f t="shared" si="1"/>
        <v>0</v>
      </c>
      <c r="AH5" s="40"/>
    </row>
    <row r="6" spans="1:34">
      <c r="A6">
        <v>7</v>
      </c>
      <c r="B6">
        <v>0</v>
      </c>
      <c r="C6">
        <v>0</v>
      </c>
      <c r="D6">
        <f t="shared" si="0"/>
        <v>0</v>
      </c>
      <c r="Q6" s="8">
        <v>5.5</v>
      </c>
      <c r="U6" s="11"/>
      <c r="W6" s="29">
        <v>5.5</v>
      </c>
      <c r="X6" s="24"/>
      <c r="Z6" s="25"/>
      <c r="AA6" s="28"/>
      <c r="AC6">
        <v>5.75</v>
      </c>
      <c r="AD6" s="41">
        <v>5.5</v>
      </c>
      <c r="AE6" s="39">
        <f t="shared" ref="AE6:AG21" si="2">+X6*$B3</f>
        <v>0</v>
      </c>
      <c r="AF6" s="39">
        <f t="shared" si="1"/>
        <v>0</v>
      </c>
      <c r="AG6" s="39">
        <f t="shared" si="1"/>
        <v>0</v>
      </c>
      <c r="AH6" s="42">
        <f>SUM(AE6:AG6)</f>
        <v>0</v>
      </c>
    </row>
    <row r="7" spans="1:34">
      <c r="A7">
        <v>7.5</v>
      </c>
      <c r="B7">
        <v>0</v>
      </c>
      <c r="C7">
        <v>0</v>
      </c>
      <c r="D7">
        <f t="shared" si="0"/>
        <v>0</v>
      </c>
      <c r="Q7" s="8">
        <v>6</v>
      </c>
      <c r="U7" s="11"/>
      <c r="W7" s="29">
        <v>6</v>
      </c>
      <c r="X7" s="24"/>
      <c r="Z7" s="25"/>
      <c r="AA7" s="28"/>
      <c r="AC7">
        <v>6.25</v>
      </c>
      <c r="AD7" s="41">
        <v>6</v>
      </c>
      <c r="AE7" s="39">
        <f t="shared" si="2"/>
        <v>0</v>
      </c>
      <c r="AF7" s="39">
        <f t="shared" si="1"/>
        <v>0</v>
      </c>
      <c r="AG7" s="39">
        <f t="shared" si="1"/>
        <v>0</v>
      </c>
      <c r="AH7" s="42">
        <f t="shared" ref="AH7:AH31" si="3">SUM(AE7:AG7)</f>
        <v>0</v>
      </c>
    </row>
    <row r="8" spans="1:34">
      <c r="A8">
        <v>8</v>
      </c>
      <c r="B8">
        <v>0</v>
      </c>
      <c r="C8">
        <v>0</v>
      </c>
      <c r="D8">
        <f t="shared" si="0"/>
        <v>0</v>
      </c>
      <c r="Q8" s="8">
        <v>6.5</v>
      </c>
      <c r="U8" s="11"/>
      <c r="W8" s="29">
        <v>6.5</v>
      </c>
      <c r="X8" s="24"/>
      <c r="Z8" s="25"/>
      <c r="AA8" s="28"/>
      <c r="AC8">
        <v>6.75</v>
      </c>
      <c r="AD8" s="41">
        <v>6.5</v>
      </c>
      <c r="AE8" s="39">
        <f t="shared" si="2"/>
        <v>0</v>
      </c>
      <c r="AF8" s="39">
        <f t="shared" si="1"/>
        <v>0</v>
      </c>
      <c r="AG8" s="39">
        <f t="shared" si="1"/>
        <v>0</v>
      </c>
      <c r="AH8" s="42">
        <f t="shared" si="3"/>
        <v>0</v>
      </c>
    </row>
    <row r="9" spans="1:34">
      <c r="A9">
        <v>8.5</v>
      </c>
      <c r="B9">
        <v>0</v>
      </c>
      <c r="C9">
        <v>0</v>
      </c>
      <c r="D9">
        <f t="shared" si="0"/>
        <v>0</v>
      </c>
      <c r="Q9" s="8">
        <v>7</v>
      </c>
      <c r="U9" s="11"/>
      <c r="W9" s="29">
        <v>7</v>
      </c>
      <c r="X9" s="24"/>
      <c r="Z9" s="25"/>
      <c r="AA9" s="28"/>
      <c r="AC9">
        <v>7.25</v>
      </c>
      <c r="AD9" s="41">
        <v>7</v>
      </c>
      <c r="AE9" s="39">
        <f t="shared" si="2"/>
        <v>0</v>
      </c>
      <c r="AF9" s="39">
        <f t="shared" si="1"/>
        <v>0</v>
      </c>
      <c r="AG9" s="39">
        <f t="shared" si="1"/>
        <v>0</v>
      </c>
      <c r="AH9" s="42">
        <f t="shared" si="3"/>
        <v>0</v>
      </c>
    </row>
    <row r="10" spans="1:34">
      <c r="A10">
        <v>9</v>
      </c>
      <c r="B10">
        <v>0</v>
      </c>
      <c r="C10">
        <v>0</v>
      </c>
      <c r="D10">
        <f t="shared" si="0"/>
        <v>0</v>
      </c>
      <c r="Q10" s="8">
        <v>7.5</v>
      </c>
      <c r="U10" s="11"/>
      <c r="W10" s="29">
        <v>7.5</v>
      </c>
      <c r="X10" s="24"/>
      <c r="Z10" s="25"/>
      <c r="AA10" s="28"/>
      <c r="AC10">
        <v>7.75</v>
      </c>
      <c r="AD10" s="41">
        <v>7.5</v>
      </c>
      <c r="AE10" s="39">
        <f t="shared" si="2"/>
        <v>0</v>
      </c>
      <c r="AF10" s="39">
        <f t="shared" si="1"/>
        <v>0</v>
      </c>
      <c r="AG10" s="39">
        <f t="shared" si="1"/>
        <v>0</v>
      </c>
      <c r="AH10" s="42">
        <f t="shared" si="3"/>
        <v>0</v>
      </c>
    </row>
    <row r="11" spans="1:34">
      <c r="A11">
        <v>9.5</v>
      </c>
      <c r="B11">
        <v>0</v>
      </c>
      <c r="C11">
        <v>0</v>
      </c>
      <c r="D11">
        <f t="shared" si="0"/>
        <v>0</v>
      </c>
      <c r="Q11" s="8">
        <v>8</v>
      </c>
      <c r="U11" s="11"/>
      <c r="W11" s="29">
        <v>8</v>
      </c>
      <c r="X11" s="24"/>
      <c r="Z11" s="25"/>
      <c r="AA11" s="28"/>
      <c r="AC11">
        <v>8.25</v>
      </c>
      <c r="AD11" s="41">
        <v>8</v>
      </c>
      <c r="AE11" s="39">
        <f t="shared" si="2"/>
        <v>0</v>
      </c>
      <c r="AF11" s="39">
        <f t="shared" si="1"/>
        <v>0</v>
      </c>
      <c r="AG11" s="39">
        <f t="shared" si="1"/>
        <v>0</v>
      </c>
      <c r="AH11" s="42">
        <f t="shared" si="3"/>
        <v>0</v>
      </c>
    </row>
    <row r="12" spans="1:34">
      <c r="A12">
        <v>10</v>
      </c>
      <c r="B12">
        <v>0</v>
      </c>
      <c r="C12">
        <v>0</v>
      </c>
      <c r="D12">
        <f t="shared" si="0"/>
        <v>0</v>
      </c>
      <c r="Q12" s="8">
        <v>8.5</v>
      </c>
      <c r="U12" s="11"/>
      <c r="W12" s="29">
        <v>8.5</v>
      </c>
      <c r="X12" s="24"/>
      <c r="Z12" s="25"/>
      <c r="AA12" s="28"/>
      <c r="AC12">
        <v>8.75</v>
      </c>
      <c r="AD12" s="41">
        <v>8.5</v>
      </c>
      <c r="AE12" s="39">
        <f t="shared" si="2"/>
        <v>0</v>
      </c>
      <c r="AF12" s="39">
        <f t="shared" si="1"/>
        <v>0</v>
      </c>
      <c r="AG12" s="39">
        <f t="shared" si="1"/>
        <v>0</v>
      </c>
      <c r="AH12" s="42">
        <f t="shared" si="3"/>
        <v>0</v>
      </c>
    </row>
    <row r="13" spans="1:34">
      <c r="A13">
        <v>10.5</v>
      </c>
      <c r="B13">
        <v>0</v>
      </c>
      <c r="C13">
        <v>0</v>
      </c>
      <c r="D13">
        <f t="shared" si="0"/>
        <v>0</v>
      </c>
      <c r="Q13" s="8">
        <v>9</v>
      </c>
      <c r="U13" s="11"/>
      <c r="W13" s="29">
        <v>9</v>
      </c>
      <c r="X13" s="24"/>
      <c r="Z13" s="25"/>
      <c r="AA13" s="28"/>
      <c r="AC13">
        <v>9.25</v>
      </c>
      <c r="AD13" s="41">
        <v>9</v>
      </c>
      <c r="AE13" s="39">
        <f t="shared" si="2"/>
        <v>0</v>
      </c>
      <c r="AF13" s="39">
        <f t="shared" si="1"/>
        <v>0</v>
      </c>
      <c r="AG13" s="39">
        <f t="shared" si="1"/>
        <v>0</v>
      </c>
      <c r="AH13" s="42">
        <f t="shared" si="3"/>
        <v>0</v>
      </c>
    </row>
    <row r="14" spans="1:34">
      <c r="A14">
        <v>11</v>
      </c>
      <c r="B14">
        <v>3122</v>
      </c>
      <c r="C14">
        <v>27</v>
      </c>
      <c r="D14">
        <f t="shared" si="0"/>
        <v>1.9801101047771268E-2</v>
      </c>
      <c r="Q14" s="8">
        <v>9.5</v>
      </c>
      <c r="U14" s="11"/>
      <c r="W14" s="29">
        <v>9.5</v>
      </c>
      <c r="X14" s="24"/>
      <c r="Z14" s="25"/>
      <c r="AA14" s="28"/>
      <c r="AC14">
        <v>9.75</v>
      </c>
      <c r="AD14" s="41">
        <v>9.5</v>
      </c>
      <c r="AE14" s="39">
        <f t="shared" si="2"/>
        <v>0</v>
      </c>
      <c r="AF14" s="39">
        <f t="shared" si="1"/>
        <v>0</v>
      </c>
      <c r="AG14" s="39">
        <f t="shared" si="1"/>
        <v>0</v>
      </c>
      <c r="AH14" s="42">
        <f t="shared" si="3"/>
        <v>0</v>
      </c>
    </row>
    <row r="15" spans="1:34">
      <c r="A15">
        <v>11.5</v>
      </c>
      <c r="B15">
        <v>19519</v>
      </c>
      <c r="C15">
        <v>199</v>
      </c>
      <c r="D15">
        <f t="shared" si="0"/>
        <v>0.12379810741558211</v>
      </c>
      <c r="Q15" s="8">
        <v>10</v>
      </c>
      <c r="U15" s="11"/>
      <c r="W15" s="29">
        <v>10</v>
      </c>
      <c r="X15" s="24"/>
      <c r="Z15" s="25"/>
      <c r="AA15" s="28"/>
      <c r="AC15">
        <v>10.25</v>
      </c>
      <c r="AD15" s="41">
        <v>10</v>
      </c>
      <c r="AE15" s="39">
        <f t="shared" si="2"/>
        <v>0</v>
      </c>
      <c r="AF15" s="39">
        <f t="shared" si="1"/>
        <v>0</v>
      </c>
      <c r="AG15" s="39">
        <f t="shared" si="1"/>
        <v>0</v>
      </c>
      <c r="AH15" s="42">
        <f t="shared" si="3"/>
        <v>0</v>
      </c>
    </row>
    <row r="16" spans="1:34">
      <c r="A16">
        <v>12</v>
      </c>
      <c r="B16">
        <v>49996</v>
      </c>
      <c r="C16">
        <v>587</v>
      </c>
      <c r="D16">
        <f t="shared" si="0"/>
        <v>0.31709668417180403</v>
      </c>
      <c r="Q16" s="8">
        <v>10.5</v>
      </c>
      <c r="U16" s="11"/>
      <c r="W16" s="29">
        <v>10.5</v>
      </c>
      <c r="X16" s="24"/>
      <c r="Z16" s="25"/>
      <c r="AA16" s="28"/>
      <c r="AC16">
        <v>10.75</v>
      </c>
      <c r="AD16" s="41">
        <v>10.5</v>
      </c>
      <c r="AE16" s="39">
        <f t="shared" si="2"/>
        <v>0</v>
      </c>
      <c r="AF16" s="39">
        <f t="shared" si="1"/>
        <v>0</v>
      </c>
      <c r="AG16" s="39">
        <f t="shared" si="1"/>
        <v>0</v>
      </c>
      <c r="AH16" s="42">
        <f t="shared" si="3"/>
        <v>0</v>
      </c>
    </row>
    <row r="17" spans="1:34">
      <c r="A17">
        <v>12.5</v>
      </c>
      <c r="B17">
        <v>41325</v>
      </c>
      <c r="C17">
        <v>556</v>
      </c>
      <c r="D17">
        <f t="shared" si="0"/>
        <v>0.26210137757820229</v>
      </c>
      <c r="Q17" s="8">
        <v>11</v>
      </c>
      <c r="R17">
        <v>5</v>
      </c>
      <c r="U17" s="11">
        <v>5</v>
      </c>
      <c r="W17" s="29">
        <v>11</v>
      </c>
      <c r="X17" s="24">
        <f t="shared" ref="X17:Z26" si="4">+R17/$U17</f>
        <v>1</v>
      </c>
      <c r="Y17">
        <f t="shared" ref="Y17:Z21" si="5">+S17/$U17</f>
        <v>0</v>
      </c>
      <c r="Z17" s="25">
        <f t="shared" si="5"/>
        <v>0</v>
      </c>
      <c r="AA17" s="28">
        <f>SUM(X17:Z17)</f>
        <v>1</v>
      </c>
      <c r="AC17">
        <v>11.25</v>
      </c>
      <c r="AD17" s="41">
        <v>11</v>
      </c>
      <c r="AE17" s="39">
        <f>+X17*$B14</f>
        <v>3122</v>
      </c>
      <c r="AF17" s="39">
        <f>+Y17*$B14</f>
        <v>0</v>
      </c>
      <c r="AG17" s="39">
        <f t="shared" si="1"/>
        <v>0</v>
      </c>
      <c r="AH17" s="42">
        <f t="shared" si="3"/>
        <v>3122</v>
      </c>
    </row>
    <row r="18" spans="1:34">
      <c r="A18">
        <v>13</v>
      </c>
      <c r="B18">
        <v>12661</v>
      </c>
      <c r="C18">
        <v>194</v>
      </c>
      <c r="D18">
        <f t="shared" si="0"/>
        <v>8.0301646497704035E-2</v>
      </c>
      <c r="Q18" s="8">
        <v>11.5</v>
      </c>
      <c r="R18">
        <v>20</v>
      </c>
      <c r="U18" s="11">
        <v>20</v>
      </c>
      <c r="W18" s="29">
        <v>11.5</v>
      </c>
      <c r="X18" s="24">
        <f t="shared" si="4"/>
        <v>1</v>
      </c>
      <c r="Y18">
        <f t="shared" si="5"/>
        <v>0</v>
      </c>
      <c r="Z18" s="25">
        <f t="shared" si="5"/>
        <v>0</v>
      </c>
      <c r="AA18" s="28">
        <f t="shared" ref="AA18:AA26" si="6">SUM(X18:Z18)</f>
        <v>1</v>
      </c>
      <c r="AC18">
        <v>11.75</v>
      </c>
      <c r="AD18" s="41">
        <v>11.5</v>
      </c>
      <c r="AE18" s="39">
        <f t="shared" si="2"/>
        <v>19519</v>
      </c>
      <c r="AF18" s="39">
        <f t="shared" si="1"/>
        <v>0</v>
      </c>
      <c r="AG18" s="39">
        <f t="shared" si="1"/>
        <v>0</v>
      </c>
      <c r="AH18" s="42">
        <f t="shared" si="3"/>
        <v>19519</v>
      </c>
    </row>
    <row r="19" spans="1:34">
      <c r="A19">
        <v>13.5</v>
      </c>
      <c r="B19">
        <v>16744</v>
      </c>
      <c r="C19">
        <v>292</v>
      </c>
      <c r="D19">
        <f t="shared" si="0"/>
        <v>0.1061978334221275</v>
      </c>
      <c r="Q19" s="8">
        <v>12</v>
      </c>
      <c r="R19">
        <v>20</v>
      </c>
      <c r="U19" s="11">
        <v>20</v>
      </c>
      <c r="W19" s="29">
        <v>12</v>
      </c>
      <c r="X19" s="24">
        <f t="shared" si="4"/>
        <v>1</v>
      </c>
      <c r="Y19">
        <f t="shared" si="5"/>
        <v>0</v>
      </c>
      <c r="Z19" s="25">
        <f t="shared" si="5"/>
        <v>0</v>
      </c>
      <c r="AA19" s="28">
        <f t="shared" si="6"/>
        <v>1</v>
      </c>
      <c r="AC19">
        <v>12.25</v>
      </c>
      <c r="AD19" s="41">
        <v>12</v>
      </c>
      <c r="AE19" s="39">
        <f t="shared" si="2"/>
        <v>49996</v>
      </c>
      <c r="AF19" s="39">
        <f t="shared" si="1"/>
        <v>0</v>
      </c>
      <c r="AG19" s="39">
        <f t="shared" si="1"/>
        <v>0</v>
      </c>
      <c r="AH19" s="42">
        <f t="shared" si="3"/>
        <v>49996</v>
      </c>
    </row>
    <row r="20" spans="1:34">
      <c r="A20">
        <v>14</v>
      </c>
      <c r="B20">
        <v>8987</v>
      </c>
      <c r="C20">
        <v>177</v>
      </c>
      <c r="D20">
        <f t="shared" si="0"/>
        <v>5.6999517974478019E-2</v>
      </c>
      <c r="Q20" s="8">
        <v>12.5</v>
      </c>
      <c r="R20">
        <v>20</v>
      </c>
      <c r="U20" s="11">
        <v>20</v>
      </c>
      <c r="W20" s="29">
        <v>12.5</v>
      </c>
      <c r="X20" s="24">
        <f t="shared" si="4"/>
        <v>1</v>
      </c>
      <c r="Y20">
        <f t="shared" si="5"/>
        <v>0</v>
      </c>
      <c r="Z20" s="25">
        <f t="shared" si="5"/>
        <v>0</v>
      </c>
      <c r="AA20" s="28">
        <f t="shared" si="6"/>
        <v>1</v>
      </c>
      <c r="AC20">
        <v>12.75</v>
      </c>
      <c r="AD20" s="41">
        <v>12.5</v>
      </c>
      <c r="AE20" s="39">
        <f t="shared" si="2"/>
        <v>41325</v>
      </c>
      <c r="AF20" s="39">
        <f t="shared" si="1"/>
        <v>0</v>
      </c>
      <c r="AG20" s="39">
        <f t="shared" si="1"/>
        <v>0</v>
      </c>
      <c r="AH20" s="42">
        <f t="shared" si="3"/>
        <v>41325</v>
      </c>
    </row>
    <row r="21" spans="1:34">
      <c r="A21">
        <v>14.5</v>
      </c>
      <c r="B21">
        <v>3264</v>
      </c>
      <c r="C21">
        <v>72</v>
      </c>
      <c r="D21">
        <f t="shared" si="0"/>
        <v>2.0701727680949845E-2</v>
      </c>
      <c r="Q21" s="8">
        <v>13</v>
      </c>
      <c r="R21">
        <v>8</v>
      </c>
      <c r="S21">
        <v>2</v>
      </c>
      <c r="U21" s="11">
        <v>10</v>
      </c>
      <c r="W21" s="29">
        <v>13</v>
      </c>
      <c r="X21" s="24">
        <f t="shared" si="4"/>
        <v>0.8</v>
      </c>
      <c r="Y21">
        <f t="shared" si="5"/>
        <v>0.2</v>
      </c>
      <c r="Z21" s="25">
        <f t="shared" si="5"/>
        <v>0</v>
      </c>
      <c r="AA21" s="28">
        <f t="shared" si="6"/>
        <v>1</v>
      </c>
      <c r="AC21">
        <v>13.25</v>
      </c>
      <c r="AD21" s="41">
        <v>13</v>
      </c>
      <c r="AE21" s="39">
        <f t="shared" si="2"/>
        <v>10128.800000000001</v>
      </c>
      <c r="AF21" s="39">
        <f t="shared" si="2"/>
        <v>2532.2000000000003</v>
      </c>
      <c r="AG21" s="39">
        <f t="shared" si="2"/>
        <v>0</v>
      </c>
      <c r="AH21" s="42">
        <f t="shared" si="3"/>
        <v>12661.000000000002</v>
      </c>
    </row>
    <row r="22" spans="1:34">
      <c r="A22">
        <v>15</v>
      </c>
      <c r="B22">
        <v>1640</v>
      </c>
      <c r="C22">
        <v>41</v>
      </c>
      <c r="D22">
        <f t="shared" si="0"/>
        <v>1.0401603369104701E-2</v>
      </c>
      <c r="Q22" s="8">
        <v>13.5</v>
      </c>
      <c r="R22">
        <v>6</v>
      </c>
      <c r="S22">
        <v>4</v>
      </c>
      <c r="U22" s="11">
        <v>10</v>
      </c>
      <c r="W22" s="29">
        <v>13.5</v>
      </c>
      <c r="X22" s="24">
        <f t="shared" si="4"/>
        <v>0.6</v>
      </c>
      <c r="Y22">
        <f t="shared" si="4"/>
        <v>0.4</v>
      </c>
      <c r="Z22" s="25">
        <f t="shared" si="4"/>
        <v>0</v>
      </c>
      <c r="AA22" s="28">
        <f t="shared" si="6"/>
        <v>1</v>
      </c>
      <c r="AC22">
        <v>13.75</v>
      </c>
      <c r="AD22" s="41">
        <v>13.5</v>
      </c>
      <c r="AE22" s="39">
        <f t="shared" ref="AE22:AG31" si="7">+X22*$B19</f>
        <v>10046.4</v>
      </c>
      <c r="AF22" s="39">
        <f t="shared" si="7"/>
        <v>6697.6</v>
      </c>
      <c r="AG22" s="39">
        <f t="shared" si="7"/>
        <v>0</v>
      </c>
      <c r="AH22" s="42">
        <f t="shared" si="3"/>
        <v>16744</v>
      </c>
    </row>
    <row r="23" spans="1:34">
      <c r="A23">
        <v>15.5</v>
      </c>
      <c r="B23">
        <v>410</v>
      </c>
      <c r="C23">
        <v>11</v>
      </c>
      <c r="D23">
        <f t="shared" si="0"/>
        <v>2.6004008422761751E-3</v>
      </c>
      <c r="Q23" s="8">
        <v>14</v>
      </c>
      <c r="R23">
        <v>3</v>
      </c>
      <c r="S23">
        <v>7</v>
      </c>
      <c r="U23" s="11">
        <v>10</v>
      </c>
      <c r="W23" s="29">
        <v>14</v>
      </c>
      <c r="X23" s="24">
        <f t="shared" si="4"/>
        <v>0.3</v>
      </c>
      <c r="Y23">
        <f t="shared" si="4"/>
        <v>0.7</v>
      </c>
      <c r="Z23" s="25">
        <f t="shared" si="4"/>
        <v>0</v>
      </c>
      <c r="AA23" s="28">
        <f t="shared" si="6"/>
        <v>1</v>
      </c>
      <c r="AC23">
        <v>14.25</v>
      </c>
      <c r="AD23" s="41">
        <v>14</v>
      </c>
      <c r="AE23" s="39">
        <f t="shared" si="7"/>
        <v>2696.1</v>
      </c>
      <c r="AF23" s="39">
        <f t="shared" si="7"/>
        <v>6290.9</v>
      </c>
      <c r="AG23" s="39">
        <f t="shared" si="7"/>
        <v>0</v>
      </c>
      <c r="AH23" s="42">
        <f t="shared" si="3"/>
        <v>8987</v>
      </c>
    </row>
    <row r="24" spans="1:34">
      <c r="A24">
        <v>16</v>
      </c>
      <c r="B24">
        <v>0</v>
      </c>
      <c r="C24">
        <v>0</v>
      </c>
      <c r="D24">
        <f t="shared" si="0"/>
        <v>0</v>
      </c>
      <c r="Q24" s="8">
        <v>14.5</v>
      </c>
      <c r="R24">
        <v>2</v>
      </c>
      <c r="S24">
        <v>6</v>
      </c>
      <c r="U24" s="11">
        <v>8</v>
      </c>
      <c r="W24" s="29">
        <v>14.5</v>
      </c>
      <c r="X24" s="24">
        <f t="shared" si="4"/>
        <v>0.25</v>
      </c>
      <c r="Y24">
        <f t="shared" si="4"/>
        <v>0.75</v>
      </c>
      <c r="Z24" s="25">
        <f t="shared" si="4"/>
        <v>0</v>
      </c>
      <c r="AA24" s="28">
        <f t="shared" si="6"/>
        <v>1</v>
      </c>
      <c r="AC24">
        <v>14.75</v>
      </c>
      <c r="AD24" s="41">
        <v>14.5</v>
      </c>
      <c r="AE24" s="39">
        <f t="shared" si="7"/>
        <v>816</v>
      </c>
      <c r="AF24" s="39">
        <f t="shared" si="7"/>
        <v>2448</v>
      </c>
      <c r="AG24" s="39">
        <f t="shared" si="7"/>
        <v>0</v>
      </c>
      <c r="AH24" s="42">
        <f t="shared" si="3"/>
        <v>3264</v>
      </c>
    </row>
    <row r="25" spans="1:34">
      <c r="A25">
        <v>16.5</v>
      </c>
      <c r="B25">
        <v>0</v>
      </c>
      <c r="C25">
        <v>0</v>
      </c>
      <c r="D25">
        <f t="shared" si="0"/>
        <v>0</v>
      </c>
      <c r="Q25" s="8">
        <v>15</v>
      </c>
      <c r="S25">
        <v>4</v>
      </c>
      <c r="U25" s="11">
        <v>4</v>
      </c>
      <c r="W25" s="29">
        <v>15</v>
      </c>
      <c r="X25" s="24">
        <f t="shared" si="4"/>
        <v>0</v>
      </c>
      <c r="Y25">
        <f t="shared" si="4"/>
        <v>1</v>
      </c>
      <c r="Z25" s="25">
        <f t="shared" si="4"/>
        <v>0</v>
      </c>
      <c r="AA25" s="28">
        <f t="shared" si="6"/>
        <v>1</v>
      </c>
      <c r="AC25">
        <v>15.25</v>
      </c>
      <c r="AD25" s="41">
        <v>15</v>
      </c>
      <c r="AE25" s="39">
        <f t="shared" si="7"/>
        <v>0</v>
      </c>
      <c r="AF25" s="39">
        <f t="shared" si="7"/>
        <v>1640</v>
      </c>
      <c r="AG25" s="39">
        <f t="shared" si="7"/>
        <v>0</v>
      </c>
      <c r="AH25" s="42">
        <f t="shared" si="3"/>
        <v>1640</v>
      </c>
    </row>
    <row r="26" spans="1:34">
      <c r="A26">
        <v>17</v>
      </c>
      <c r="B26">
        <v>0</v>
      </c>
      <c r="C26">
        <v>0</v>
      </c>
      <c r="D26">
        <f t="shared" si="0"/>
        <v>0</v>
      </c>
      <c r="Q26" s="8">
        <v>15.5</v>
      </c>
      <c r="S26">
        <v>1</v>
      </c>
      <c r="U26" s="11">
        <v>1</v>
      </c>
      <c r="W26" s="29">
        <v>15.5</v>
      </c>
      <c r="X26" s="24">
        <f t="shared" si="4"/>
        <v>0</v>
      </c>
      <c r="Y26">
        <f t="shared" si="4"/>
        <v>1</v>
      </c>
      <c r="Z26" s="25">
        <f t="shared" si="4"/>
        <v>0</v>
      </c>
      <c r="AA26" s="28">
        <f t="shared" si="6"/>
        <v>1</v>
      </c>
      <c r="AC26">
        <v>15.75</v>
      </c>
      <c r="AD26" s="41">
        <v>15.5</v>
      </c>
      <c r="AE26" s="39">
        <f t="shared" si="7"/>
        <v>0</v>
      </c>
      <c r="AF26" s="39">
        <f t="shared" si="7"/>
        <v>410</v>
      </c>
      <c r="AG26" s="39">
        <f t="shared" si="7"/>
        <v>0</v>
      </c>
      <c r="AH26" s="42">
        <f>SUM(AE26:AG26)</f>
        <v>410</v>
      </c>
    </row>
    <row r="27" spans="1:34">
      <c r="A27">
        <v>17.5</v>
      </c>
      <c r="B27">
        <v>0</v>
      </c>
      <c r="C27">
        <v>0</v>
      </c>
      <c r="D27">
        <f t="shared" si="0"/>
        <v>0</v>
      </c>
      <c r="Q27" s="8">
        <v>16</v>
      </c>
      <c r="U27" s="11"/>
      <c r="W27" s="29">
        <v>16</v>
      </c>
      <c r="X27" s="24"/>
      <c r="Z27" s="25"/>
      <c r="AA27" s="28"/>
      <c r="AC27">
        <v>16.25</v>
      </c>
      <c r="AD27" s="41">
        <v>16</v>
      </c>
      <c r="AE27" s="39">
        <f t="shared" si="7"/>
        <v>0</v>
      </c>
      <c r="AF27" s="39">
        <f t="shared" si="7"/>
        <v>0</v>
      </c>
      <c r="AG27" s="39">
        <f t="shared" si="7"/>
        <v>0</v>
      </c>
      <c r="AH27" s="42">
        <f t="shared" si="3"/>
        <v>0</v>
      </c>
    </row>
    <row r="28" spans="1:34">
      <c r="A28">
        <v>18</v>
      </c>
      <c r="B28">
        <v>0</v>
      </c>
      <c r="C28">
        <v>0</v>
      </c>
      <c r="D28">
        <f t="shared" si="0"/>
        <v>0</v>
      </c>
      <c r="Q28" s="8">
        <v>16.5</v>
      </c>
      <c r="U28" s="11"/>
      <c r="W28" s="29">
        <v>16.5</v>
      </c>
      <c r="X28" s="24"/>
      <c r="Z28" s="25"/>
      <c r="AA28" s="28"/>
      <c r="AC28">
        <v>16.75</v>
      </c>
      <c r="AD28" s="41">
        <v>16.5</v>
      </c>
      <c r="AE28" s="39">
        <f t="shared" si="7"/>
        <v>0</v>
      </c>
      <c r="AF28" s="39">
        <f t="shared" si="7"/>
        <v>0</v>
      </c>
      <c r="AG28" s="39">
        <f t="shared" si="7"/>
        <v>0</v>
      </c>
      <c r="AH28" s="42">
        <f t="shared" si="3"/>
        <v>0</v>
      </c>
    </row>
    <row r="29" spans="1:34">
      <c r="A29">
        <v>18.5</v>
      </c>
      <c r="B29">
        <v>0</v>
      </c>
      <c r="C29">
        <v>0</v>
      </c>
      <c r="D29">
        <f t="shared" si="0"/>
        <v>0</v>
      </c>
      <c r="Q29" s="8">
        <v>17</v>
      </c>
      <c r="U29" s="11"/>
      <c r="W29" s="29">
        <v>17</v>
      </c>
      <c r="X29" s="24"/>
      <c r="Z29" s="25"/>
      <c r="AA29" s="28"/>
      <c r="AC29">
        <v>17.25</v>
      </c>
      <c r="AD29" s="41">
        <v>17</v>
      </c>
      <c r="AE29" s="39">
        <f t="shared" si="7"/>
        <v>0</v>
      </c>
      <c r="AF29" s="39">
        <f t="shared" si="7"/>
        <v>0</v>
      </c>
      <c r="AG29" s="39">
        <f t="shared" si="7"/>
        <v>0</v>
      </c>
      <c r="AH29" s="42">
        <f t="shared" si="3"/>
        <v>0</v>
      </c>
    </row>
    <row r="30" spans="1:34">
      <c r="A30">
        <v>19</v>
      </c>
      <c r="B30">
        <v>0</v>
      </c>
      <c r="C30">
        <v>0</v>
      </c>
      <c r="D30">
        <f t="shared" si="0"/>
        <v>0</v>
      </c>
      <c r="Q30" s="8">
        <v>17.5</v>
      </c>
      <c r="U30" s="11"/>
      <c r="W30" s="29">
        <v>17.5</v>
      </c>
      <c r="X30" s="24"/>
      <c r="Z30" s="25"/>
      <c r="AA30" s="28"/>
      <c r="AC30">
        <v>17.75</v>
      </c>
      <c r="AD30" s="41">
        <v>17.5</v>
      </c>
      <c r="AE30" s="39">
        <f t="shared" si="7"/>
        <v>0</v>
      </c>
      <c r="AF30" s="39">
        <f t="shared" si="7"/>
        <v>0</v>
      </c>
      <c r="AG30" s="39">
        <f t="shared" si="7"/>
        <v>0</v>
      </c>
      <c r="AH30" s="42">
        <f t="shared" si="3"/>
        <v>0</v>
      </c>
    </row>
    <row r="31" spans="1:34">
      <c r="A31">
        <v>19.5</v>
      </c>
      <c r="B31">
        <v>0</v>
      </c>
      <c r="C31">
        <v>0</v>
      </c>
      <c r="D31">
        <f t="shared" si="0"/>
        <v>0</v>
      </c>
      <c r="Q31" s="8">
        <v>18</v>
      </c>
      <c r="U31" s="11"/>
      <c r="W31" s="29">
        <v>18</v>
      </c>
      <c r="X31" s="24"/>
      <c r="Z31" s="25"/>
      <c r="AA31" s="28"/>
      <c r="AC31">
        <v>18.25</v>
      </c>
      <c r="AD31" s="41">
        <v>18</v>
      </c>
      <c r="AE31" s="39">
        <f t="shared" si="7"/>
        <v>0</v>
      </c>
      <c r="AF31" s="39">
        <f t="shared" si="7"/>
        <v>0</v>
      </c>
      <c r="AG31" s="39">
        <f t="shared" si="7"/>
        <v>0</v>
      </c>
      <c r="AH31" s="42">
        <f t="shared" si="3"/>
        <v>0</v>
      </c>
    </row>
    <row r="32" spans="1:34">
      <c r="A32">
        <v>20</v>
      </c>
      <c r="B32">
        <v>0</v>
      </c>
      <c r="C32">
        <v>0</v>
      </c>
      <c r="D32">
        <f t="shared" si="0"/>
        <v>0</v>
      </c>
      <c r="Q32" s="12" t="s">
        <v>8</v>
      </c>
      <c r="R32" s="13">
        <v>84</v>
      </c>
      <c r="S32" s="13">
        <v>24</v>
      </c>
      <c r="T32" s="13">
        <v>0</v>
      </c>
      <c r="U32" s="14">
        <v>108</v>
      </c>
      <c r="W32" s="12" t="s">
        <v>8</v>
      </c>
      <c r="X32" s="13">
        <f>+R32/$U32</f>
        <v>0.77777777777777779</v>
      </c>
      <c r="Y32" s="13">
        <f>+S32/$U32</f>
        <v>0.22222222222222221</v>
      </c>
      <c r="Z32" s="13">
        <f>+T32/$U32</f>
        <v>0</v>
      </c>
      <c r="AA32" s="14">
        <f t="shared" ref="AA32" si="8">+U32/$U32</f>
        <v>1</v>
      </c>
      <c r="AB32" s="20"/>
      <c r="AD32" s="43" t="s">
        <v>8</v>
      </c>
      <c r="AE32" s="36">
        <f>SUM(AE5:AE31)</f>
        <v>137649.30000000002</v>
      </c>
      <c r="AF32" s="36">
        <f>SUM(AF5:AF31)</f>
        <v>20018.7</v>
      </c>
      <c r="AG32" s="36">
        <f t="shared" ref="AG32" si="9">SUM(AG5:AG31)</f>
        <v>0</v>
      </c>
      <c r="AH32" s="44">
        <f>SUM(AH5:AH31)</f>
        <v>157668</v>
      </c>
    </row>
    <row r="33" spans="1:34">
      <c r="A33">
        <v>20.5</v>
      </c>
      <c r="B33">
        <v>0</v>
      </c>
      <c r="C33">
        <v>0</v>
      </c>
      <c r="D33">
        <f t="shared" si="0"/>
        <v>0</v>
      </c>
      <c r="AD33" s="44" t="s">
        <v>15</v>
      </c>
      <c r="AE33" s="45">
        <f>+AE32/$AH$32*100</f>
        <v>87.303257477738043</v>
      </c>
      <c r="AF33" s="45">
        <f t="shared" ref="AF33:AH33" si="10">+AF32/$AH$32*100</f>
        <v>12.696742522261969</v>
      </c>
      <c r="AG33" s="45">
        <f t="shared" si="10"/>
        <v>0</v>
      </c>
      <c r="AH33" s="46">
        <f t="shared" si="10"/>
        <v>100</v>
      </c>
    </row>
    <row r="34" spans="1:34">
      <c r="A34">
        <v>21</v>
      </c>
      <c r="B34">
        <v>0</v>
      </c>
      <c r="C34">
        <v>0</v>
      </c>
      <c r="D34">
        <f t="shared" si="0"/>
        <v>0</v>
      </c>
      <c r="AD34" s="44" t="s">
        <v>16</v>
      </c>
      <c r="AE34" s="45">
        <f>SUMPRODUCT(AE5:AE31,$AC$5:$AC$31)/AE$32</f>
        <v>12.543583766862598</v>
      </c>
      <c r="AF34" s="45">
        <f>SUMPRODUCT(AF5:AF31,$AC$5:$AC$31)/AF$32</f>
        <v>14.130012188603654</v>
      </c>
      <c r="AG34" s="45"/>
      <c r="AH34" s="46">
        <f t="shared" ref="AH34" si="11">SUMPRODUCT(AH5:AH31,$AC$5:$AC$31)/AH$32</f>
        <v>12.745008498871046</v>
      </c>
    </row>
    <row r="35" spans="1:34">
      <c r="A35">
        <v>21.5</v>
      </c>
      <c r="B35">
        <v>0</v>
      </c>
      <c r="C35">
        <v>0</v>
      </c>
      <c r="D35">
        <f t="shared" si="0"/>
        <v>0</v>
      </c>
    </row>
    <row r="36" spans="1:34">
      <c r="A36">
        <v>22</v>
      </c>
      <c r="B36">
        <v>0</v>
      </c>
      <c r="C36">
        <v>0</v>
      </c>
      <c r="D36">
        <f t="shared" si="0"/>
        <v>0</v>
      </c>
    </row>
    <row r="37" spans="1:34">
      <c r="A37">
        <v>22.5</v>
      </c>
      <c r="B37">
        <v>0</v>
      </c>
      <c r="C37">
        <v>0</v>
      </c>
      <c r="D37">
        <f t="shared" si="0"/>
        <v>0</v>
      </c>
      <c r="AD37" t="s">
        <v>8</v>
      </c>
      <c r="AE37">
        <f>137649.3/1000</f>
        <v>137.64929999999998</v>
      </c>
      <c r="AF37">
        <f>20018.7/1000</f>
        <v>20.018699999999999</v>
      </c>
      <c r="AG37">
        <v>0</v>
      </c>
      <c r="AH37">
        <f>157668/1000</f>
        <v>157.66800000000001</v>
      </c>
    </row>
    <row r="38" spans="1:34">
      <c r="A38">
        <v>23</v>
      </c>
      <c r="B38">
        <v>0</v>
      </c>
      <c r="C38">
        <v>0</v>
      </c>
      <c r="D38">
        <f t="shared" si="0"/>
        <v>0</v>
      </c>
    </row>
    <row r="39" spans="1:34">
      <c r="A39">
        <v>23.5</v>
      </c>
      <c r="B39">
        <v>0</v>
      </c>
      <c r="C39">
        <v>0</v>
      </c>
      <c r="D39">
        <f t="shared" si="0"/>
        <v>0</v>
      </c>
    </row>
    <row r="40" spans="1:34">
      <c r="A40">
        <v>24</v>
      </c>
      <c r="B40">
        <v>0</v>
      </c>
      <c r="C40">
        <v>0</v>
      </c>
      <c r="D40">
        <f t="shared" si="0"/>
        <v>0</v>
      </c>
    </row>
    <row r="41" spans="1:34">
      <c r="A41">
        <v>24.5</v>
      </c>
      <c r="B41">
        <v>0</v>
      </c>
      <c r="C41">
        <v>0</v>
      </c>
      <c r="D41">
        <f t="shared" si="0"/>
        <v>0</v>
      </c>
    </row>
    <row r="42" spans="1:34">
      <c r="A42">
        <v>25</v>
      </c>
      <c r="B42">
        <v>0</v>
      </c>
      <c r="C42">
        <v>0</v>
      </c>
      <c r="D42">
        <f t="shared" si="0"/>
        <v>0</v>
      </c>
    </row>
    <row r="43" spans="1:34">
      <c r="A43">
        <v>25.5</v>
      </c>
      <c r="B43">
        <v>0</v>
      </c>
      <c r="C43">
        <v>0</v>
      </c>
      <c r="D43">
        <f t="shared" si="0"/>
        <v>0</v>
      </c>
    </row>
    <row r="44" spans="1:34">
      <c r="B44">
        <f>SUM(B2:B43)</f>
        <v>157668</v>
      </c>
      <c r="C44">
        <f>SUM(C2:C43)</f>
        <v>2156</v>
      </c>
    </row>
  </sheetData>
  <mergeCells count="13">
    <mergeCell ref="AD3:AD4"/>
    <mergeCell ref="AE3:AG3"/>
    <mergeCell ref="AH3:AH4"/>
    <mergeCell ref="Q1:U1"/>
    <mergeCell ref="Q3:Q4"/>
    <mergeCell ref="R3:T3"/>
    <mergeCell ref="U3:U4"/>
    <mergeCell ref="W1:AA1"/>
    <mergeCell ref="AD1:AH1"/>
    <mergeCell ref="AD2:AH2"/>
    <mergeCell ref="W3:W4"/>
    <mergeCell ref="X3:Z3"/>
    <mergeCell ref="AA3:AA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66"/>
  <sheetViews>
    <sheetView workbookViewId="0">
      <selection activeCell="C44" sqref="C44"/>
    </sheetView>
  </sheetViews>
  <sheetFormatPr baseColWidth="10" defaultColWidth="9.109375" defaultRowHeight="14.4"/>
  <cols>
    <col min="30" max="30" width="9.77734375" customWidth="1"/>
    <col min="34" max="34" width="9.6640625" customWidth="1"/>
  </cols>
  <sheetData>
    <row r="1" spans="1:34" ht="21">
      <c r="A1" t="s">
        <v>0</v>
      </c>
      <c r="B1" t="s">
        <v>1</v>
      </c>
      <c r="C1" t="s">
        <v>2</v>
      </c>
      <c r="Q1" s="97" t="s">
        <v>10</v>
      </c>
      <c r="R1" s="97"/>
      <c r="S1" s="97"/>
      <c r="T1" s="97"/>
      <c r="U1" s="97"/>
      <c r="W1" s="97" t="s">
        <v>10</v>
      </c>
      <c r="X1" s="97"/>
      <c r="Y1" s="97"/>
      <c r="Z1" s="97"/>
      <c r="AA1" s="97"/>
      <c r="AB1" s="20"/>
      <c r="AD1" s="98" t="s">
        <v>10</v>
      </c>
      <c r="AE1" s="98"/>
      <c r="AF1" s="98"/>
      <c r="AG1" s="98"/>
      <c r="AH1" s="98"/>
    </row>
    <row r="2" spans="1:34">
      <c r="A2">
        <v>5</v>
      </c>
      <c r="B2">
        <v>0</v>
      </c>
      <c r="C2">
        <v>0</v>
      </c>
      <c r="D2">
        <f>B2/3531352</f>
        <v>0</v>
      </c>
      <c r="W2" s="20"/>
      <c r="X2" s="20"/>
      <c r="Y2" s="9" t="s">
        <v>15</v>
      </c>
      <c r="Z2" s="20"/>
      <c r="AA2" s="20"/>
      <c r="AB2" s="20"/>
      <c r="AD2" s="99" t="s">
        <v>17</v>
      </c>
      <c r="AE2" s="99"/>
      <c r="AF2" s="99"/>
      <c r="AG2" s="99"/>
      <c r="AH2" s="99"/>
    </row>
    <row r="3" spans="1:34">
      <c r="A3">
        <v>5.5</v>
      </c>
      <c r="B3">
        <v>0</v>
      </c>
      <c r="C3">
        <v>0</v>
      </c>
      <c r="D3">
        <f t="shared" ref="D3:D43" si="0">B3/3531352</f>
        <v>0</v>
      </c>
      <c r="Q3" s="95" t="s">
        <v>6</v>
      </c>
      <c r="R3" s="103" t="s">
        <v>7</v>
      </c>
      <c r="S3" s="100"/>
      <c r="T3" s="100"/>
      <c r="U3" s="95" t="s">
        <v>8</v>
      </c>
      <c r="W3" s="95" t="s">
        <v>6</v>
      </c>
      <c r="X3" s="101" t="s">
        <v>7</v>
      </c>
      <c r="Y3" s="102"/>
      <c r="Z3" s="102"/>
      <c r="AA3" s="95" t="s">
        <v>8</v>
      </c>
      <c r="AB3" s="9"/>
      <c r="AD3" s="91" t="s">
        <v>6</v>
      </c>
      <c r="AE3" s="93" t="s">
        <v>7</v>
      </c>
      <c r="AF3" s="94"/>
      <c r="AG3" s="94"/>
      <c r="AH3" s="91" t="s">
        <v>8</v>
      </c>
    </row>
    <row r="4" spans="1:34">
      <c r="A4">
        <v>6</v>
      </c>
      <c r="B4">
        <v>0</v>
      </c>
      <c r="C4">
        <v>0</v>
      </c>
      <c r="D4">
        <f t="shared" si="0"/>
        <v>0</v>
      </c>
      <c r="Q4" s="96"/>
      <c r="R4" s="7">
        <v>1</v>
      </c>
      <c r="S4" s="7">
        <v>2</v>
      </c>
      <c r="T4" s="7">
        <v>3</v>
      </c>
      <c r="U4" s="96"/>
      <c r="W4" s="96"/>
      <c r="X4" s="26">
        <v>1</v>
      </c>
      <c r="Y4" s="13">
        <v>2</v>
      </c>
      <c r="Z4" s="27">
        <v>3</v>
      </c>
      <c r="AA4" s="96"/>
      <c r="AB4" s="9"/>
      <c r="AD4" s="92"/>
      <c r="AE4" s="35">
        <v>1</v>
      </c>
      <c r="AF4" s="36">
        <v>2</v>
      </c>
      <c r="AG4" s="37">
        <v>3</v>
      </c>
      <c r="AH4" s="92"/>
    </row>
    <row r="5" spans="1:34">
      <c r="A5">
        <v>6.5</v>
      </c>
      <c r="B5">
        <v>0</v>
      </c>
      <c r="C5">
        <v>0</v>
      </c>
      <c r="D5">
        <f t="shared" si="0"/>
        <v>0</v>
      </c>
      <c r="Q5" s="8">
        <v>5</v>
      </c>
      <c r="U5" s="11"/>
      <c r="W5" s="29">
        <v>5</v>
      </c>
      <c r="X5" s="24"/>
      <c r="Z5" s="23"/>
      <c r="AA5" s="32"/>
      <c r="AB5" s="21"/>
      <c r="AC5">
        <v>5.25</v>
      </c>
      <c r="AD5" s="38">
        <v>5</v>
      </c>
      <c r="AE5" s="39">
        <f>+X5*$B2</f>
        <v>0</v>
      </c>
      <c r="AF5" s="39">
        <f t="shared" ref="AF5:AG20" si="1">+Y5*$B2</f>
        <v>0</v>
      </c>
      <c r="AG5" s="39">
        <f t="shared" si="1"/>
        <v>0</v>
      </c>
      <c r="AH5" s="40"/>
    </row>
    <row r="6" spans="1:34">
      <c r="A6">
        <v>7</v>
      </c>
      <c r="B6">
        <v>0</v>
      </c>
      <c r="C6">
        <v>0</v>
      </c>
      <c r="D6">
        <f t="shared" si="0"/>
        <v>0</v>
      </c>
      <c r="Q6" s="8">
        <v>5.5</v>
      </c>
      <c r="U6" s="11"/>
      <c r="W6" s="29">
        <v>5.5</v>
      </c>
      <c r="X6" s="24"/>
      <c r="Z6" s="25"/>
      <c r="AA6" s="28"/>
      <c r="AC6">
        <v>5.75</v>
      </c>
      <c r="AD6" s="41">
        <v>5.5</v>
      </c>
      <c r="AE6" s="39">
        <f t="shared" ref="AE6:AG21" si="2">+X6*$B3</f>
        <v>0</v>
      </c>
      <c r="AF6" s="39">
        <f t="shared" si="1"/>
        <v>0</v>
      </c>
      <c r="AG6" s="39">
        <f t="shared" si="1"/>
        <v>0</v>
      </c>
      <c r="AH6" s="42">
        <f>SUM(AE6:AG6)</f>
        <v>0</v>
      </c>
    </row>
    <row r="7" spans="1:34">
      <c r="A7">
        <v>7.5</v>
      </c>
      <c r="B7">
        <v>0</v>
      </c>
      <c r="C7">
        <v>0</v>
      </c>
      <c r="D7">
        <f t="shared" si="0"/>
        <v>0</v>
      </c>
      <c r="Q7" s="8">
        <v>6</v>
      </c>
      <c r="U7" s="11"/>
      <c r="W7" s="29">
        <v>6</v>
      </c>
      <c r="X7" s="24"/>
      <c r="Z7" s="25"/>
      <c r="AA7" s="28"/>
      <c r="AC7">
        <v>6.25</v>
      </c>
      <c r="AD7" s="41">
        <v>6</v>
      </c>
      <c r="AE7" s="39">
        <f t="shared" si="2"/>
        <v>0</v>
      </c>
      <c r="AF7" s="39">
        <f t="shared" si="1"/>
        <v>0</v>
      </c>
      <c r="AG7" s="39">
        <f t="shared" si="1"/>
        <v>0</v>
      </c>
      <c r="AH7" s="42">
        <f t="shared" ref="AH7:AH31" si="3">SUM(AE7:AG7)</f>
        <v>0</v>
      </c>
    </row>
    <row r="8" spans="1:34">
      <c r="A8">
        <v>8</v>
      </c>
      <c r="B8">
        <v>0</v>
      </c>
      <c r="C8">
        <v>0</v>
      </c>
      <c r="D8">
        <f t="shared" si="0"/>
        <v>0</v>
      </c>
      <c r="Q8" s="8">
        <v>6.5</v>
      </c>
      <c r="U8" s="11"/>
      <c r="W8" s="29">
        <v>6.5</v>
      </c>
      <c r="X8" s="24"/>
      <c r="Z8" s="25"/>
      <c r="AA8" s="28"/>
      <c r="AC8">
        <v>6.75</v>
      </c>
      <c r="AD8" s="41">
        <v>6.5</v>
      </c>
      <c r="AE8" s="39">
        <f t="shared" si="2"/>
        <v>0</v>
      </c>
      <c r="AF8" s="39">
        <f t="shared" si="1"/>
        <v>0</v>
      </c>
      <c r="AG8" s="39">
        <f t="shared" si="1"/>
        <v>0</v>
      </c>
      <c r="AH8" s="42">
        <f t="shared" si="3"/>
        <v>0</v>
      </c>
    </row>
    <row r="9" spans="1:34">
      <c r="A9">
        <v>8.5</v>
      </c>
      <c r="B9">
        <v>0</v>
      </c>
      <c r="C9">
        <v>0</v>
      </c>
      <c r="D9">
        <f t="shared" si="0"/>
        <v>0</v>
      </c>
      <c r="Q9" s="8">
        <v>7</v>
      </c>
      <c r="U9" s="11"/>
      <c r="W9" s="29">
        <v>7</v>
      </c>
      <c r="X9" s="24"/>
      <c r="Z9" s="25"/>
      <c r="AA9" s="28"/>
      <c r="AC9">
        <v>7.25</v>
      </c>
      <c r="AD9" s="41">
        <v>7</v>
      </c>
      <c r="AE9" s="39">
        <f t="shared" si="2"/>
        <v>0</v>
      </c>
      <c r="AF9" s="39">
        <f t="shared" si="1"/>
        <v>0</v>
      </c>
      <c r="AG9" s="39">
        <f t="shared" si="1"/>
        <v>0</v>
      </c>
      <c r="AH9" s="42">
        <f t="shared" si="3"/>
        <v>0</v>
      </c>
    </row>
    <row r="10" spans="1:34">
      <c r="A10">
        <v>9</v>
      </c>
      <c r="B10">
        <v>0</v>
      </c>
      <c r="C10">
        <v>0</v>
      </c>
      <c r="D10">
        <f t="shared" si="0"/>
        <v>0</v>
      </c>
      <c r="Q10" s="8">
        <v>7.5</v>
      </c>
      <c r="U10" s="11"/>
      <c r="W10" s="29">
        <v>7.5</v>
      </c>
      <c r="X10" s="24"/>
      <c r="Z10" s="25"/>
      <c r="AA10" s="28"/>
      <c r="AC10">
        <v>7.75</v>
      </c>
      <c r="AD10" s="41">
        <v>7.5</v>
      </c>
      <c r="AE10" s="39">
        <f t="shared" si="2"/>
        <v>0</v>
      </c>
      <c r="AF10" s="39">
        <f t="shared" si="1"/>
        <v>0</v>
      </c>
      <c r="AG10" s="39">
        <f t="shared" si="1"/>
        <v>0</v>
      </c>
      <c r="AH10" s="42">
        <f t="shared" si="3"/>
        <v>0</v>
      </c>
    </row>
    <row r="11" spans="1:34">
      <c r="A11">
        <v>9.5</v>
      </c>
      <c r="B11">
        <v>221253</v>
      </c>
      <c r="C11">
        <v>1193</v>
      </c>
      <c r="D11">
        <f t="shared" si="0"/>
        <v>6.2653907058826189E-2</v>
      </c>
      <c r="Q11" s="8">
        <v>8</v>
      </c>
      <c r="U11" s="11"/>
      <c r="W11" s="29">
        <v>8</v>
      </c>
      <c r="X11" s="24"/>
      <c r="Z11" s="25"/>
      <c r="AA11" s="28"/>
      <c r="AC11">
        <v>8.25</v>
      </c>
      <c r="AD11" s="41">
        <v>8</v>
      </c>
      <c r="AE11" s="39">
        <f t="shared" si="2"/>
        <v>0</v>
      </c>
      <c r="AF11" s="39">
        <f t="shared" si="1"/>
        <v>0</v>
      </c>
      <c r="AG11" s="39">
        <f t="shared" si="1"/>
        <v>0</v>
      </c>
      <c r="AH11" s="42">
        <f t="shared" si="3"/>
        <v>0</v>
      </c>
    </row>
    <row r="12" spans="1:34">
      <c r="A12">
        <v>10</v>
      </c>
      <c r="B12">
        <v>507208</v>
      </c>
      <c r="C12">
        <v>3245</v>
      </c>
      <c r="D12">
        <f t="shared" si="0"/>
        <v>0.14362997514832845</v>
      </c>
      <c r="Q12" s="8">
        <v>8.5</v>
      </c>
      <c r="U12" s="11"/>
      <c r="W12" s="29">
        <v>8.5</v>
      </c>
      <c r="X12" s="24"/>
      <c r="Z12" s="25"/>
      <c r="AA12" s="28"/>
      <c r="AC12">
        <v>8.75</v>
      </c>
      <c r="AD12" s="41">
        <v>8.5</v>
      </c>
      <c r="AE12" s="39">
        <f t="shared" si="2"/>
        <v>0</v>
      </c>
      <c r="AF12" s="39">
        <f t="shared" si="1"/>
        <v>0</v>
      </c>
      <c r="AG12" s="39">
        <f t="shared" si="1"/>
        <v>0</v>
      </c>
      <c r="AH12" s="42">
        <f t="shared" si="3"/>
        <v>0</v>
      </c>
    </row>
    <row r="13" spans="1:34">
      <c r="A13">
        <v>10.5</v>
      </c>
      <c r="B13">
        <v>982579</v>
      </c>
      <c r="C13">
        <v>7393</v>
      </c>
      <c r="D13">
        <f t="shared" si="0"/>
        <v>0.27824442309914166</v>
      </c>
      <c r="Q13" s="8">
        <v>9</v>
      </c>
      <c r="U13" s="11"/>
      <c r="W13" s="29">
        <v>9</v>
      </c>
      <c r="X13" s="24"/>
      <c r="Z13" s="25"/>
      <c r="AA13" s="28"/>
      <c r="AC13">
        <v>9.25</v>
      </c>
      <c r="AD13" s="41">
        <v>9</v>
      </c>
      <c r="AE13" s="39">
        <f t="shared" si="2"/>
        <v>0</v>
      </c>
      <c r="AF13" s="39">
        <f t="shared" si="1"/>
        <v>0</v>
      </c>
      <c r="AG13" s="39">
        <f t="shared" si="1"/>
        <v>0</v>
      </c>
      <c r="AH13" s="42">
        <f t="shared" si="3"/>
        <v>0</v>
      </c>
    </row>
    <row r="14" spans="1:34">
      <c r="A14">
        <v>11</v>
      </c>
      <c r="B14">
        <v>698212</v>
      </c>
      <c r="C14">
        <v>6135</v>
      </c>
      <c r="D14">
        <f t="shared" si="0"/>
        <v>0.19771804113551977</v>
      </c>
      <c r="Q14" s="8">
        <v>9.5</v>
      </c>
      <c r="R14">
        <v>15</v>
      </c>
      <c r="S14">
        <v>1</v>
      </c>
      <c r="U14" s="11">
        <v>16</v>
      </c>
      <c r="W14" s="29">
        <v>9.5</v>
      </c>
      <c r="X14" s="24">
        <f>+R14/$U14</f>
        <v>0.9375</v>
      </c>
      <c r="Y14">
        <f>+S14/$U14</f>
        <v>6.25E-2</v>
      </c>
      <c r="Z14" s="25"/>
      <c r="AA14" s="28">
        <f t="shared" ref="AA14:AA16" si="4">SUM(X14:Z14)</f>
        <v>1</v>
      </c>
      <c r="AC14">
        <v>9.75</v>
      </c>
      <c r="AD14" s="41">
        <v>9.5</v>
      </c>
      <c r="AE14" s="39">
        <f t="shared" si="2"/>
        <v>207424.6875</v>
      </c>
      <c r="AF14" s="39">
        <f t="shared" si="1"/>
        <v>13828.3125</v>
      </c>
      <c r="AG14" s="39">
        <f t="shared" si="1"/>
        <v>0</v>
      </c>
      <c r="AH14" s="42">
        <f>SUM(AE14:AG14)</f>
        <v>221253</v>
      </c>
    </row>
    <row r="15" spans="1:34">
      <c r="A15">
        <v>11.5</v>
      </c>
      <c r="B15">
        <v>506405</v>
      </c>
      <c r="C15">
        <v>5160</v>
      </c>
      <c r="D15">
        <f t="shared" si="0"/>
        <v>0.14340258348643806</v>
      </c>
      <c r="Q15" s="8">
        <v>10</v>
      </c>
      <c r="R15">
        <v>23</v>
      </c>
      <c r="U15" s="11">
        <v>23</v>
      </c>
      <c r="W15" s="29">
        <v>10</v>
      </c>
      <c r="X15" s="24">
        <f t="shared" ref="X15:X16" si="5">+R15/$U15</f>
        <v>1</v>
      </c>
      <c r="Y15">
        <f t="shared" ref="Y15:Y16" si="6">+S15/$U15</f>
        <v>0</v>
      </c>
      <c r="Z15" s="25"/>
      <c r="AA15" s="28">
        <f t="shared" si="4"/>
        <v>1</v>
      </c>
      <c r="AC15">
        <v>10.25</v>
      </c>
      <c r="AD15" s="41">
        <v>10</v>
      </c>
      <c r="AE15" s="39">
        <f t="shared" si="2"/>
        <v>507208</v>
      </c>
      <c r="AF15" s="39">
        <f t="shared" si="1"/>
        <v>0</v>
      </c>
      <c r="AG15" s="39">
        <f t="shared" si="1"/>
        <v>0</v>
      </c>
      <c r="AH15" s="42">
        <f t="shared" si="3"/>
        <v>507208</v>
      </c>
    </row>
    <row r="16" spans="1:34">
      <c r="A16">
        <v>12</v>
      </c>
      <c r="B16">
        <v>325938</v>
      </c>
      <c r="C16">
        <v>3828</v>
      </c>
      <c r="D16">
        <f t="shared" si="0"/>
        <v>9.2298360514613098E-2</v>
      </c>
      <c r="Q16" s="8">
        <v>10.5</v>
      </c>
      <c r="R16">
        <v>22</v>
      </c>
      <c r="S16">
        <v>1</v>
      </c>
      <c r="U16" s="11">
        <v>23</v>
      </c>
      <c r="W16" s="29">
        <v>10.5</v>
      </c>
      <c r="X16" s="24">
        <f t="shared" si="5"/>
        <v>0.95652173913043481</v>
      </c>
      <c r="Y16">
        <f t="shared" si="6"/>
        <v>4.3478260869565216E-2</v>
      </c>
      <c r="Z16" s="25"/>
      <c r="AA16" s="28">
        <f t="shared" si="4"/>
        <v>1</v>
      </c>
      <c r="AC16">
        <v>10.75</v>
      </c>
      <c r="AD16" s="41">
        <v>10.5</v>
      </c>
      <c r="AE16" s="39">
        <f t="shared" si="2"/>
        <v>939858.17391304346</v>
      </c>
      <c r="AF16" s="39">
        <f t="shared" si="1"/>
        <v>42720.82608695652</v>
      </c>
      <c r="AG16" s="39">
        <f t="shared" si="1"/>
        <v>0</v>
      </c>
      <c r="AH16" s="42">
        <f t="shared" si="3"/>
        <v>982579</v>
      </c>
    </row>
    <row r="17" spans="1:34">
      <c r="A17">
        <v>12.5</v>
      </c>
      <c r="B17">
        <v>242287</v>
      </c>
      <c r="C17">
        <v>3261</v>
      </c>
      <c r="D17">
        <f t="shared" si="0"/>
        <v>6.8610265983113553E-2</v>
      </c>
      <c r="Q17" s="8">
        <v>11</v>
      </c>
      <c r="R17">
        <v>17</v>
      </c>
      <c r="S17">
        <v>4</v>
      </c>
      <c r="U17" s="11">
        <v>21</v>
      </c>
      <c r="W17" s="29">
        <v>11</v>
      </c>
      <c r="X17" s="24">
        <f t="shared" ref="X17:Y21" si="7">+R17/$U17</f>
        <v>0.80952380952380953</v>
      </c>
      <c r="Y17">
        <f t="shared" si="7"/>
        <v>0.19047619047619047</v>
      </c>
      <c r="Z17" s="25"/>
      <c r="AA17" s="28">
        <f>SUM(X17:Z17)</f>
        <v>1</v>
      </c>
      <c r="AC17">
        <v>11.25</v>
      </c>
      <c r="AD17" s="41">
        <v>11</v>
      </c>
      <c r="AE17" s="39">
        <f>+X17*$B14</f>
        <v>565219.23809523811</v>
      </c>
      <c r="AF17" s="39">
        <f>+Y17*$B14</f>
        <v>132992.76190476189</v>
      </c>
      <c r="AG17" s="39">
        <f t="shared" si="1"/>
        <v>0</v>
      </c>
      <c r="AH17" s="42">
        <f t="shared" si="3"/>
        <v>698212</v>
      </c>
    </row>
    <row r="18" spans="1:34">
      <c r="A18">
        <v>13</v>
      </c>
      <c r="B18">
        <v>47470</v>
      </c>
      <c r="C18">
        <v>729</v>
      </c>
      <c r="D18">
        <f t="shared" si="0"/>
        <v>1.3442443574019242E-2</v>
      </c>
      <c r="Q18" s="8">
        <v>11.5</v>
      </c>
      <c r="R18">
        <v>24</v>
      </c>
      <c r="U18" s="11">
        <v>24</v>
      </c>
      <c r="W18" s="29">
        <v>11.5</v>
      </c>
      <c r="X18" s="24">
        <f t="shared" si="7"/>
        <v>1</v>
      </c>
      <c r="Y18">
        <f t="shared" si="7"/>
        <v>0</v>
      </c>
      <c r="Z18" s="25"/>
      <c r="AA18" s="28">
        <f t="shared" ref="AA18:AA21" si="8">SUM(X18:Z18)</f>
        <v>1</v>
      </c>
      <c r="AC18">
        <v>11.75</v>
      </c>
      <c r="AD18" s="41">
        <v>11.5</v>
      </c>
      <c r="AE18" s="39">
        <f t="shared" si="2"/>
        <v>506405</v>
      </c>
      <c r="AF18" s="39">
        <f t="shared" si="1"/>
        <v>0</v>
      </c>
      <c r="AG18" s="39">
        <f t="shared" si="1"/>
        <v>0</v>
      </c>
      <c r="AH18" s="42">
        <f t="shared" si="3"/>
        <v>506405</v>
      </c>
    </row>
    <row r="19" spans="1:34">
      <c r="A19">
        <v>13.5</v>
      </c>
      <c r="B19">
        <v>0</v>
      </c>
      <c r="C19">
        <v>0</v>
      </c>
      <c r="D19">
        <f t="shared" si="0"/>
        <v>0</v>
      </c>
      <c r="Q19" s="8">
        <v>12</v>
      </c>
      <c r="R19">
        <v>24</v>
      </c>
      <c r="U19" s="11">
        <v>24</v>
      </c>
      <c r="W19" s="29">
        <v>12</v>
      </c>
      <c r="X19" s="24">
        <f t="shared" si="7"/>
        <v>1</v>
      </c>
      <c r="Y19">
        <f t="shared" si="7"/>
        <v>0</v>
      </c>
      <c r="Z19" s="25"/>
      <c r="AA19" s="28">
        <f t="shared" si="8"/>
        <v>1</v>
      </c>
      <c r="AC19">
        <v>12.25</v>
      </c>
      <c r="AD19" s="41">
        <v>12</v>
      </c>
      <c r="AE19" s="39">
        <f t="shared" si="2"/>
        <v>325938</v>
      </c>
      <c r="AF19" s="39">
        <f t="shared" si="1"/>
        <v>0</v>
      </c>
      <c r="AG19" s="39">
        <f t="shared" si="1"/>
        <v>0</v>
      </c>
      <c r="AH19" s="42">
        <f t="shared" si="3"/>
        <v>325938</v>
      </c>
    </row>
    <row r="20" spans="1:34">
      <c r="A20">
        <v>14</v>
      </c>
      <c r="B20">
        <v>0</v>
      </c>
      <c r="C20">
        <v>0</v>
      </c>
      <c r="D20">
        <f t="shared" si="0"/>
        <v>0</v>
      </c>
      <c r="Q20" s="8">
        <v>12.5</v>
      </c>
      <c r="R20">
        <v>16</v>
      </c>
      <c r="S20">
        <v>6</v>
      </c>
      <c r="U20" s="11">
        <v>22</v>
      </c>
      <c r="W20" s="29">
        <v>12.5</v>
      </c>
      <c r="X20" s="24">
        <f t="shared" si="7"/>
        <v>0.72727272727272729</v>
      </c>
      <c r="Y20">
        <f t="shared" si="7"/>
        <v>0.27272727272727271</v>
      </c>
      <c r="Z20" s="25"/>
      <c r="AA20" s="28">
        <f t="shared" si="8"/>
        <v>1</v>
      </c>
      <c r="AC20">
        <v>12.75</v>
      </c>
      <c r="AD20" s="41">
        <v>12.5</v>
      </c>
      <c r="AE20" s="39">
        <f t="shared" si="2"/>
        <v>176208.72727272726</v>
      </c>
      <c r="AF20" s="39">
        <f t="shared" si="1"/>
        <v>66078.272727272721</v>
      </c>
      <c r="AG20" s="39">
        <f t="shared" si="1"/>
        <v>0</v>
      </c>
      <c r="AH20" s="42">
        <f t="shared" si="3"/>
        <v>242287</v>
      </c>
    </row>
    <row r="21" spans="1:34">
      <c r="A21">
        <v>14.5</v>
      </c>
      <c r="B21">
        <v>0</v>
      </c>
      <c r="C21">
        <v>0</v>
      </c>
      <c r="D21">
        <f t="shared" si="0"/>
        <v>0</v>
      </c>
      <c r="Q21" s="8">
        <v>13</v>
      </c>
      <c r="R21">
        <v>10</v>
      </c>
      <c r="S21">
        <v>6</v>
      </c>
      <c r="U21" s="11">
        <v>16</v>
      </c>
      <c r="W21" s="29">
        <v>13</v>
      </c>
      <c r="X21" s="24">
        <f t="shared" si="7"/>
        <v>0.625</v>
      </c>
      <c r="Y21">
        <f t="shared" si="7"/>
        <v>0.375</v>
      </c>
      <c r="Z21" s="25"/>
      <c r="AA21" s="28">
        <f t="shared" si="8"/>
        <v>1</v>
      </c>
      <c r="AC21">
        <v>13.25</v>
      </c>
      <c r="AD21" s="41">
        <v>13</v>
      </c>
      <c r="AE21" s="39">
        <f t="shared" si="2"/>
        <v>29668.75</v>
      </c>
      <c r="AF21" s="39">
        <f t="shared" si="2"/>
        <v>17801.25</v>
      </c>
      <c r="AG21" s="39">
        <f t="shared" si="2"/>
        <v>0</v>
      </c>
      <c r="AH21" s="42">
        <f t="shared" si="3"/>
        <v>47470</v>
      </c>
    </row>
    <row r="22" spans="1:34">
      <c r="A22">
        <v>15</v>
      </c>
      <c r="B22">
        <v>0</v>
      </c>
      <c r="C22">
        <v>0</v>
      </c>
      <c r="D22">
        <f t="shared" si="0"/>
        <v>0</v>
      </c>
      <c r="Q22" s="8">
        <v>13.5</v>
      </c>
      <c r="U22" s="11"/>
      <c r="W22" s="29">
        <v>13.5</v>
      </c>
      <c r="X22" s="24"/>
      <c r="Z22" s="25"/>
      <c r="AA22" s="28"/>
      <c r="AC22">
        <v>13.75</v>
      </c>
      <c r="AD22" s="41">
        <v>13.5</v>
      </c>
      <c r="AE22" s="39">
        <f t="shared" ref="AE22:AG31" si="9">+X22*$B19</f>
        <v>0</v>
      </c>
      <c r="AF22" s="39">
        <f t="shared" si="9"/>
        <v>0</v>
      </c>
      <c r="AG22" s="39">
        <f t="shared" si="9"/>
        <v>0</v>
      </c>
      <c r="AH22" s="42">
        <f t="shared" si="3"/>
        <v>0</v>
      </c>
    </row>
    <row r="23" spans="1:34">
      <c r="A23">
        <v>15.5</v>
      </c>
      <c r="B23">
        <v>0</v>
      </c>
      <c r="C23">
        <v>0</v>
      </c>
      <c r="D23">
        <f t="shared" si="0"/>
        <v>0</v>
      </c>
      <c r="Q23" s="8">
        <v>14</v>
      </c>
      <c r="U23" s="11"/>
      <c r="W23" s="29">
        <v>14</v>
      </c>
      <c r="X23" s="24"/>
      <c r="Z23" s="25"/>
      <c r="AA23" s="28"/>
      <c r="AC23">
        <v>14.25</v>
      </c>
      <c r="AD23" s="41">
        <v>14</v>
      </c>
      <c r="AE23" s="39">
        <f t="shared" si="9"/>
        <v>0</v>
      </c>
      <c r="AF23" s="39">
        <f t="shared" si="9"/>
        <v>0</v>
      </c>
      <c r="AG23" s="39">
        <f t="shared" si="9"/>
        <v>0</v>
      </c>
      <c r="AH23" s="42">
        <f t="shared" si="3"/>
        <v>0</v>
      </c>
    </row>
    <row r="24" spans="1:34">
      <c r="A24">
        <v>16</v>
      </c>
      <c r="B24">
        <v>0</v>
      </c>
      <c r="C24">
        <v>0</v>
      </c>
      <c r="D24">
        <f t="shared" si="0"/>
        <v>0</v>
      </c>
      <c r="Q24" s="8">
        <v>14.5</v>
      </c>
      <c r="U24" s="11"/>
      <c r="W24" s="29">
        <v>14.5</v>
      </c>
      <c r="X24" s="24"/>
      <c r="Z24" s="25"/>
      <c r="AA24" s="28"/>
      <c r="AC24">
        <v>14.75</v>
      </c>
      <c r="AD24" s="41">
        <v>14.5</v>
      </c>
      <c r="AE24" s="39">
        <f t="shared" si="9"/>
        <v>0</v>
      </c>
      <c r="AF24" s="39">
        <f t="shared" si="9"/>
        <v>0</v>
      </c>
      <c r="AG24" s="39">
        <f t="shared" si="9"/>
        <v>0</v>
      </c>
      <c r="AH24" s="42">
        <f t="shared" si="3"/>
        <v>0</v>
      </c>
    </row>
    <row r="25" spans="1:34">
      <c r="A25">
        <v>16.5</v>
      </c>
      <c r="B25">
        <v>0</v>
      </c>
      <c r="C25">
        <v>0</v>
      </c>
      <c r="D25">
        <f t="shared" si="0"/>
        <v>0</v>
      </c>
      <c r="Q25" s="8">
        <v>15</v>
      </c>
      <c r="U25" s="11"/>
      <c r="W25" s="29">
        <v>15</v>
      </c>
      <c r="X25" s="24"/>
      <c r="Z25" s="25"/>
      <c r="AA25" s="28"/>
      <c r="AC25">
        <v>15.25</v>
      </c>
      <c r="AD25" s="41">
        <v>15</v>
      </c>
      <c r="AE25" s="39">
        <f t="shared" si="9"/>
        <v>0</v>
      </c>
      <c r="AF25" s="39">
        <f t="shared" si="9"/>
        <v>0</v>
      </c>
      <c r="AG25" s="39">
        <f t="shared" si="9"/>
        <v>0</v>
      </c>
      <c r="AH25" s="42">
        <f t="shared" si="3"/>
        <v>0</v>
      </c>
    </row>
    <row r="26" spans="1:34">
      <c r="A26">
        <v>17</v>
      </c>
      <c r="B26">
        <v>0</v>
      </c>
      <c r="C26">
        <v>0</v>
      </c>
      <c r="D26">
        <f t="shared" si="0"/>
        <v>0</v>
      </c>
      <c r="Q26" s="8">
        <v>15.5</v>
      </c>
      <c r="U26" s="11"/>
      <c r="W26" s="29">
        <v>15.5</v>
      </c>
      <c r="X26" s="24"/>
      <c r="Z26" s="25"/>
      <c r="AA26" s="28"/>
      <c r="AC26">
        <v>15.75</v>
      </c>
      <c r="AD26" s="41">
        <v>15.5</v>
      </c>
      <c r="AE26" s="39">
        <f t="shared" si="9"/>
        <v>0</v>
      </c>
      <c r="AF26" s="39">
        <f t="shared" si="9"/>
        <v>0</v>
      </c>
      <c r="AG26" s="39">
        <f t="shared" si="9"/>
        <v>0</v>
      </c>
      <c r="AH26" s="42">
        <f>SUM(AE26:AG26)</f>
        <v>0</v>
      </c>
    </row>
    <row r="27" spans="1:34">
      <c r="A27">
        <v>17.5</v>
      </c>
      <c r="B27">
        <v>0</v>
      </c>
      <c r="C27">
        <v>0</v>
      </c>
      <c r="D27">
        <f t="shared" si="0"/>
        <v>0</v>
      </c>
      <c r="Q27" s="8">
        <v>16</v>
      </c>
      <c r="U27" s="11"/>
      <c r="W27" s="29">
        <v>16</v>
      </c>
      <c r="X27" s="24"/>
      <c r="Z27" s="25"/>
      <c r="AA27" s="28"/>
      <c r="AC27">
        <v>16.25</v>
      </c>
      <c r="AD27" s="41">
        <v>16</v>
      </c>
      <c r="AE27" s="39">
        <f t="shared" si="9"/>
        <v>0</v>
      </c>
      <c r="AF27" s="39">
        <f t="shared" si="9"/>
        <v>0</v>
      </c>
      <c r="AG27" s="39">
        <f t="shared" si="9"/>
        <v>0</v>
      </c>
      <c r="AH27" s="42">
        <f t="shared" si="3"/>
        <v>0</v>
      </c>
    </row>
    <row r="28" spans="1:34">
      <c r="A28">
        <v>18</v>
      </c>
      <c r="B28">
        <v>0</v>
      </c>
      <c r="C28">
        <v>0</v>
      </c>
      <c r="D28">
        <f t="shared" si="0"/>
        <v>0</v>
      </c>
      <c r="Q28" s="8">
        <v>16.5</v>
      </c>
      <c r="U28" s="11"/>
      <c r="W28" s="29">
        <v>16.5</v>
      </c>
      <c r="X28" s="24"/>
      <c r="Z28" s="25"/>
      <c r="AA28" s="28"/>
      <c r="AC28">
        <v>16.75</v>
      </c>
      <c r="AD28" s="41">
        <v>16.5</v>
      </c>
      <c r="AE28" s="39">
        <f t="shared" si="9"/>
        <v>0</v>
      </c>
      <c r="AF28" s="39">
        <f t="shared" si="9"/>
        <v>0</v>
      </c>
      <c r="AG28" s="39">
        <f t="shared" si="9"/>
        <v>0</v>
      </c>
      <c r="AH28" s="42">
        <f t="shared" si="3"/>
        <v>0</v>
      </c>
    </row>
    <row r="29" spans="1:34">
      <c r="A29">
        <v>18.5</v>
      </c>
      <c r="B29">
        <v>0</v>
      </c>
      <c r="C29">
        <v>0</v>
      </c>
      <c r="D29">
        <f t="shared" si="0"/>
        <v>0</v>
      </c>
      <c r="Q29" s="8">
        <v>17</v>
      </c>
      <c r="U29" s="11"/>
      <c r="W29" s="29">
        <v>17</v>
      </c>
      <c r="X29" s="24"/>
      <c r="Z29" s="25"/>
      <c r="AA29" s="28"/>
      <c r="AC29">
        <v>17.25</v>
      </c>
      <c r="AD29" s="41">
        <v>17</v>
      </c>
      <c r="AE29" s="39">
        <f t="shared" si="9"/>
        <v>0</v>
      </c>
      <c r="AF29" s="39">
        <f t="shared" si="9"/>
        <v>0</v>
      </c>
      <c r="AG29" s="39">
        <f t="shared" si="9"/>
        <v>0</v>
      </c>
      <c r="AH29" s="42">
        <f t="shared" si="3"/>
        <v>0</v>
      </c>
    </row>
    <row r="30" spans="1:34">
      <c r="A30">
        <v>19</v>
      </c>
      <c r="B30">
        <v>0</v>
      </c>
      <c r="C30">
        <v>0</v>
      </c>
      <c r="D30">
        <f t="shared" si="0"/>
        <v>0</v>
      </c>
      <c r="Q30" s="8">
        <v>17.5</v>
      </c>
      <c r="U30" s="11"/>
      <c r="W30" s="29">
        <v>17.5</v>
      </c>
      <c r="X30" s="24"/>
      <c r="Z30" s="25"/>
      <c r="AA30" s="28"/>
      <c r="AC30">
        <v>17.75</v>
      </c>
      <c r="AD30" s="41">
        <v>17.5</v>
      </c>
      <c r="AE30" s="39">
        <f t="shared" si="9"/>
        <v>0</v>
      </c>
      <c r="AF30" s="39">
        <f t="shared" si="9"/>
        <v>0</v>
      </c>
      <c r="AG30" s="39">
        <f t="shared" si="9"/>
        <v>0</v>
      </c>
      <c r="AH30" s="42">
        <f t="shared" si="3"/>
        <v>0</v>
      </c>
    </row>
    <row r="31" spans="1:34">
      <c r="A31">
        <v>19.5</v>
      </c>
      <c r="B31">
        <v>0</v>
      </c>
      <c r="C31">
        <v>0</v>
      </c>
      <c r="D31">
        <f t="shared" si="0"/>
        <v>0</v>
      </c>
      <c r="Q31" s="8">
        <v>18</v>
      </c>
      <c r="U31" s="11"/>
      <c r="W31" s="29">
        <v>18</v>
      </c>
      <c r="X31" s="24"/>
      <c r="Z31" s="25"/>
      <c r="AA31" s="28"/>
      <c r="AC31">
        <v>18.25</v>
      </c>
      <c r="AD31" s="41">
        <v>18</v>
      </c>
      <c r="AE31" s="39">
        <f t="shared" si="9"/>
        <v>0</v>
      </c>
      <c r="AF31" s="39">
        <f t="shared" si="9"/>
        <v>0</v>
      </c>
      <c r="AG31" s="39">
        <f t="shared" si="9"/>
        <v>0</v>
      </c>
      <c r="AH31" s="42">
        <f t="shared" si="3"/>
        <v>0</v>
      </c>
    </row>
    <row r="32" spans="1:34">
      <c r="A32">
        <v>20</v>
      </c>
      <c r="B32">
        <v>0</v>
      </c>
      <c r="C32">
        <v>0</v>
      </c>
      <c r="D32">
        <f t="shared" si="0"/>
        <v>0</v>
      </c>
      <c r="Q32" s="12" t="s">
        <v>8</v>
      </c>
      <c r="R32" s="13">
        <v>151</v>
      </c>
      <c r="S32" s="13">
        <v>18</v>
      </c>
      <c r="T32" s="13"/>
      <c r="U32" s="14">
        <v>169</v>
      </c>
      <c r="W32" s="12" t="s">
        <v>8</v>
      </c>
      <c r="X32" s="13">
        <f>+R32/$U32</f>
        <v>0.89349112426035504</v>
      </c>
      <c r="Y32" s="13">
        <f>+S32/$U32</f>
        <v>0.10650887573964497</v>
      </c>
      <c r="Z32" s="13">
        <f>+T32/$U32</f>
        <v>0</v>
      </c>
      <c r="AA32" s="14">
        <f>SUM(X32:Z32)</f>
        <v>1</v>
      </c>
      <c r="AB32" s="20"/>
      <c r="AD32" s="43" t="s">
        <v>8</v>
      </c>
      <c r="AE32" s="36">
        <f>SUM(AE5:AE31)</f>
        <v>3257930.5767810089</v>
      </c>
      <c r="AF32" s="36">
        <f>SUM(AF5:AF31)</f>
        <v>273421.42321899114</v>
      </c>
      <c r="AG32" s="36">
        <f t="shared" ref="AG32" si="10">SUM(AG5:AG31)</f>
        <v>0</v>
      </c>
      <c r="AH32" s="44">
        <f>SUM(AH5:AH31)</f>
        <v>3531352</v>
      </c>
    </row>
    <row r="33" spans="1:34">
      <c r="A33">
        <v>20.5</v>
      </c>
      <c r="B33">
        <v>0</v>
      </c>
      <c r="C33">
        <v>0</v>
      </c>
      <c r="D33">
        <f t="shared" si="0"/>
        <v>0</v>
      </c>
      <c r="AD33" s="44" t="s">
        <v>15</v>
      </c>
      <c r="AE33" s="45">
        <f>+AE32/$AH$32*100</f>
        <v>92.257316086898413</v>
      </c>
      <c r="AF33" s="45">
        <f t="shared" ref="AF33:AH33" si="11">+AF32/$AH$32*100</f>
        <v>7.7426839131015859</v>
      </c>
      <c r="AG33" s="45">
        <f t="shared" si="11"/>
        <v>0</v>
      </c>
      <c r="AH33" s="46">
        <f t="shared" si="11"/>
        <v>100</v>
      </c>
    </row>
    <row r="34" spans="1:34">
      <c r="A34">
        <v>21</v>
      </c>
      <c r="B34">
        <v>0</v>
      </c>
      <c r="C34">
        <v>0</v>
      </c>
      <c r="D34">
        <f t="shared" si="0"/>
        <v>0</v>
      </c>
      <c r="AD34" s="44" t="s">
        <v>16</v>
      </c>
      <c r="AE34" s="45">
        <f>SUMPRODUCT(AE5:AE31,$AC$5:$AC$31)/AE$32</f>
        <v>11.131678563059406</v>
      </c>
      <c r="AF34" s="45">
        <f>SUMPRODUCT(AF5:AF31,$AC$5:$AC$31)/AF$32</f>
        <v>11.588733615702274</v>
      </c>
      <c r="AG34" s="45"/>
      <c r="AH34" s="46">
        <f t="shared" ref="AH34" si="12">SUMPRODUCT(AH5:AH31,$AC$5:$AC$31)/AH$32</f>
        <v>11.167066891094402</v>
      </c>
    </row>
    <row r="35" spans="1:34" ht="14.25" customHeight="1">
      <c r="A35">
        <v>21.5</v>
      </c>
      <c r="B35">
        <v>0</v>
      </c>
      <c r="C35">
        <v>0</v>
      </c>
      <c r="D35">
        <f t="shared" si="0"/>
        <v>0</v>
      </c>
      <c r="Q35" s="47"/>
      <c r="R35" s="47"/>
      <c r="S35" s="47"/>
      <c r="T35" s="47"/>
      <c r="U35" s="47"/>
    </row>
    <row r="36" spans="1:34">
      <c r="A36">
        <v>22</v>
      </c>
      <c r="B36">
        <v>0</v>
      </c>
      <c r="C36">
        <v>0</v>
      </c>
      <c r="D36">
        <f t="shared" si="0"/>
        <v>0</v>
      </c>
    </row>
    <row r="37" spans="1:34">
      <c r="A37">
        <v>22.5</v>
      </c>
      <c r="B37">
        <v>0</v>
      </c>
      <c r="C37">
        <v>0</v>
      </c>
      <c r="D37">
        <f t="shared" si="0"/>
        <v>0</v>
      </c>
      <c r="Q37" s="48"/>
      <c r="R37" s="48"/>
      <c r="S37" s="48"/>
      <c r="T37" s="48"/>
      <c r="U37" s="48"/>
      <c r="AD37" t="s">
        <v>8</v>
      </c>
      <c r="AE37">
        <f>3257930.57678101/1000</f>
        <v>3257.9305767810097</v>
      </c>
      <c r="AF37">
        <f>273421.423218991/1000</f>
        <v>273.42142321899104</v>
      </c>
      <c r="AG37">
        <v>0</v>
      </c>
      <c r="AH37">
        <f>3531352/1000</f>
        <v>3531.3519999999999</v>
      </c>
    </row>
    <row r="38" spans="1:34">
      <c r="A38">
        <v>23</v>
      </c>
      <c r="B38">
        <v>0</v>
      </c>
      <c r="C38">
        <v>0</v>
      </c>
      <c r="D38">
        <f t="shared" si="0"/>
        <v>0</v>
      </c>
      <c r="Q38" s="48"/>
      <c r="R38" s="9"/>
      <c r="S38" s="9"/>
      <c r="T38" s="9"/>
      <c r="U38" s="48"/>
    </row>
    <row r="39" spans="1:34">
      <c r="A39">
        <v>23.5</v>
      </c>
      <c r="B39">
        <v>0</v>
      </c>
      <c r="C39">
        <v>0</v>
      </c>
      <c r="D39">
        <f t="shared" si="0"/>
        <v>0</v>
      </c>
      <c r="Q39" s="34"/>
      <c r="U39" s="20"/>
    </row>
    <row r="40" spans="1:34">
      <c r="A40">
        <v>24</v>
      </c>
      <c r="B40">
        <v>0</v>
      </c>
      <c r="C40">
        <v>0</v>
      </c>
      <c r="D40">
        <f t="shared" si="0"/>
        <v>0</v>
      </c>
      <c r="Q40" s="34"/>
      <c r="U40" s="20"/>
    </row>
    <row r="41" spans="1:34">
      <c r="A41">
        <v>24.5</v>
      </c>
      <c r="B41">
        <v>0</v>
      </c>
      <c r="C41">
        <v>0</v>
      </c>
      <c r="D41">
        <f t="shared" si="0"/>
        <v>0</v>
      </c>
      <c r="Q41" s="34"/>
      <c r="U41" s="20"/>
    </row>
    <row r="42" spans="1:34">
      <c r="A42">
        <v>25</v>
      </c>
      <c r="B42">
        <v>0</v>
      </c>
      <c r="C42">
        <v>0</v>
      </c>
      <c r="D42">
        <f t="shared" si="0"/>
        <v>0</v>
      </c>
      <c r="Q42" s="34"/>
      <c r="U42" s="20"/>
    </row>
    <row r="43" spans="1:34">
      <c r="A43">
        <v>25.5</v>
      </c>
      <c r="B43">
        <v>0</v>
      </c>
      <c r="C43">
        <v>0</v>
      </c>
      <c r="D43">
        <f t="shared" si="0"/>
        <v>0</v>
      </c>
      <c r="Q43" s="34"/>
      <c r="U43" s="20"/>
    </row>
    <row r="44" spans="1:34">
      <c r="B44">
        <f>SUM(B2:B43)</f>
        <v>3531352</v>
      </c>
      <c r="C44">
        <f>SUM(C2:C43)</f>
        <v>30944</v>
      </c>
      <c r="Q44" s="34"/>
      <c r="U44" s="20"/>
    </row>
    <row r="45" spans="1:34">
      <c r="Q45" s="34"/>
      <c r="U45" s="20"/>
    </row>
    <row r="46" spans="1:34">
      <c r="Q46" s="34"/>
      <c r="U46" s="20"/>
    </row>
    <row r="47" spans="1:34">
      <c r="Q47" s="34"/>
      <c r="U47" s="20"/>
    </row>
    <row r="48" spans="1:34">
      <c r="Q48" s="34"/>
      <c r="U48" s="20"/>
    </row>
    <row r="49" spans="17:21">
      <c r="Q49" s="34"/>
      <c r="U49" s="20"/>
    </row>
    <row r="50" spans="17:21">
      <c r="Q50" s="34"/>
      <c r="U50" s="20"/>
    </row>
    <row r="51" spans="17:21">
      <c r="Q51" s="34"/>
      <c r="U51" s="20"/>
    </row>
    <row r="52" spans="17:21">
      <c r="Q52" s="34"/>
      <c r="U52" s="20"/>
    </row>
    <row r="53" spans="17:21">
      <c r="Q53" s="34"/>
      <c r="U53" s="20"/>
    </row>
    <row r="54" spans="17:21">
      <c r="Q54" s="34"/>
      <c r="U54" s="20"/>
    </row>
    <row r="55" spans="17:21">
      <c r="Q55" s="34"/>
      <c r="U55" s="20"/>
    </row>
    <row r="56" spans="17:21">
      <c r="Q56" s="34"/>
      <c r="U56" s="20"/>
    </row>
    <row r="57" spans="17:21">
      <c r="Q57" s="34"/>
      <c r="U57" s="20"/>
    </row>
    <row r="58" spans="17:21">
      <c r="Q58" s="34"/>
      <c r="U58" s="20"/>
    </row>
    <row r="59" spans="17:21">
      <c r="Q59" s="34"/>
      <c r="U59" s="20"/>
    </row>
    <row r="60" spans="17:21">
      <c r="Q60" s="34"/>
      <c r="U60" s="20"/>
    </row>
    <row r="61" spans="17:21">
      <c r="Q61" s="34"/>
      <c r="U61" s="20"/>
    </row>
    <row r="62" spans="17:21">
      <c r="Q62" s="34"/>
      <c r="U62" s="20"/>
    </row>
    <row r="63" spans="17:21">
      <c r="Q63" s="34"/>
      <c r="U63" s="20"/>
    </row>
    <row r="64" spans="17:21">
      <c r="Q64" s="34"/>
      <c r="U64" s="20"/>
    </row>
    <row r="65" spans="17:21">
      <c r="Q65" s="34"/>
      <c r="U65" s="20"/>
    </row>
    <row r="66" spans="17:21">
      <c r="Q66" s="9"/>
      <c r="R66" s="20"/>
      <c r="S66" s="20"/>
      <c r="T66" s="20"/>
      <c r="U66" s="20"/>
    </row>
  </sheetData>
  <mergeCells count="13">
    <mergeCell ref="Q1:U1"/>
    <mergeCell ref="Q3:Q4"/>
    <mergeCell ref="R3:T3"/>
    <mergeCell ref="U3:U4"/>
    <mergeCell ref="W1:AA1"/>
    <mergeCell ref="AD1:AH1"/>
    <mergeCell ref="AD2:AH2"/>
    <mergeCell ref="W3:W4"/>
    <mergeCell ref="X3:Z3"/>
    <mergeCell ref="AA3:AA4"/>
    <mergeCell ref="AD3:AD4"/>
    <mergeCell ref="AE3:AG3"/>
    <mergeCell ref="AH3:AH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I85"/>
  <sheetViews>
    <sheetView tabSelected="1" topLeftCell="Y43" zoomScale="90" zoomScaleNormal="90" workbookViewId="0">
      <selection activeCell="AM81" sqref="AM81:AP81"/>
    </sheetView>
  </sheetViews>
  <sheetFormatPr baseColWidth="10" defaultRowHeight="14.4"/>
  <cols>
    <col min="5" max="5" width="13.44140625" bestFit="1" customWidth="1"/>
    <col min="11" max="11" width="13.6640625" bestFit="1" customWidth="1"/>
    <col min="14" max="14" width="11.109375" bestFit="1" customWidth="1"/>
  </cols>
  <sheetData>
    <row r="1" spans="1:61">
      <c r="A1" t="s">
        <v>19</v>
      </c>
      <c r="G1" t="s">
        <v>20</v>
      </c>
      <c r="M1" t="s">
        <v>21</v>
      </c>
      <c r="N1" t="s">
        <v>27</v>
      </c>
      <c r="O1" t="s">
        <v>28</v>
      </c>
    </row>
    <row r="2" spans="1:61">
      <c r="A2" t="s">
        <v>0</v>
      </c>
      <c r="B2" t="s">
        <v>1</v>
      </c>
      <c r="C2" t="s">
        <v>2</v>
      </c>
      <c r="E2" t="s">
        <v>25</v>
      </c>
      <c r="G2" t="s">
        <v>0</v>
      </c>
      <c r="H2" t="s">
        <v>1</v>
      </c>
      <c r="I2" t="s">
        <v>2</v>
      </c>
      <c r="K2" t="s">
        <v>26</v>
      </c>
      <c r="M2" t="s">
        <v>0</v>
      </c>
      <c r="N2" t="s">
        <v>22</v>
      </c>
      <c r="O2" t="s">
        <v>29</v>
      </c>
      <c r="Z2" t="s">
        <v>9</v>
      </c>
      <c r="AF2" t="s">
        <v>10</v>
      </c>
      <c r="AL2" s="57" t="s">
        <v>23</v>
      </c>
      <c r="AM2" s="57"/>
      <c r="AN2" s="57"/>
      <c r="AO2" s="57"/>
      <c r="AP2" s="57"/>
      <c r="AQ2" t="s">
        <v>41</v>
      </c>
      <c r="AX2" s="57" t="s">
        <v>23</v>
      </c>
      <c r="AY2" s="57"/>
      <c r="AZ2" s="57"/>
      <c r="BA2" s="57"/>
      <c r="BB2" s="57"/>
      <c r="BD2" s="57" t="s">
        <v>23</v>
      </c>
      <c r="BE2" s="57"/>
      <c r="BF2" s="57"/>
      <c r="BG2" s="57"/>
      <c r="BH2" s="57"/>
    </row>
    <row r="3" spans="1:61">
      <c r="A3">
        <v>5</v>
      </c>
      <c r="B3">
        <v>0</v>
      </c>
      <c r="C3">
        <v>0</v>
      </c>
      <c r="D3">
        <f>B3/157668</f>
        <v>0</v>
      </c>
      <c r="E3">
        <f>B3/1000</f>
        <v>0</v>
      </c>
      <c r="G3">
        <v>5</v>
      </c>
      <c r="H3">
        <v>0</v>
      </c>
      <c r="I3">
        <v>0</v>
      </c>
      <c r="J3">
        <f>H3/3531352</f>
        <v>0</v>
      </c>
      <c r="K3">
        <f>H3/1000</f>
        <v>0</v>
      </c>
      <c r="M3">
        <v>5</v>
      </c>
      <c r="N3">
        <f>E3+K3</f>
        <v>0</v>
      </c>
      <c r="O3">
        <f>C3+I3</f>
        <v>0</v>
      </c>
      <c r="Z3" t="s">
        <v>17</v>
      </c>
      <c r="AF3" t="s">
        <v>17</v>
      </c>
      <c r="AL3" s="57" t="s">
        <v>17</v>
      </c>
      <c r="AM3" s="57"/>
      <c r="AN3" s="57"/>
      <c r="AO3" s="57"/>
      <c r="AP3" s="57"/>
      <c r="AX3" s="57" t="s">
        <v>17</v>
      </c>
      <c r="AY3" s="57"/>
      <c r="AZ3" s="57"/>
      <c r="BA3" s="57"/>
      <c r="BB3" s="57"/>
      <c r="BD3" s="57" t="s">
        <v>17</v>
      </c>
      <c r="BE3" s="57"/>
      <c r="BF3" s="57"/>
      <c r="BG3" s="57"/>
      <c r="BH3" s="57"/>
    </row>
    <row r="4" spans="1:61">
      <c r="A4">
        <v>5.5</v>
      </c>
      <c r="B4">
        <v>0</v>
      </c>
      <c r="C4">
        <v>0</v>
      </c>
      <c r="D4">
        <f t="shared" ref="D4:D44" si="0">B4/157668</f>
        <v>0</v>
      </c>
      <c r="E4">
        <f t="shared" ref="E4:E44" si="1">B4/1000</f>
        <v>0</v>
      </c>
      <c r="G4">
        <v>5.5</v>
      </c>
      <c r="H4">
        <v>0</v>
      </c>
      <c r="I4">
        <v>0</v>
      </c>
      <c r="J4">
        <f t="shared" ref="J4:J44" si="2">H4/3531352</f>
        <v>0</v>
      </c>
      <c r="K4">
        <f t="shared" ref="K4:K44" si="3">H4/1000</f>
        <v>0</v>
      </c>
      <c r="M4">
        <v>5.5</v>
      </c>
      <c r="N4">
        <f t="shared" ref="N4:N44" si="4">E4+K4</f>
        <v>0</v>
      </c>
      <c r="O4">
        <f>C4+I4</f>
        <v>0</v>
      </c>
      <c r="Z4" s="76" t="s">
        <v>6</v>
      </c>
      <c r="AA4" s="76" t="s">
        <v>7</v>
      </c>
      <c r="AB4" s="76"/>
      <c r="AC4" s="76"/>
      <c r="AD4" s="76" t="s">
        <v>8</v>
      </c>
      <c r="AF4" s="76" t="s">
        <v>6</v>
      </c>
      <c r="AG4" s="76" t="s">
        <v>7</v>
      </c>
      <c r="AH4" s="76"/>
      <c r="AI4" s="76"/>
      <c r="AJ4" s="76" t="s">
        <v>8</v>
      </c>
      <c r="AL4" s="76" t="s">
        <v>6</v>
      </c>
      <c r="AM4" s="76" t="s">
        <v>7</v>
      </c>
      <c r="AN4" s="76"/>
      <c r="AO4" s="76"/>
      <c r="AP4" s="76" t="s">
        <v>8</v>
      </c>
      <c r="AQ4" s="76" t="s">
        <v>6</v>
      </c>
      <c r="AR4" s="76" t="s">
        <v>7</v>
      </c>
      <c r="AS4" s="76"/>
      <c r="AT4" s="76"/>
      <c r="AU4" s="76" t="s">
        <v>8</v>
      </c>
      <c r="AX4" s="76" t="s">
        <v>6</v>
      </c>
      <c r="AY4" s="76" t="s">
        <v>7</v>
      </c>
      <c r="AZ4" s="76"/>
      <c r="BA4" s="76"/>
      <c r="BB4" s="76" t="s">
        <v>8</v>
      </c>
      <c r="BD4" s="76" t="s">
        <v>6</v>
      </c>
      <c r="BE4" s="76" t="s">
        <v>7</v>
      </c>
      <c r="BF4" s="76"/>
      <c r="BG4" s="76"/>
      <c r="BH4" s="76" t="s">
        <v>8</v>
      </c>
    </row>
    <row r="5" spans="1:61">
      <c r="A5">
        <v>6</v>
      </c>
      <c r="B5">
        <v>0</v>
      </c>
      <c r="C5">
        <v>0</v>
      </c>
      <c r="D5">
        <f t="shared" si="0"/>
        <v>0</v>
      </c>
      <c r="E5">
        <f t="shared" si="1"/>
        <v>0</v>
      </c>
      <c r="G5">
        <v>6</v>
      </c>
      <c r="H5">
        <v>0</v>
      </c>
      <c r="I5">
        <v>0</v>
      </c>
      <c r="J5">
        <f t="shared" si="2"/>
        <v>0</v>
      </c>
      <c r="K5">
        <f t="shared" si="3"/>
        <v>0</v>
      </c>
      <c r="M5">
        <v>6</v>
      </c>
      <c r="N5">
        <f t="shared" si="4"/>
        <v>0</v>
      </c>
      <c r="O5">
        <f t="shared" ref="O5:O44" si="5">C5+I5</f>
        <v>0</v>
      </c>
      <c r="Z5" s="57"/>
      <c r="AA5" s="57">
        <v>1</v>
      </c>
      <c r="AB5" s="57">
        <v>2</v>
      </c>
      <c r="AC5" s="57">
        <v>3</v>
      </c>
      <c r="AD5" s="57"/>
      <c r="AF5" s="57"/>
      <c r="AG5" s="57">
        <v>1</v>
      </c>
      <c r="AH5" s="57">
        <v>2</v>
      </c>
      <c r="AI5" s="57">
        <v>3</v>
      </c>
      <c r="AJ5" s="57"/>
      <c r="AL5" s="57"/>
      <c r="AM5" s="57">
        <v>1</v>
      </c>
      <c r="AN5" s="57">
        <v>2</v>
      </c>
      <c r="AO5" s="57">
        <v>3</v>
      </c>
      <c r="AP5" s="57"/>
      <c r="AQ5" s="57"/>
      <c r="AR5" s="57">
        <v>1</v>
      </c>
      <c r="AS5" s="57">
        <v>2</v>
      </c>
      <c r="AT5" s="57">
        <v>3</v>
      </c>
      <c r="AU5" s="57"/>
      <c r="AX5" s="57"/>
      <c r="AY5" s="57">
        <v>1</v>
      </c>
      <c r="AZ5" s="57">
        <v>2</v>
      </c>
      <c r="BA5" s="57">
        <v>3</v>
      </c>
      <c r="BB5" s="57"/>
      <c r="BD5" s="57"/>
      <c r="BE5" s="57">
        <v>1</v>
      </c>
      <c r="BF5" s="57">
        <v>2</v>
      </c>
      <c r="BG5" s="57">
        <v>3</v>
      </c>
      <c r="BH5" s="57"/>
    </row>
    <row r="6" spans="1:61">
      <c r="A6">
        <v>6.5</v>
      </c>
      <c r="B6">
        <v>0</v>
      </c>
      <c r="C6">
        <v>0</v>
      </c>
      <c r="D6">
        <f t="shared" si="0"/>
        <v>0</v>
      </c>
      <c r="E6">
        <f t="shared" si="1"/>
        <v>0</v>
      </c>
      <c r="G6">
        <v>6.5</v>
      </c>
      <c r="H6">
        <v>0</v>
      </c>
      <c r="I6">
        <v>0</v>
      </c>
      <c r="J6">
        <f t="shared" si="2"/>
        <v>0</v>
      </c>
      <c r="K6">
        <f t="shared" si="3"/>
        <v>0</v>
      </c>
      <c r="M6">
        <v>6.5</v>
      </c>
      <c r="N6">
        <f t="shared" si="4"/>
        <v>0</v>
      </c>
      <c r="O6">
        <f t="shared" si="5"/>
        <v>0</v>
      </c>
      <c r="Z6" s="57">
        <v>5</v>
      </c>
      <c r="AA6" s="57">
        <v>0</v>
      </c>
      <c r="AB6" s="57">
        <v>0</v>
      </c>
      <c r="AC6" s="57">
        <v>0</v>
      </c>
      <c r="AD6" s="57"/>
      <c r="AF6" s="57">
        <v>5</v>
      </c>
      <c r="AG6" s="57">
        <v>0</v>
      </c>
      <c r="AH6" s="57">
        <v>0</v>
      </c>
      <c r="AI6" s="57">
        <v>0</v>
      </c>
      <c r="AJ6" s="57"/>
      <c r="AL6" s="57">
        <v>5</v>
      </c>
      <c r="AM6" s="59">
        <f>+AA6+AG6</f>
        <v>0</v>
      </c>
      <c r="AN6" s="59">
        <f t="shared" ref="AN6:AP21" si="6">+AB6+AH6</f>
        <v>0</v>
      </c>
      <c r="AO6" s="59">
        <f t="shared" si="6"/>
        <v>0</v>
      </c>
      <c r="AP6" s="59">
        <f t="shared" si="6"/>
        <v>0</v>
      </c>
      <c r="AQ6" s="57">
        <v>5</v>
      </c>
      <c r="AW6" s="56">
        <f>AX6+0.25</f>
        <v>5.25</v>
      </c>
      <c r="AX6" s="57">
        <v>5</v>
      </c>
      <c r="AY6" s="59">
        <f>+AR6*$N3</f>
        <v>0</v>
      </c>
      <c r="AZ6" s="59">
        <f t="shared" ref="AZ6:BA21" si="7">+AS6*$N3</f>
        <v>0</v>
      </c>
      <c r="BA6" s="59">
        <f t="shared" si="7"/>
        <v>0</v>
      </c>
      <c r="BB6" s="59">
        <f>SUM(AY6:BA6)</f>
        <v>0</v>
      </c>
      <c r="BC6">
        <v>0</v>
      </c>
      <c r="BD6" s="57">
        <v>5</v>
      </c>
      <c r="BE6" s="59">
        <f>+AR6*$O3</f>
        <v>0</v>
      </c>
      <c r="BF6" s="59">
        <f t="shared" ref="BF6:BG21" si="8">+AS6*$O3</f>
        <v>0</v>
      </c>
      <c r="BG6" s="59">
        <f t="shared" si="8"/>
        <v>0</v>
      </c>
      <c r="BH6" s="59">
        <f>SUM(BE6:BG6)</f>
        <v>0</v>
      </c>
      <c r="BI6">
        <v>0</v>
      </c>
    </row>
    <row r="7" spans="1:61">
      <c r="A7">
        <v>7</v>
      </c>
      <c r="B7">
        <v>0</v>
      </c>
      <c r="C7">
        <v>0</v>
      </c>
      <c r="D7">
        <f t="shared" si="0"/>
        <v>0</v>
      </c>
      <c r="E7">
        <f t="shared" si="1"/>
        <v>0</v>
      </c>
      <c r="G7">
        <v>7</v>
      </c>
      <c r="H7">
        <v>0</v>
      </c>
      <c r="I7">
        <v>0</v>
      </c>
      <c r="J7">
        <f t="shared" si="2"/>
        <v>0</v>
      </c>
      <c r="K7">
        <f t="shared" si="3"/>
        <v>0</v>
      </c>
      <c r="M7">
        <v>7</v>
      </c>
      <c r="N7">
        <f t="shared" si="4"/>
        <v>0</v>
      </c>
      <c r="O7">
        <f t="shared" si="5"/>
        <v>0</v>
      </c>
      <c r="Z7" s="57">
        <v>5.5</v>
      </c>
      <c r="AA7" s="57">
        <v>0</v>
      </c>
      <c r="AB7" s="57">
        <v>0</v>
      </c>
      <c r="AC7" s="57">
        <v>0</v>
      </c>
      <c r="AD7" s="57">
        <v>0</v>
      </c>
      <c r="AF7" s="57">
        <v>5.5</v>
      </c>
      <c r="AG7" s="57">
        <v>0</v>
      </c>
      <c r="AH7" s="57">
        <v>0</v>
      </c>
      <c r="AI7" s="57">
        <v>0</v>
      </c>
      <c r="AJ7" s="57">
        <v>0</v>
      </c>
      <c r="AL7" s="57">
        <v>5.5</v>
      </c>
      <c r="AM7" s="59">
        <f t="shared" ref="AM7:AM32" si="9">+AA7+AG7</f>
        <v>0</v>
      </c>
      <c r="AN7" s="59">
        <f t="shared" si="6"/>
        <v>0</v>
      </c>
      <c r="AO7" s="59">
        <f t="shared" si="6"/>
        <v>0</v>
      </c>
      <c r="AP7" s="59">
        <f t="shared" si="6"/>
        <v>0</v>
      </c>
      <c r="AQ7" s="57">
        <v>5.5</v>
      </c>
      <c r="AW7" s="56">
        <f t="shared" ref="AW7:AW32" si="10">AX7+0.25</f>
        <v>5.75</v>
      </c>
      <c r="AX7" s="57">
        <v>5.5</v>
      </c>
      <c r="AY7" s="59">
        <f t="shared" ref="AY7:AY32" si="11">+AR7*$N4</f>
        <v>0</v>
      </c>
      <c r="AZ7" s="59">
        <f t="shared" si="7"/>
        <v>0</v>
      </c>
      <c r="BA7" s="59">
        <f t="shared" si="7"/>
        <v>0</v>
      </c>
      <c r="BB7" s="59">
        <f t="shared" ref="BB7:BB32" si="12">SUM(AY7:BA7)</f>
        <v>0</v>
      </c>
      <c r="BC7">
        <v>0</v>
      </c>
      <c r="BD7" s="57">
        <v>5.5</v>
      </c>
      <c r="BE7" s="59">
        <f t="shared" ref="BE7:BE32" si="13">+AR7*$O4</f>
        <v>0</v>
      </c>
      <c r="BF7" s="59">
        <f t="shared" si="8"/>
        <v>0</v>
      </c>
      <c r="BG7" s="59">
        <f t="shared" si="8"/>
        <v>0</v>
      </c>
      <c r="BH7" s="59">
        <f t="shared" ref="BH7:BH32" si="14">SUM(BE7:BG7)</f>
        <v>0</v>
      </c>
      <c r="BI7">
        <v>0</v>
      </c>
    </row>
    <row r="8" spans="1:61">
      <c r="A8">
        <v>7.5</v>
      </c>
      <c r="B8">
        <v>0</v>
      </c>
      <c r="C8">
        <v>0</v>
      </c>
      <c r="D8">
        <f t="shared" si="0"/>
        <v>0</v>
      </c>
      <c r="E8">
        <f t="shared" si="1"/>
        <v>0</v>
      </c>
      <c r="G8">
        <v>7.5</v>
      </c>
      <c r="H8">
        <v>0</v>
      </c>
      <c r="I8">
        <v>0</v>
      </c>
      <c r="J8">
        <f t="shared" si="2"/>
        <v>0</v>
      </c>
      <c r="K8">
        <f t="shared" si="3"/>
        <v>0</v>
      </c>
      <c r="M8">
        <v>7.5</v>
      </c>
      <c r="N8">
        <f t="shared" si="4"/>
        <v>0</v>
      </c>
      <c r="O8">
        <f t="shared" si="5"/>
        <v>0</v>
      </c>
      <c r="Z8" s="57">
        <v>6</v>
      </c>
      <c r="AA8" s="57">
        <v>0</v>
      </c>
      <c r="AB8" s="57">
        <v>0</v>
      </c>
      <c r="AC8" s="57">
        <v>0</v>
      </c>
      <c r="AD8" s="57">
        <v>0</v>
      </c>
      <c r="AF8" s="57">
        <v>6</v>
      </c>
      <c r="AG8" s="57">
        <v>0</v>
      </c>
      <c r="AH8" s="57">
        <v>0</v>
      </c>
      <c r="AI8" s="57">
        <v>0</v>
      </c>
      <c r="AJ8" s="57">
        <v>0</v>
      </c>
      <c r="AL8" s="57">
        <v>6</v>
      </c>
      <c r="AM8" s="59">
        <f t="shared" si="9"/>
        <v>0</v>
      </c>
      <c r="AN8" s="59">
        <f t="shared" si="6"/>
        <v>0</v>
      </c>
      <c r="AO8" s="59">
        <f t="shared" si="6"/>
        <v>0</v>
      </c>
      <c r="AP8" s="59">
        <f t="shared" si="6"/>
        <v>0</v>
      </c>
      <c r="AQ8" s="57">
        <v>6</v>
      </c>
      <c r="AW8" s="56">
        <f t="shared" si="10"/>
        <v>6.25</v>
      </c>
      <c r="AX8" s="57">
        <v>6</v>
      </c>
      <c r="AY8" s="59">
        <f t="shared" si="11"/>
        <v>0</v>
      </c>
      <c r="AZ8" s="59">
        <f t="shared" si="7"/>
        <v>0</v>
      </c>
      <c r="BA8" s="59">
        <f t="shared" si="7"/>
        <v>0</v>
      </c>
      <c r="BB8" s="59">
        <f t="shared" si="12"/>
        <v>0</v>
      </c>
      <c r="BC8">
        <v>0</v>
      </c>
      <c r="BD8" s="57">
        <v>6</v>
      </c>
      <c r="BE8" s="59">
        <f t="shared" si="13"/>
        <v>0</v>
      </c>
      <c r="BF8" s="59">
        <f t="shared" si="8"/>
        <v>0</v>
      </c>
      <c r="BG8" s="59">
        <f t="shared" si="8"/>
        <v>0</v>
      </c>
      <c r="BH8" s="59">
        <f t="shared" si="14"/>
        <v>0</v>
      </c>
      <c r="BI8">
        <v>0</v>
      </c>
    </row>
    <row r="9" spans="1:61">
      <c r="A9">
        <v>8</v>
      </c>
      <c r="B9">
        <v>0</v>
      </c>
      <c r="C9">
        <v>0</v>
      </c>
      <c r="D9">
        <f t="shared" si="0"/>
        <v>0</v>
      </c>
      <c r="E9">
        <f t="shared" si="1"/>
        <v>0</v>
      </c>
      <c r="G9">
        <v>8</v>
      </c>
      <c r="H9">
        <v>0</v>
      </c>
      <c r="I9">
        <v>0</v>
      </c>
      <c r="J9">
        <f t="shared" si="2"/>
        <v>0</v>
      </c>
      <c r="K9">
        <f t="shared" si="3"/>
        <v>0</v>
      </c>
      <c r="M9">
        <v>8</v>
      </c>
      <c r="N9">
        <f t="shared" si="4"/>
        <v>0</v>
      </c>
      <c r="O9">
        <f t="shared" si="5"/>
        <v>0</v>
      </c>
      <c r="Z9" s="57">
        <v>6.5</v>
      </c>
      <c r="AA9" s="57">
        <v>0</v>
      </c>
      <c r="AB9" s="57">
        <v>0</v>
      </c>
      <c r="AC9" s="57">
        <v>0</v>
      </c>
      <c r="AD9" s="57">
        <v>0</v>
      </c>
      <c r="AF9" s="57">
        <v>6.5</v>
      </c>
      <c r="AG9" s="57">
        <v>0</v>
      </c>
      <c r="AH9" s="57">
        <v>0</v>
      </c>
      <c r="AI9" s="57">
        <v>0</v>
      </c>
      <c r="AJ9" s="57">
        <v>0</v>
      </c>
      <c r="AL9" s="57">
        <v>6.5</v>
      </c>
      <c r="AM9" s="59">
        <f t="shared" si="9"/>
        <v>0</v>
      </c>
      <c r="AN9" s="59">
        <f t="shared" si="6"/>
        <v>0</v>
      </c>
      <c r="AO9" s="59">
        <f t="shared" si="6"/>
        <v>0</v>
      </c>
      <c r="AP9" s="59">
        <f t="shared" si="6"/>
        <v>0</v>
      </c>
      <c r="AQ9" s="57">
        <v>6.5</v>
      </c>
      <c r="AW9" s="56">
        <f t="shared" si="10"/>
        <v>6.75</v>
      </c>
      <c r="AX9" s="57">
        <v>6.5</v>
      </c>
      <c r="AY9" s="59">
        <f t="shared" si="11"/>
        <v>0</v>
      </c>
      <c r="AZ9" s="59">
        <f t="shared" si="7"/>
        <v>0</v>
      </c>
      <c r="BA9" s="59">
        <f t="shared" si="7"/>
        <v>0</v>
      </c>
      <c r="BB9" s="59">
        <f t="shared" si="12"/>
        <v>0</v>
      </c>
      <c r="BC9">
        <v>0</v>
      </c>
      <c r="BD9" s="57">
        <v>6.5</v>
      </c>
      <c r="BE9" s="59">
        <f t="shared" si="13"/>
        <v>0</v>
      </c>
      <c r="BF9" s="59">
        <f t="shared" si="8"/>
        <v>0</v>
      </c>
      <c r="BG9" s="59">
        <f t="shared" si="8"/>
        <v>0</v>
      </c>
      <c r="BH9" s="59">
        <f t="shared" si="14"/>
        <v>0</v>
      </c>
      <c r="BI9">
        <v>0</v>
      </c>
    </row>
    <row r="10" spans="1:61">
      <c r="A10">
        <v>8.5</v>
      </c>
      <c r="B10">
        <v>0</v>
      </c>
      <c r="C10">
        <v>0</v>
      </c>
      <c r="D10">
        <f t="shared" si="0"/>
        <v>0</v>
      </c>
      <c r="E10">
        <f t="shared" si="1"/>
        <v>0</v>
      </c>
      <c r="G10">
        <v>8.5</v>
      </c>
      <c r="H10">
        <v>0</v>
      </c>
      <c r="I10">
        <v>0</v>
      </c>
      <c r="J10">
        <f t="shared" si="2"/>
        <v>0</v>
      </c>
      <c r="K10">
        <f t="shared" si="3"/>
        <v>0</v>
      </c>
      <c r="M10">
        <v>8.5</v>
      </c>
      <c r="N10">
        <f t="shared" si="4"/>
        <v>0</v>
      </c>
      <c r="O10">
        <f t="shared" si="5"/>
        <v>0</v>
      </c>
      <c r="Z10" s="57">
        <v>7</v>
      </c>
      <c r="AA10" s="57">
        <v>0</v>
      </c>
      <c r="AB10" s="57">
        <v>0</v>
      </c>
      <c r="AC10" s="57">
        <v>0</v>
      </c>
      <c r="AD10" s="57">
        <v>0</v>
      </c>
      <c r="AF10" s="57">
        <v>7</v>
      </c>
      <c r="AG10" s="57">
        <v>0</v>
      </c>
      <c r="AH10" s="57">
        <v>0</v>
      </c>
      <c r="AI10" s="57">
        <v>0</v>
      </c>
      <c r="AJ10" s="57">
        <v>0</v>
      </c>
      <c r="AL10" s="57">
        <v>7</v>
      </c>
      <c r="AM10" s="59">
        <f t="shared" si="9"/>
        <v>0</v>
      </c>
      <c r="AN10" s="59">
        <f t="shared" si="6"/>
        <v>0</v>
      </c>
      <c r="AO10" s="59">
        <f t="shared" si="6"/>
        <v>0</v>
      </c>
      <c r="AP10" s="59">
        <f t="shared" si="6"/>
        <v>0</v>
      </c>
      <c r="AQ10" s="57">
        <v>7</v>
      </c>
      <c r="AW10" s="56">
        <f t="shared" si="10"/>
        <v>7.25</v>
      </c>
      <c r="AX10" s="57">
        <v>7</v>
      </c>
      <c r="AY10" s="59">
        <f t="shared" si="11"/>
        <v>0</v>
      </c>
      <c r="AZ10" s="59">
        <f t="shared" si="7"/>
        <v>0</v>
      </c>
      <c r="BA10" s="59">
        <f t="shared" si="7"/>
        <v>0</v>
      </c>
      <c r="BB10" s="59">
        <f t="shared" si="12"/>
        <v>0</v>
      </c>
      <c r="BC10">
        <v>0</v>
      </c>
      <c r="BD10" s="57">
        <v>7</v>
      </c>
      <c r="BE10" s="59">
        <f t="shared" si="13"/>
        <v>0</v>
      </c>
      <c r="BF10" s="59">
        <f t="shared" si="8"/>
        <v>0</v>
      </c>
      <c r="BG10" s="59">
        <f t="shared" si="8"/>
        <v>0</v>
      </c>
      <c r="BH10" s="59">
        <f t="shared" si="14"/>
        <v>0</v>
      </c>
      <c r="BI10">
        <v>0</v>
      </c>
    </row>
    <row r="11" spans="1:61">
      <c r="A11">
        <v>9</v>
      </c>
      <c r="B11">
        <v>0</v>
      </c>
      <c r="C11">
        <v>0</v>
      </c>
      <c r="D11">
        <f t="shared" si="0"/>
        <v>0</v>
      </c>
      <c r="E11">
        <f t="shared" si="1"/>
        <v>0</v>
      </c>
      <c r="G11">
        <v>9</v>
      </c>
      <c r="H11">
        <v>0</v>
      </c>
      <c r="I11">
        <v>0</v>
      </c>
      <c r="J11">
        <f t="shared" si="2"/>
        <v>0</v>
      </c>
      <c r="K11">
        <f t="shared" si="3"/>
        <v>0</v>
      </c>
      <c r="M11">
        <v>9</v>
      </c>
      <c r="N11">
        <f t="shared" si="4"/>
        <v>0</v>
      </c>
      <c r="O11">
        <f t="shared" si="5"/>
        <v>0</v>
      </c>
      <c r="Z11" s="57">
        <v>7.5</v>
      </c>
      <c r="AA11" s="57">
        <v>0</v>
      </c>
      <c r="AB11" s="57">
        <v>0</v>
      </c>
      <c r="AC11" s="57">
        <v>0</v>
      </c>
      <c r="AD11" s="57">
        <v>0</v>
      </c>
      <c r="AF11" s="57">
        <v>7.5</v>
      </c>
      <c r="AG11" s="57">
        <v>0</v>
      </c>
      <c r="AH11" s="57">
        <v>0</v>
      </c>
      <c r="AI11" s="57">
        <v>0</v>
      </c>
      <c r="AJ11" s="57">
        <v>0</v>
      </c>
      <c r="AL11" s="57">
        <v>7.5</v>
      </c>
      <c r="AM11" s="59">
        <f t="shared" si="9"/>
        <v>0</v>
      </c>
      <c r="AN11" s="59">
        <f t="shared" si="6"/>
        <v>0</v>
      </c>
      <c r="AO11" s="59">
        <f t="shared" si="6"/>
        <v>0</v>
      </c>
      <c r="AP11" s="59">
        <f t="shared" si="6"/>
        <v>0</v>
      </c>
      <c r="AQ11" s="57">
        <v>7.5</v>
      </c>
      <c r="AW11" s="56">
        <f t="shared" si="10"/>
        <v>7.75</v>
      </c>
      <c r="AX11" s="57">
        <v>7.5</v>
      </c>
      <c r="AY11" s="59">
        <f t="shared" si="11"/>
        <v>0</v>
      </c>
      <c r="AZ11" s="59">
        <f t="shared" si="7"/>
        <v>0</v>
      </c>
      <c r="BA11" s="59">
        <f t="shared" si="7"/>
        <v>0</v>
      </c>
      <c r="BB11" s="59">
        <f t="shared" si="12"/>
        <v>0</v>
      </c>
      <c r="BC11">
        <v>0</v>
      </c>
      <c r="BD11" s="57">
        <v>7.5</v>
      </c>
      <c r="BE11" s="59">
        <f t="shared" si="13"/>
        <v>0</v>
      </c>
      <c r="BF11" s="59">
        <f t="shared" si="8"/>
        <v>0</v>
      </c>
      <c r="BG11" s="59">
        <f t="shared" si="8"/>
        <v>0</v>
      </c>
      <c r="BH11" s="59">
        <f t="shared" si="14"/>
        <v>0</v>
      </c>
      <c r="BI11">
        <v>0</v>
      </c>
    </row>
    <row r="12" spans="1:61">
      <c r="A12">
        <v>9.5</v>
      </c>
      <c r="B12">
        <v>0</v>
      </c>
      <c r="C12">
        <v>0</v>
      </c>
      <c r="D12">
        <f t="shared" si="0"/>
        <v>0</v>
      </c>
      <c r="E12">
        <f t="shared" si="1"/>
        <v>0</v>
      </c>
      <c r="G12">
        <v>9.5</v>
      </c>
      <c r="H12">
        <v>221253</v>
      </c>
      <c r="I12">
        <v>1193</v>
      </c>
      <c r="J12">
        <f t="shared" si="2"/>
        <v>6.2653907058826189E-2</v>
      </c>
      <c r="K12">
        <f t="shared" si="3"/>
        <v>221.25299999999999</v>
      </c>
      <c r="M12">
        <v>9.5</v>
      </c>
      <c r="N12">
        <f>E12+K12</f>
        <v>221.25299999999999</v>
      </c>
      <c r="O12">
        <f t="shared" si="5"/>
        <v>1193</v>
      </c>
      <c r="Z12" s="57">
        <v>8</v>
      </c>
      <c r="AA12" s="57">
        <v>0</v>
      </c>
      <c r="AB12" s="57">
        <v>0</v>
      </c>
      <c r="AC12" s="57">
        <v>0</v>
      </c>
      <c r="AD12" s="57">
        <v>0</v>
      </c>
      <c r="AF12" s="57">
        <v>8</v>
      </c>
      <c r="AG12" s="57">
        <v>0</v>
      </c>
      <c r="AH12" s="57">
        <v>0</v>
      </c>
      <c r="AI12" s="57">
        <v>0</v>
      </c>
      <c r="AJ12" s="57">
        <v>0</v>
      </c>
      <c r="AL12" s="57">
        <v>8</v>
      </c>
      <c r="AM12" s="59">
        <f t="shared" si="9"/>
        <v>0</v>
      </c>
      <c r="AN12" s="59">
        <f t="shared" si="6"/>
        <v>0</v>
      </c>
      <c r="AO12" s="59">
        <f t="shared" si="6"/>
        <v>0</v>
      </c>
      <c r="AP12" s="59">
        <f t="shared" si="6"/>
        <v>0</v>
      </c>
      <c r="AQ12" s="57">
        <v>8</v>
      </c>
      <c r="AW12" s="56">
        <f t="shared" si="10"/>
        <v>8.25</v>
      </c>
      <c r="AX12" s="57">
        <v>8</v>
      </c>
      <c r="AY12" s="59">
        <f t="shared" si="11"/>
        <v>0</v>
      </c>
      <c r="AZ12" s="59">
        <f t="shared" si="7"/>
        <v>0</v>
      </c>
      <c r="BA12" s="59">
        <f t="shared" si="7"/>
        <v>0</v>
      </c>
      <c r="BB12" s="59">
        <f t="shared" si="12"/>
        <v>0</v>
      </c>
      <c r="BC12">
        <v>0</v>
      </c>
      <c r="BD12" s="57">
        <v>8</v>
      </c>
      <c r="BE12" s="59">
        <f t="shared" si="13"/>
        <v>0</v>
      </c>
      <c r="BF12" s="59">
        <f t="shared" si="8"/>
        <v>0</v>
      </c>
      <c r="BG12" s="59">
        <f t="shared" si="8"/>
        <v>0</v>
      </c>
      <c r="BH12" s="59">
        <f t="shared" si="14"/>
        <v>0</v>
      </c>
      <c r="BI12">
        <v>0</v>
      </c>
    </row>
    <row r="13" spans="1:61">
      <c r="A13">
        <v>10</v>
      </c>
      <c r="B13">
        <v>0</v>
      </c>
      <c r="C13">
        <v>0</v>
      </c>
      <c r="D13">
        <f t="shared" si="0"/>
        <v>0</v>
      </c>
      <c r="E13">
        <f t="shared" si="1"/>
        <v>0</v>
      </c>
      <c r="G13">
        <v>10</v>
      </c>
      <c r="H13">
        <v>507208</v>
      </c>
      <c r="I13">
        <v>3245</v>
      </c>
      <c r="J13">
        <f t="shared" si="2"/>
        <v>0.14362997514832845</v>
      </c>
      <c r="K13">
        <f t="shared" si="3"/>
        <v>507.20800000000003</v>
      </c>
      <c r="M13">
        <v>10</v>
      </c>
      <c r="N13">
        <f t="shared" si="4"/>
        <v>507.20800000000003</v>
      </c>
      <c r="O13">
        <f t="shared" si="5"/>
        <v>3245</v>
      </c>
      <c r="Z13" s="57">
        <v>8.5</v>
      </c>
      <c r="AA13" s="57">
        <v>0</v>
      </c>
      <c r="AB13" s="57">
        <v>0</v>
      </c>
      <c r="AC13" s="57">
        <v>0</v>
      </c>
      <c r="AD13" s="57">
        <v>0</v>
      </c>
      <c r="AF13" s="57">
        <v>8.5</v>
      </c>
      <c r="AG13" s="57">
        <v>0</v>
      </c>
      <c r="AH13" s="57">
        <v>0</v>
      </c>
      <c r="AI13" s="57">
        <v>0</v>
      </c>
      <c r="AJ13" s="57">
        <v>0</v>
      </c>
      <c r="AL13" s="57">
        <v>8.5</v>
      </c>
      <c r="AM13" s="59">
        <f t="shared" si="9"/>
        <v>0</v>
      </c>
      <c r="AN13" s="59">
        <f t="shared" si="6"/>
        <v>0</v>
      </c>
      <c r="AO13" s="59">
        <f t="shared" si="6"/>
        <v>0</v>
      </c>
      <c r="AP13" s="59">
        <f t="shared" si="6"/>
        <v>0</v>
      </c>
      <c r="AQ13" s="57">
        <v>8.5</v>
      </c>
      <c r="AW13" s="56">
        <f t="shared" si="10"/>
        <v>8.75</v>
      </c>
      <c r="AX13" s="57">
        <v>8.5</v>
      </c>
      <c r="AY13" s="59">
        <f t="shared" si="11"/>
        <v>0</v>
      </c>
      <c r="AZ13" s="59">
        <f t="shared" si="7"/>
        <v>0</v>
      </c>
      <c r="BA13" s="59">
        <f t="shared" si="7"/>
        <v>0</v>
      </c>
      <c r="BB13" s="59">
        <f t="shared" si="12"/>
        <v>0</v>
      </c>
      <c r="BC13">
        <v>0</v>
      </c>
      <c r="BD13" s="57">
        <v>8.5</v>
      </c>
      <c r="BE13" s="59">
        <f t="shared" si="13"/>
        <v>0</v>
      </c>
      <c r="BF13" s="59">
        <f t="shared" si="8"/>
        <v>0</v>
      </c>
      <c r="BG13" s="59">
        <f t="shared" si="8"/>
        <v>0</v>
      </c>
      <c r="BH13" s="59">
        <f t="shared" si="14"/>
        <v>0</v>
      </c>
      <c r="BI13">
        <v>0</v>
      </c>
    </row>
    <row r="14" spans="1:61">
      <c r="A14">
        <v>10.5</v>
      </c>
      <c r="B14">
        <v>0</v>
      </c>
      <c r="C14">
        <v>0</v>
      </c>
      <c r="D14">
        <f t="shared" si="0"/>
        <v>0</v>
      </c>
      <c r="E14">
        <f t="shared" si="1"/>
        <v>0</v>
      </c>
      <c r="G14">
        <v>10.5</v>
      </c>
      <c r="H14">
        <v>982579</v>
      </c>
      <c r="I14">
        <v>7393</v>
      </c>
      <c r="J14">
        <f t="shared" si="2"/>
        <v>0.27824442309914166</v>
      </c>
      <c r="K14">
        <f t="shared" si="3"/>
        <v>982.57899999999995</v>
      </c>
      <c r="M14">
        <v>10.5</v>
      </c>
      <c r="N14">
        <f t="shared" si="4"/>
        <v>982.57899999999995</v>
      </c>
      <c r="O14">
        <f t="shared" si="5"/>
        <v>7393</v>
      </c>
      <c r="Z14" s="57">
        <v>9</v>
      </c>
      <c r="AA14" s="57">
        <v>0</v>
      </c>
      <c r="AB14" s="57">
        <v>0</v>
      </c>
      <c r="AC14" s="57">
        <v>0</v>
      </c>
      <c r="AD14" s="57">
        <v>0</v>
      </c>
      <c r="AF14" s="57">
        <v>9</v>
      </c>
      <c r="AG14" s="57">
        <v>0</v>
      </c>
      <c r="AH14" s="57">
        <v>0</v>
      </c>
      <c r="AI14" s="57">
        <v>0</v>
      </c>
      <c r="AJ14" s="57">
        <v>0</v>
      </c>
      <c r="AL14" s="57">
        <v>9</v>
      </c>
      <c r="AM14" s="59">
        <f t="shared" si="9"/>
        <v>0</v>
      </c>
      <c r="AN14" s="59">
        <f t="shared" si="6"/>
        <v>0</v>
      </c>
      <c r="AO14" s="59">
        <f t="shared" si="6"/>
        <v>0</v>
      </c>
      <c r="AP14" s="59">
        <f t="shared" si="6"/>
        <v>0</v>
      </c>
      <c r="AQ14" s="57">
        <v>9</v>
      </c>
      <c r="AW14" s="56">
        <f t="shared" si="10"/>
        <v>9.25</v>
      </c>
      <c r="AX14" s="57">
        <v>9</v>
      </c>
      <c r="AY14" s="59">
        <f t="shared" si="11"/>
        <v>0</v>
      </c>
      <c r="AZ14" s="59">
        <f t="shared" si="7"/>
        <v>0</v>
      </c>
      <c r="BA14" s="59">
        <f t="shared" si="7"/>
        <v>0</v>
      </c>
      <c r="BB14" s="59">
        <f t="shared" si="12"/>
        <v>0</v>
      </c>
      <c r="BC14">
        <v>0</v>
      </c>
      <c r="BD14" s="57">
        <v>9</v>
      </c>
      <c r="BE14" s="59">
        <f t="shared" si="13"/>
        <v>0</v>
      </c>
      <c r="BF14" s="59">
        <f t="shared" si="8"/>
        <v>0</v>
      </c>
      <c r="BG14" s="59">
        <f t="shared" si="8"/>
        <v>0</v>
      </c>
      <c r="BH14" s="59">
        <f t="shared" si="14"/>
        <v>0</v>
      </c>
      <c r="BI14">
        <v>0</v>
      </c>
    </row>
    <row r="15" spans="1:61">
      <c r="A15">
        <v>11</v>
      </c>
      <c r="B15">
        <v>3122</v>
      </c>
      <c r="C15">
        <v>27</v>
      </c>
      <c r="D15">
        <f>B15/157668</f>
        <v>1.9801101047771268E-2</v>
      </c>
      <c r="E15">
        <f t="shared" si="1"/>
        <v>3.1219999999999999</v>
      </c>
      <c r="G15">
        <v>11</v>
      </c>
      <c r="H15">
        <v>698212</v>
      </c>
      <c r="I15">
        <v>6135</v>
      </c>
      <c r="J15">
        <f t="shared" si="2"/>
        <v>0.19771804113551977</v>
      </c>
      <c r="K15">
        <f t="shared" si="3"/>
        <v>698.21199999999999</v>
      </c>
      <c r="M15">
        <v>11</v>
      </c>
      <c r="N15">
        <f t="shared" si="4"/>
        <v>701.33399999999995</v>
      </c>
      <c r="O15">
        <f t="shared" si="5"/>
        <v>6162</v>
      </c>
      <c r="Z15" s="57">
        <v>9.5</v>
      </c>
      <c r="AA15" s="57">
        <v>0</v>
      </c>
      <c r="AB15" s="57">
        <v>0</v>
      </c>
      <c r="AC15" s="57">
        <v>0</v>
      </c>
      <c r="AD15" s="57">
        <v>0</v>
      </c>
      <c r="AF15" s="57">
        <v>9.5</v>
      </c>
      <c r="AG15" s="57">
        <v>207424.6875</v>
      </c>
      <c r="AH15" s="57">
        <v>13828.3125</v>
      </c>
      <c r="AI15" s="57">
        <v>0</v>
      </c>
      <c r="AJ15" s="57">
        <v>221253</v>
      </c>
      <c r="AL15" s="57">
        <v>9.5</v>
      </c>
      <c r="AM15" s="59">
        <f t="shared" si="9"/>
        <v>207424.6875</v>
      </c>
      <c r="AN15" s="59">
        <f t="shared" si="6"/>
        <v>13828.3125</v>
      </c>
      <c r="AO15" s="59">
        <f t="shared" si="6"/>
        <v>0</v>
      </c>
      <c r="AP15" s="59">
        <f t="shared" si="6"/>
        <v>221253</v>
      </c>
      <c r="AQ15" s="57">
        <v>9.5</v>
      </c>
      <c r="AR15">
        <f t="shared" ref="AR15:AR27" si="15">+AM15/$AP15</f>
        <v>0.9375</v>
      </c>
      <c r="AS15">
        <f t="shared" ref="AS15:AS27" si="16">+AN15/$AP15</f>
        <v>6.25E-2</v>
      </c>
      <c r="AT15">
        <f t="shared" ref="AT15:AT27" si="17">+AO15/$AP15</f>
        <v>0</v>
      </c>
      <c r="AU15">
        <f t="shared" ref="AU15:AU27" si="18">+AP15/$AP15</f>
        <v>1</v>
      </c>
      <c r="AW15" s="56">
        <f t="shared" si="10"/>
        <v>9.75</v>
      </c>
      <c r="AX15" s="57">
        <v>9.5</v>
      </c>
      <c r="AY15" s="59">
        <f t="shared" si="11"/>
        <v>207.42468749999998</v>
      </c>
      <c r="AZ15" s="59">
        <f t="shared" si="7"/>
        <v>13.828312499999999</v>
      </c>
      <c r="BA15" s="59">
        <f t="shared" si="7"/>
        <v>0</v>
      </c>
      <c r="BB15" s="59">
        <f t="shared" si="12"/>
        <v>221.25299999999999</v>
      </c>
      <c r="BC15">
        <v>221.25299999999999</v>
      </c>
      <c r="BD15" s="57">
        <v>9.5</v>
      </c>
      <c r="BE15" s="59">
        <f t="shared" si="13"/>
        <v>1118.4375</v>
      </c>
      <c r="BF15" s="59">
        <f t="shared" si="8"/>
        <v>74.5625</v>
      </c>
      <c r="BG15" s="59">
        <f t="shared" si="8"/>
        <v>0</v>
      </c>
      <c r="BH15" s="59">
        <f t="shared" si="14"/>
        <v>1193</v>
      </c>
      <c r="BI15">
        <v>1193</v>
      </c>
    </row>
    <row r="16" spans="1:61">
      <c r="A16">
        <v>11.5</v>
      </c>
      <c r="B16">
        <v>19519</v>
      </c>
      <c r="C16">
        <v>199</v>
      </c>
      <c r="D16">
        <f t="shared" si="0"/>
        <v>0.12379810741558211</v>
      </c>
      <c r="E16">
        <f t="shared" si="1"/>
        <v>19.518999999999998</v>
      </c>
      <c r="G16">
        <v>11.5</v>
      </c>
      <c r="H16">
        <v>506405</v>
      </c>
      <c r="I16">
        <v>5160</v>
      </c>
      <c r="J16">
        <f t="shared" si="2"/>
        <v>0.14340258348643806</v>
      </c>
      <c r="K16">
        <f t="shared" si="3"/>
        <v>506.40499999999997</v>
      </c>
      <c r="M16">
        <v>11.5</v>
      </c>
      <c r="N16">
        <f t="shared" si="4"/>
        <v>525.92399999999998</v>
      </c>
      <c r="O16">
        <f t="shared" si="5"/>
        <v>5359</v>
      </c>
      <c r="Z16" s="57">
        <v>10</v>
      </c>
      <c r="AA16" s="57">
        <v>0</v>
      </c>
      <c r="AB16" s="57">
        <v>0</v>
      </c>
      <c r="AC16" s="57">
        <v>0</v>
      </c>
      <c r="AD16" s="57">
        <v>0</v>
      </c>
      <c r="AF16" s="57">
        <v>10</v>
      </c>
      <c r="AG16" s="57">
        <v>507208</v>
      </c>
      <c r="AH16" s="57">
        <v>0</v>
      </c>
      <c r="AI16" s="57">
        <v>0</v>
      </c>
      <c r="AJ16" s="57">
        <v>507208</v>
      </c>
      <c r="AL16" s="57">
        <v>10</v>
      </c>
      <c r="AM16" s="59">
        <f t="shared" si="9"/>
        <v>507208</v>
      </c>
      <c r="AN16" s="59">
        <f t="shared" si="6"/>
        <v>0</v>
      </c>
      <c r="AO16" s="59">
        <f t="shared" si="6"/>
        <v>0</v>
      </c>
      <c r="AP16" s="59">
        <f t="shared" si="6"/>
        <v>507208</v>
      </c>
      <c r="AQ16" s="57">
        <v>10</v>
      </c>
      <c r="AR16">
        <f t="shared" si="15"/>
        <v>1</v>
      </c>
      <c r="AS16">
        <f t="shared" si="16"/>
        <v>0</v>
      </c>
      <c r="AT16">
        <f t="shared" si="17"/>
        <v>0</v>
      </c>
      <c r="AU16">
        <f t="shared" si="18"/>
        <v>1</v>
      </c>
      <c r="AW16" s="56">
        <f t="shared" si="10"/>
        <v>10.25</v>
      </c>
      <c r="AX16" s="57">
        <v>10</v>
      </c>
      <c r="AY16" s="59">
        <f t="shared" si="11"/>
        <v>507.20800000000003</v>
      </c>
      <c r="AZ16" s="59">
        <f t="shared" si="7"/>
        <v>0</v>
      </c>
      <c r="BA16" s="59">
        <f t="shared" si="7"/>
        <v>0</v>
      </c>
      <c r="BB16" s="59">
        <f t="shared" si="12"/>
        <v>507.20800000000003</v>
      </c>
      <c r="BC16">
        <v>507.20800000000003</v>
      </c>
      <c r="BD16" s="57">
        <v>10</v>
      </c>
      <c r="BE16" s="59">
        <f t="shared" si="13"/>
        <v>3245</v>
      </c>
      <c r="BF16" s="59">
        <f t="shared" si="8"/>
        <v>0</v>
      </c>
      <c r="BG16" s="59">
        <f t="shared" si="8"/>
        <v>0</v>
      </c>
      <c r="BH16" s="59">
        <f t="shared" si="14"/>
        <v>3245</v>
      </c>
      <c r="BI16">
        <v>3245</v>
      </c>
    </row>
    <row r="17" spans="1:61">
      <c r="A17">
        <v>12</v>
      </c>
      <c r="B17">
        <v>49996</v>
      </c>
      <c r="C17">
        <v>587</v>
      </c>
      <c r="D17">
        <f t="shared" si="0"/>
        <v>0.31709668417180403</v>
      </c>
      <c r="E17">
        <f t="shared" si="1"/>
        <v>49.996000000000002</v>
      </c>
      <c r="G17">
        <v>12</v>
      </c>
      <c r="H17">
        <v>325938</v>
      </c>
      <c r="I17">
        <v>3828</v>
      </c>
      <c r="J17">
        <f t="shared" si="2"/>
        <v>9.2298360514613098E-2</v>
      </c>
      <c r="K17">
        <f t="shared" si="3"/>
        <v>325.93799999999999</v>
      </c>
      <c r="M17">
        <v>12</v>
      </c>
      <c r="N17">
        <f t="shared" si="4"/>
        <v>375.93399999999997</v>
      </c>
      <c r="O17">
        <f t="shared" si="5"/>
        <v>4415</v>
      </c>
      <c r="Z17" s="57">
        <v>10.5</v>
      </c>
      <c r="AA17" s="57">
        <v>0</v>
      </c>
      <c r="AB17" s="57">
        <v>0</v>
      </c>
      <c r="AC17" s="57">
        <v>0</v>
      </c>
      <c r="AD17" s="57">
        <v>0</v>
      </c>
      <c r="AF17" s="57">
        <v>10.5</v>
      </c>
      <c r="AG17" s="57">
        <v>939858.17391304346</v>
      </c>
      <c r="AH17" s="57">
        <v>42720.82608695652</v>
      </c>
      <c r="AI17" s="57">
        <v>0</v>
      </c>
      <c r="AJ17" s="57">
        <v>982579</v>
      </c>
      <c r="AL17" s="57">
        <v>10.5</v>
      </c>
      <c r="AM17" s="59">
        <f t="shared" si="9"/>
        <v>939858.17391304346</v>
      </c>
      <c r="AN17" s="59">
        <f t="shared" si="6"/>
        <v>42720.82608695652</v>
      </c>
      <c r="AO17" s="59">
        <f t="shared" si="6"/>
        <v>0</v>
      </c>
      <c r="AP17" s="59">
        <f t="shared" si="6"/>
        <v>982579</v>
      </c>
      <c r="AQ17" s="57">
        <v>10.5</v>
      </c>
      <c r="AR17">
        <f t="shared" si="15"/>
        <v>0.95652173913043481</v>
      </c>
      <c r="AS17">
        <f t="shared" si="16"/>
        <v>4.3478260869565216E-2</v>
      </c>
      <c r="AT17">
        <f t="shared" si="17"/>
        <v>0</v>
      </c>
      <c r="AU17">
        <f t="shared" si="18"/>
        <v>1</v>
      </c>
      <c r="AW17" s="56">
        <f t="shared" si="10"/>
        <v>10.75</v>
      </c>
      <c r="AX17" s="57">
        <v>10.5</v>
      </c>
      <c r="AY17" s="59">
        <f t="shared" si="11"/>
        <v>939.85817391304352</v>
      </c>
      <c r="AZ17" s="59">
        <f t="shared" si="7"/>
        <v>42.720826086956521</v>
      </c>
      <c r="BA17" s="59">
        <f t="shared" si="7"/>
        <v>0</v>
      </c>
      <c r="BB17" s="59">
        <f t="shared" si="12"/>
        <v>982.57900000000006</v>
      </c>
      <c r="BC17">
        <v>982.57899999999995</v>
      </c>
      <c r="BD17" s="57">
        <v>10.5</v>
      </c>
      <c r="BE17" s="59">
        <f t="shared" si="13"/>
        <v>7071.5652173913049</v>
      </c>
      <c r="BF17" s="59">
        <f t="shared" si="8"/>
        <v>321.43478260869563</v>
      </c>
      <c r="BG17" s="59">
        <f t="shared" si="8"/>
        <v>0</v>
      </c>
      <c r="BH17" s="59">
        <f t="shared" si="14"/>
        <v>7393.0000000000009</v>
      </c>
      <c r="BI17">
        <v>7393</v>
      </c>
    </row>
    <row r="18" spans="1:61">
      <c r="A18">
        <v>12.5</v>
      </c>
      <c r="B18">
        <v>41325</v>
      </c>
      <c r="C18">
        <v>556</v>
      </c>
      <c r="D18">
        <f t="shared" si="0"/>
        <v>0.26210137757820229</v>
      </c>
      <c r="E18">
        <f t="shared" si="1"/>
        <v>41.325000000000003</v>
      </c>
      <c r="G18">
        <v>12.5</v>
      </c>
      <c r="H18">
        <v>242287</v>
      </c>
      <c r="I18">
        <v>3261</v>
      </c>
      <c r="J18">
        <f t="shared" si="2"/>
        <v>6.8610265983113553E-2</v>
      </c>
      <c r="K18">
        <f t="shared" si="3"/>
        <v>242.28700000000001</v>
      </c>
      <c r="M18">
        <v>12.5</v>
      </c>
      <c r="N18">
        <f t="shared" si="4"/>
        <v>283.61200000000002</v>
      </c>
      <c r="O18">
        <f t="shared" si="5"/>
        <v>3817</v>
      </c>
      <c r="Z18" s="57">
        <v>11</v>
      </c>
      <c r="AA18" s="57">
        <v>3122</v>
      </c>
      <c r="AB18" s="57">
        <v>0</v>
      </c>
      <c r="AC18" s="57">
        <v>0</v>
      </c>
      <c r="AD18" s="57">
        <v>3122</v>
      </c>
      <c r="AF18" s="57">
        <v>11</v>
      </c>
      <c r="AG18" s="57">
        <v>565219.23809523811</v>
      </c>
      <c r="AH18" s="57">
        <v>132992.76190476189</v>
      </c>
      <c r="AI18" s="57">
        <v>0</v>
      </c>
      <c r="AJ18" s="57">
        <v>698212</v>
      </c>
      <c r="AL18" s="57">
        <v>11</v>
      </c>
      <c r="AM18" s="59">
        <f t="shared" si="9"/>
        <v>568341.23809523811</v>
      </c>
      <c r="AN18" s="59">
        <f t="shared" si="6"/>
        <v>132992.76190476189</v>
      </c>
      <c r="AO18" s="59">
        <f t="shared" si="6"/>
        <v>0</v>
      </c>
      <c r="AP18" s="59">
        <f t="shared" si="6"/>
        <v>701334</v>
      </c>
      <c r="AQ18" s="57">
        <v>11</v>
      </c>
      <c r="AR18">
        <f t="shared" si="15"/>
        <v>0.81037171746306058</v>
      </c>
      <c r="AS18">
        <f t="shared" si="16"/>
        <v>0.18962828253693945</v>
      </c>
      <c r="AT18">
        <f t="shared" si="17"/>
        <v>0</v>
      </c>
      <c r="AU18">
        <f t="shared" si="18"/>
        <v>1</v>
      </c>
      <c r="AW18" s="56">
        <f t="shared" si="10"/>
        <v>11.25</v>
      </c>
      <c r="AX18" s="57">
        <v>11</v>
      </c>
      <c r="AY18" s="59">
        <f t="shared" si="11"/>
        <v>568.34123809523805</v>
      </c>
      <c r="AZ18" s="59">
        <f t="shared" si="7"/>
        <v>132.99276190476189</v>
      </c>
      <c r="BA18" s="59">
        <f t="shared" si="7"/>
        <v>0</v>
      </c>
      <c r="BB18" s="59">
        <f t="shared" si="12"/>
        <v>701.33399999999995</v>
      </c>
      <c r="BC18">
        <v>701.33399999999995</v>
      </c>
      <c r="BD18" s="57">
        <v>11</v>
      </c>
      <c r="BE18" s="59">
        <f t="shared" si="13"/>
        <v>4993.5105230073796</v>
      </c>
      <c r="BF18" s="59">
        <f t="shared" si="8"/>
        <v>1168.4894769926209</v>
      </c>
      <c r="BG18" s="59">
        <f t="shared" si="8"/>
        <v>0</v>
      </c>
      <c r="BH18" s="59">
        <f t="shared" si="14"/>
        <v>6162</v>
      </c>
      <c r="BI18">
        <v>6162</v>
      </c>
    </row>
    <row r="19" spans="1:61">
      <c r="A19">
        <v>13</v>
      </c>
      <c r="B19">
        <v>12661</v>
      </c>
      <c r="C19">
        <v>194</v>
      </c>
      <c r="D19">
        <f t="shared" si="0"/>
        <v>8.0301646497704035E-2</v>
      </c>
      <c r="E19">
        <f t="shared" si="1"/>
        <v>12.661</v>
      </c>
      <c r="G19">
        <v>13</v>
      </c>
      <c r="H19">
        <v>47470</v>
      </c>
      <c r="I19">
        <v>729</v>
      </c>
      <c r="J19">
        <f t="shared" si="2"/>
        <v>1.3442443574019242E-2</v>
      </c>
      <c r="K19">
        <f t="shared" si="3"/>
        <v>47.47</v>
      </c>
      <c r="M19">
        <v>13</v>
      </c>
      <c r="N19">
        <f t="shared" si="4"/>
        <v>60.131</v>
      </c>
      <c r="O19">
        <f t="shared" si="5"/>
        <v>923</v>
      </c>
      <c r="Z19" s="57">
        <v>11.5</v>
      </c>
      <c r="AA19" s="57">
        <v>19519</v>
      </c>
      <c r="AB19" s="57">
        <v>0</v>
      </c>
      <c r="AC19" s="57">
        <v>0</v>
      </c>
      <c r="AD19" s="57">
        <v>19519</v>
      </c>
      <c r="AF19" s="57">
        <v>11.5</v>
      </c>
      <c r="AG19" s="57">
        <v>506405</v>
      </c>
      <c r="AH19" s="57">
        <v>0</v>
      </c>
      <c r="AI19" s="57">
        <v>0</v>
      </c>
      <c r="AJ19" s="57">
        <v>506405</v>
      </c>
      <c r="AL19" s="57">
        <v>11.5</v>
      </c>
      <c r="AM19" s="59">
        <f t="shared" si="9"/>
        <v>525924</v>
      </c>
      <c r="AN19" s="59">
        <f t="shared" si="6"/>
        <v>0</v>
      </c>
      <c r="AO19" s="59">
        <f t="shared" si="6"/>
        <v>0</v>
      </c>
      <c r="AP19" s="59">
        <f t="shared" si="6"/>
        <v>525924</v>
      </c>
      <c r="AQ19" s="57">
        <v>11.5</v>
      </c>
      <c r="AR19">
        <f t="shared" si="15"/>
        <v>1</v>
      </c>
      <c r="AS19">
        <f t="shared" si="16"/>
        <v>0</v>
      </c>
      <c r="AT19">
        <f t="shared" si="17"/>
        <v>0</v>
      </c>
      <c r="AU19">
        <f t="shared" si="18"/>
        <v>1</v>
      </c>
      <c r="AW19" s="56">
        <f t="shared" si="10"/>
        <v>11.75</v>
      </c>
      <c r="AX19" s="57">
        <v>11.5</v>
      </c>
      <c r="AY19" s="59">
        <f t="shared" si="11"/>
        <v>525.92399999999998</v>
      </c>
      <c r="AZ19" s="59">
        <f t="shared" si="7"/>
        <v>0</v>
      </c>
      <c r="BA19" s="59">
        <f t="shared" si="7"/>
        <v>0</v>
      </c>
      <c r="BB19" s="59">
        <f t="shared" si="12"/>
        <v>525.92399999999998</v>
      </c>
      <c r="BC19">
        <v>525.92399999999998</v>
      </c>
      <c r="BD19" s="57">
        <v>11.5</v>
      </c>
      <c r="BE19" s="59">
        <f t="shared" si="13"/>
        <v>5359</v>
      </c>
      <c r="BF19" s="59">
        <f t="shared" si="8"/>
        <v>0</v>
      </c>
      <c r="BG19" s="59">
        <f t="shared" si="8"/>
        <v>0</v>
      </c>
      <c r="BH19" s="59">
        <f t="shared" si="14"/>
        <v>5359</v>
      </c>
      <c r="BI19">
        <v>5359</v>
      </c>
    </row>
    <row r="20" spans="1:61">
      <c r="A20">
        <v>13.5</v>
      </c>
      <c r="B20">
        <v>16744</v>
      </c>
      <c r="C20">
        <v>292</v>
      </c>
      <c r="D20">
        <f t="shared" si="0"/>
        <v>0.1061978334221275</v>
      </c>
      <c r="E20">
        <f t="shared" si="1"/>
        <v>16.744</v>
      </c>
      <c r="G20">
        <v>13.5</v>
      </c>
      <c r="H20">
        <v>0</v>
      </c>
      <c r="I20">
        <v>0</v>
      </c>
      <c r="J20">
        <f t="shared" si="2"/>
        <v>0</v>
      </c>
      <c r="K20">
        <f t="shared" si="3"/>
        <v>0</v>
      </c>
      <c r="M20">
        <v>13.5</v>
      </c>
      <c r="N20">
        <f t="shared" si="4"/>
        <v>16.744</v>
      </c>
      <c r="O20">
        <f t="shared" si="5"/>
        <v>292</v>
      </c>
      <c r="Z20" s="57">
        <v>12</v>
      </c>
      <c r="AA20" s="57">
        <v>49996</v>
      </c>
      <c r="AB20" s="57">
        <v>0</v>
      </c>
      <c r="AC20" s="57">
        <v>0</v>
      </c>
      <c r="AD20" s="57">
        <v>49996</v>
      </c>
      <c r="AF20" s="57">
        <v>12</v>
      </c>
      <c r="AG20" s="57">
        <v>325938</v>
      </c>
      <c r="AH20" s="57">
        <v>0</v>
      </c>
      <c r="AI20" s="57">
        <v>0</v>
      </c>
      <c r="AJ20" s="57">
        <v>325938</v>
      </c>
      <c r="AL20" s="57">
        <v>12</v>
      </c>
      <c r="AM20" s="59">
        <f t="shared" si="9"/>
        <v>375934</v>
      </c>
      <c r="AN20" s="59">
        <f t="shared" si="6"/>
        <v>0</v>
      </c>
      <c r="AO20" s="59">
        <f t="shared" si="6"/>
        <v>0</v>
      </c>
      <c r="AP20" s="59">
        <f t="shared" si="6"/>
        <v>375934</v>
      </c>
      <c r="AQ20" s="57">
        <v>12</v>
      </c>
      <c r="AR20">
        <f t="shared" si="15"/>
        <v>1</v>
      </c>
      <c r="AS20">
        <f t="shared" si="16"/>
        <v>0</v>
      </c>
      <c r="AT20">
        <f t="shared" si="17"/>
        <v>0</v>
      </c>
      <c r="AU20">
        <f t="shared" si="18"/>
        <v>1</v>
      </c>
      <c r="AW20" s="56">
        <f t="shared" si="10"/>
        <v>12.25</v>
      </c>
      <c r="AX20" s="57">
        <v>12</v>
      </c>
      <c r="AY20" s="59">
        <f t="shared" si="11"/>
        <v>375.93399999999997</v>
      </c>
      <c r="AZ20" s="59">
        <f t="shared" si="7"/>
        <v>0</v>
      </c>
      <c r="BA20" s="59">
        <f t="shared" si="7"/>
        <v>0</v>
      </c>
      <c r="BB20" s="59">
        <f t="shared" si="12"/>
        <v>375.93399999999997</v>
      </c>
      <c r="BC20">
        <v>375.93399999999997</v>
      </c>
      <c r="BD20" s="57">
        <v>12</v>
      </c>
      <c r="BE20" s="59">
        <f t="shared" si="13"/>
        <v>4415</v>
      </c>
      <c r="BF20" s="59">
        <f t="shared" si="8"/>
        <v>0</v>
      </c>
      <c r="BG20" s="59">
        <f t="shared" si="8"/>
        <v>0</v>
      </c>
      <c r="BH20" s="59">
        <f t="shared" si="14"/>
        <v>4415</v>
      </c>
      <c r="BI20">
        <v>4415</v>
      </c>
    </row>
    <row r="21" spans="1:61">
      <c r="A21">
        <v>14</v>
      </c>
      <c r="B21">
        <v>8987</v>
      </c>
      <c r="C21">
        <v>177</v>
      </c>
      <c r="D21">
        <f t="shared" si="0"/>
        <v>5.6999517974478019E-2</v>
      </c>
      <c r="E21">
        <f t="shared" si="1"/>
        <v>8.9870000000000001</v>
      </c>
      <c r="G21">
        <v>14</v>
      </c>
      <c r="H21">
        <v>0</v>
      </c>
      <c r="I21">
        <v>0</v>
      </c>
      <c r="J21">
        <f t="shared" si="2"/>
        <v>0</v>
      </c>
      <c r="K21">
        <f t="shared" si="3"/>
        <v>0</v>
      </c>
      <c r="M21">
        <v>14</v>
      </c>
      <c r="N21">
        <f t="shared" si="4"/>
        <v>8.9870000000000001</v>
      </c>
      <c r="O21">
        <f t="shared" si="5"/>
        <v>177</v>
      </c>
      <c r="Z21" s="57">
        <v>12.5</v>
      </c>
      <c r="AA21" s="57">
        <v>41325</v>
      </c>
      <c r="AB21" s="57">
        <v>0</v>
      </c>
      <c r="AC21" s="57">
        <v>0</v>
      </c>
      <c r="AD21" s="57">
        <v>41325</v>
      </c>
      <c r="AF21" s="57">
        <v>12.5</v>
      </c>
      <c r="AG21" s="57">
        <v>176208.72727272726</v>
      </c>
      <c r="AH21" s="57">
        <v>66078.272727272721</v>
      </c>
      <c r="AI21" s="57">
        <v>0</v>
      </c>
      <c r="AJ21" s="57">
        <v>242287</v>
      </c>
      <c r="AL21" s="57">
        <v>12.5</v>
      </c>
      <c r="AM21" s="59">
        <f t="shared" si="9"/>
        <v>217533.72727272726</v>
      </c>
      <c r="AN21" s="59">
        <f t="shared" si="6"/>
        <v>66078.272727272721</v>
      </c>
      <c r="AO21" s="59">
        <f t="shared" si="6"/>
        <v>0</v>
      </c>
      <c r="AP21" s="59">
        <f t="shared" si="6"/>
        <v>283612</v>
      </c>
      <c r="AQ21" s="57">
        <v>12.5</v>
      </c>
      <c r="AR21">
        <f t="shared" si="15"/>
        <v>0.76701171767318477</v>
      </c>
      <c r="AS21">
        <f t="shared" si="16"/>
        <v>0.23298828232681523</v>
      </c>
      <c r="AT21">
        <f t="shared" si="17"/>
        <v>0</v>
      </c>
      <c r="AU21">
        <f t="shared" si="18"/>
        <v>1</v>
      </c>
      <c r="AW21" s="56">
        <f t="shared" si="10"/>
        <v>12.75</v>
      </c>
      <c r="AX21" s="57">
        <v>12.5</v>
      </c>
      <c r="AY21" s="59">
        <f t="shared" si="11"/>
        <v>217.5337272727273</v>
      </c>
      <c r="AZ21" s="59">
        <f t="shared" si="7"/>
        <v>66.078272727272733</v>
      </c>
      <c r="BA21" s="59">
        <f t="shared" si="7"/>
        <v>0</v>
      </c>
      <c r="BB21" s="59">
        <f t="shared" si="12"/>
        <v>283.61200000000002</v>
      </c>
      <c r="BC21">
        <v>283.61200000000002</v>
      </c>
      <c r="BD21" s="57">
        <v>12.5</v>
      </c>
      <c r="BE21" s="59">
        <f t="shared" si="13"/>
        <v>2927.6837263585462</v>
      </c>
      <c r="BF21" s="59">
        <f t="shared" si="8"/>
        <v>889.31627364145379</v>
      </c>
      <c r="BG21" s="59">
        <f t="shared" si="8"/>
        <v>0</v>
      </c>
      <c r="BH21" s="59">
        <f t="shared" si="14"/>
        <v>3817</v>
      </c>
      <c r="BI21">
        <v>3817</v>
      </c>
    </row>
    <row r="22" spans="1:61">
      <c r="A22">
        <v>14.5</v>
      </c>
      <c r="B22">
        <v>3264</v>
      </c>
      <c r="C22">
        <v>72</v>
      </c>
      <c r="D22">
        <f t="shared" si="0"/>
        <v>2.0701727680949845E-2</v>
      </c>
      <c r="E22">
        <f t="shared" si="1"/>
        <v>3.2639999999999998</v>
      </c>
      <c r="G22">
        <v>14.5</v>
      </c>
      <c r="H22">
        <v>0</v>
      </c>
      <c r="I22">
        <v>0</v>
      </c>
      <c r="J22">
        <f t="shared" si="2"/>
        <v>0</v>
      </c>
      <c r="K22">
        <f t="shared" si="3"/>
        <v>0</v>
      </c>
      <c r="M22">
        <v>14.5</v>
      </c>
      <c r="N22">
        <f t="shared" si="4"/>
        <v>3.2639999999999998</v>
      </c>
      <c r="O22">
        <f t="shared" si="5"/>
        <v>72</v>
      </c>
      <c r="Z22" s="57">
        <v>13</v>
      </c>
      <c r="AA22" s="57">
        <v>10128.800000000001</v>
      </c>
      <c r="AB22" s="57">
        <v>2532.2000000000003</v>
      </c>
      <c r="AC22" s="57">
        <v>0</v>
      </c>
      <c r="AD22" s="57">
        <v>12661.000000000002</v>
      </c>
      <c r="AF22" s="57">
        <v>13</v>
      </c>
      <c r="AG22" s="57">
        <v>29668.75</v>
      </c>
      <c r="AH22" s="57">
        <v>17801.25</v>
      </c>
      <c r="AI22" s="57">
        <v>0</v>
      </c>
      <c r="AJ22" s="57">
        <v>47470</v>
      </c>
      <c r="AL22" s="57">
        <v>13</v>
      </c>
      <c r="AM22" s="59">
        <f t="shared" si="9"/>
        <v>39797.550000000003</v>
      </c>
      <c r="AN22" s="59">
        <f t="shared" ref="AN22:AN32" si="19">+AB22+AH22</f>
        <v>20333.45</v>
      </c>
      <c r="AO22" s="59">
        <f t="shared" ref="AO22:AO32" si="20">+AC22+AI22</f>
        <v>0</v>
      </c>
      <c r="AP22" s="59">
        <f t="shared" ref="AP22:AP32" si="21">+AD22+AJ22</f>
        <v>60131</v>
      </c>
      <c r="AQ22" s="57">
        <v>13</v>
      </c>
      <c r="AR22">
        <f t="shared" si="15"/>
        <v>0.66184746636510294</v>
      </c>
      <c r="AS22">
        <f t="shared" si="16"/>
        <v>0.33815253363489717</v>
      </c>
      <c r="AT22">
        <f t="shared" si="17"/>
        <v>0</v>
      </c>
      <c r="AU22">
        <f t="shared" si="18"/>
        <v>1</v>
      </c>
      <c r="AW22" s="56">
        <f t="shared" si="10"/>
        <v>13.25</v>
      </c>
      <c r="AX22" s="57">
        <v>13</v>
      </c>
      <c r="AY22" s="59">
        <f t="shared" si="11"/>
        <v>39.797550000000008</v>
      </c>
      <c r="AZ22" s="59">
        <f t="shared" ref="AZ22:AZ32" si="22">+AS22*$N19</f>
        <v>20.333450000000003</v>
      </c>
      <c r="BA22" s="59">
        <f t="shared" ref="BA22:BA32" si="23">+AT22*$N19</f>
        <v>0</v>
      </c>
      <c r="BB22" s="59">
        <f t="shared" si="12"/>
        <v>60.131000000000014</v>
      </c>
      <c r="BC22">
        <v>60.131</v>
      </c>
      <c r="BD22" s="57">
        <v>13</v>
      </c>
      <c r="BE22" s="59">
        <f t="shared" si="13"/>
        <v>610.88521145498999</v>
      </c>
      <c r="BF22" s="59">
        <f t="shared" ref="BF22:BF32" si="24">+AS22*$O19</f>
        <v>312.11478854501007</v>
      </c>
      <c r="BG22" s="59">
        <f t="shared" ref="BG22:BG32" si="25">+AT22*$O19</f>
        <v>0</v>
      </c>
      <c r="BH22" s="59">
        <f t="shared" si="14"/>
        <v>923</v>
      </c>
      <c r="BI22">
        <v>923</v>
      </c>
    </row>
    <row r="23" spans="1:61">
      <c r="A23">
        <v>15</v>
      </c>
      <c r="B23">
        <v>1640</v>
      </c>
      <c r="C23">
        <v>41</v>
      </c>
      <c r="D23">
        <f t="shared" si="0"/>
        <v>1.0401603369104701E-2</v>
      </c>
      <c r="E23">
        <f t="shared" si="1"/>
        <v>1.64</v>
      </c>
      <c r="G23">
        <v>15</v>
      </c>
      <c r="H23">
        <v>0</v>
      </c>
      <c r="I23">
        <v>0</v>
      </c>
      <c r="J23">
        <f t="shared" si="2"/>
        <v>0</v>
      </c>
      <c r="K23">
        <f t="shared" si="3"/>
        <v>0</v>
      </c>
      <c r="M23">
        <v>15</v>
      </c>
      <c r="N23">
        <f t="shared" si="4"/>
        <v>1.64</v>
      </c>
      <c r="O23">
        <f t="shared" si="5"/>
        <v>41</v>
      </c>
      <c r="Z23" s="57">
        <v>13.5</v>
      </c>
      <c r="AA23" s="57">
        <v>10046.4</v>
      </c>
      <c r="AB23" s="57">
        <v>6697.6</v>
      </c>
      <c r="AC23" s="57">
        <v>0</v>
      </c>
      <c r="AD23" s="57">
        <v>16744</v>
      </c>
      <c r="AF23" s="57">
        <v>13.5</v>
      </c>
      <c r="AG23" s="57">
        <v>0</v>
      </c>
      <c r="AH23" s="57">
        <v>0</v>
      </c>
      <c r="AI23" s="57">
        <v>0</v>
      </c>
      <c r="AJ23" s="57">
        <v>0</v>
      </c>
      <c r="AL23" s="57">
        <v>13.5</v>
      </c>
      <c r="AM23" s="59">
        <f t="shared" si="9"/>
        <v>10046.4</v>
      </c>
      <c r="AN23" s="59">
        <f t="shared" si="19"/>
        <v>6697.6</v>
      </c>
      <c r="AO23" s="59">
        <f t="shared" si="20"/>
        <v>0</v>
      </c>
      <c r="AP23" s="59">
        <f t="shared" si="21"/>
        <v>16744</v>
      </c>
      <c r="AQ23" s="57">
        <v>13.5</v>
      </c>
      <c r="AR23">
        <f t="shared" si="15"/>
        <v>0.6</v>
      </c>
      <c r="AS23">
        <f t="shared" si="16"/>
        <v>0.4</v>
      </c>
      <c r="AT23">
        <f t="shared" si="17"/>
        <v>0</v>
      </c>
      <c r="AU23">
        <f t="shared" si="18"/>
        <v>1</v>
      </c>
      <c r="AW23" s="56">
        <f t="shared" si="10"/>
        <v>13.75</v>
      </c>
      <c r="AX23" s="57">
        <v>13.5</v>
      </c>
      <c r="AY23" s="59">
        <f t="shared" si="11"/>
        <v>10.0464</v>
      </c>
      <c r="AZ23" s="59">
        <f t="shared" si="22"/>
        <v>6.6976000000000004</v>
      </c>
      <c r="BA23" s="59">
        <f t="shared" si="23"/>
        <v>0</v>
      </c>
      <c r="BB23" s="59">
        <f t="shared" si="12"/>
        <v>16.744</v>
      </c>
      <c r="BC23">
        <v>16.744</v>
      </c>
      <c r="BD23" s="57">
        <v>13.5</v>
      </c>
      <c r="BE23" s="59">
        <f t="shared" si="13"/>
        <v>175.2</v>
      </c>
      <c r="BF23" s="59">
        <f t="shared" si="24"/>
        <v>116.80000000000001</v>
      </c>
      <c r="BG23" s="59">
        <f t="shared" si="25"/>
        <v>0</v>
      </c>
      <c r="BH23" s="59">
        <f t="shared" si="14"/>
        <v>292</v>
      </c>
      <c r="BI23">
        <v>292</v>
      </c>
    </row>
    <row r="24" spans="1:61">
      <c r="A24">
        <v>15.5</v>
      </c>
      <c r="B24">
        <v>410</v>
      </c>
      <c r="C24">
        <v>11</v>
      </c>
      <c r="D24">
        <f t="shared" si="0"/>
        <v>2.6004008422761751E-3</v>
      </c>
      <c r="E24">
        <f t="shared" si="1"/>
        <v>0.41</v>
      </c>
      <c r="G24">
        <v>15.5</v>
      </c>
      <c r="H24">
        <v>0</v>
      </c>
      <c r="I24">
        <v>0</v>
      </c>
      <c r="J24">
        <f t="shared" si="2"/>
        <v>0</v>
      </c>
      <c r="K24">
        <f t="shared" si="3"/>
        <v>0</v>
      </c>
      <c r="M24">
        <v>15.5</v>
      </c>
      <c r="N24">
        <f t="shared" si="4"/>
        <v>0.41</v>
      </c>
      <c r="O24">
        <f t="shared" si="5"/>
        <v>11</v>
      </c>
      <c r="Z24" s="57">
        <v>14</v>
      </c>
      <c r="AA24" s="57">
        <v>2696.1</v>
      </c>
      <c r="AB24" s="57">
        <v>6290.9</v>
      </c>
      <c r="AC24" s="57">
        <v>0</v>
      </c>
      <c r="AD24" s="57">
        <v>8987</v>
      </c>
      <c r="AF24" s="57">
        <v>14</v>
      </c>
      <c r="AG24" s="57">
        <v>0</v>
      </c>
      <c r="AH24" s="57">
        <v>0</v>
      </c>
      <c r="AI24" s="57">
        <v>0</v>
      </c>
      <c r="AJ24" s="57">
        <v>0</v>
      </c>
      <c r="AL24" s="57">
        <v>14</v>
      </c>
      <c r="AM24" s="59">
        <f t="shared" si="9"/>
        <v>2696.1</v>
      </c>
      <c r="AN24" s="59">
        <f t="shared" si="19"/>
        <v>6290.9</v>
      </c>
      <c r="AO24" s="59">
        <f t="shared" si="20"/>
        <v>0</v>
      </c>
      <c r="AP24" s="59">
        <f t="shared" si="21"/>
        <v>8987</v>
      </c>
      <c r="AQ24" s="57">
        <v>14</v>
      </c>
      <c r="AR24">
        <f t="shared" si="15"/>
        <v>0.3</v>
      </c>
      <c r="AS24">
        <f t="shared" si="16"/>
        <v>0.7</v>
      </c>
      <c r="AT24">
        <f t="shared" si="17"/>
        <v>0</v>
      </c>
      <c r="AU24">
        <f t="shared" si="18"/>
        <v>1</v>
      </c>
      <c r="AW24" s="56">
        <f t="shared" si="10"/>
        <v>14.25</v>
      </c>
      <c r="AX24" s="57">
        <v>14</v>
      </c>
      <c r="AY24" s="59">
        <f t="shared" si="11"/>
        <v>2.6960999999999999</v>
      </c>
      <c r="AZ24" s="59">
        <f t="shared" si="22"/>
        <v>6.2908999999999997</v>
      </c>
      <c r="BA24" s="59">
        <f t="shared" si="23"/>
        <v>0</v>
      </c>
      <c r="BB24" s="59">
        <f t="shared" si="12"/>
        <v>8.9870000000000001</v>
      </c>
      <c r="BC24">
        <v>8.9870000000000001</v>
      </c>
      <c r="BD24" s="57">
        <v>14</v>
      </c>
      <c r="BE24" s="59">
        <f t="shared" si="13"/>
        <v>53.1</v>
      </c>
      <c r="BF24" s="59">
        <f t="shared" si="24"/>
        <v>123.89999999999999</v>
      </c>
      <c r="BG24" s="59">
        <f t="shared" si="25"/>
        <v>0</v>
      </c>
      <c r="BH24" s="59">
        <f t="shared" si="14"/>
        <v>177</v>
      </c>
      <c r="BI24">
        <v>177</v>
      </c>
    </row>
    <row r="25" spans="1:61">
      <c r="A25">
        <v>16</v>
      </c>
      <c r="B25">
        <v>0</v>
      </c>
      <c r="C25">
        <v>0</v>
      </c>
      <c r="D25">
        <f t="shared" si="0"/>
        <v>0</v>
      </c>
      <c r="E25">
        <f t="shared" si="1"/>
        <v>0</v>
      </c>
      <c r="G25">
        <v>16</v>
      </c>
      <c r="H25">
        <v>0</v>
      </c>
      <c r="I25">
        <v>0</v>
      </c>
      <c r="J25">
        <f t="shared" si="2"/>
        <v>0</v>
      </c>
      <c r="K25">
        <f t="shared" si="3"/>
        <v>0</v>
      </c>
      <c r="M25">
        <v>16</v>
      </c>
      <c r="N25">
        <f t="shared" si="4"/>
        <v>0</v>
      </c>
      <c r="O25">
        <f t="shared" si="5"/>
        <v>0</v>
      </c>
      <c r="Z25" s="57">
        <v>14.5</v>
      </c>
      <c r="AA25" s="57">
        <v>816</v>
      </c>
      <c r="AB25" s="57">
        <v>2448</v>
      </c>
      <c r="AC25" s="57">
        <v>0</v>
      </c>
      <c r="AD25" s="57">
        <v>3264</v>
      </c>
      <c r="AF25" s="57">
        <v>14.5</v>
      </c>
      <c r="AG25" s="57">
        <v>0</v>
      </c>
      <c r="AH25" s="57">
        <v>0</v>
      </c>
      <c r="AI25" s="57">
        <v>0</v>
      </c>
      <c r="AJ25" s="57">
        <v>0</v>
      </c>
      <c r="AL25" s="57">
        <v>14.5</v>
      </c>
      <c r="AM25" s="59">
        <f t="shared" si="9"/>
        <v>816</v>
      </c>
      <c r="AN25" s="59">
        <f t="shared" si="19"/>
        <v>2448</v>
      </c>
      <c r="AO25" s="59">
        <f t="shared" si="20"/>
        <v>0</v>
      </c>
      <c r="AP25" s="59">
        <f t="shared" si="21"/>
        <v>3264</v>
      </c>
      <c r="AQ25" s="57">
        <v>14.5</v>
      </c>
      <c r="AR25">
        <f t="shared" si="15"/>
        <v>0.25</v>
      </c>
      <c r="AS25">
        <f t="shared" si="16"/>
        <v>0.75</v>
      </c>
      <c r="AT25">
        <f t="shared" si="17"/>
        <v>0</v>
      </c>
      <c r="AU25">
        <f t="shared" si="18"/>
        <v>1</v>
      </c>
      <c r="AW25" s="56">
        <f t="shared" si="10"/>
        <v>14.75</v>
      </c>
      <c r="AX25" s="57">
        <v>14.5</v>
      </c>
      <c r="AY25" s="59">
        <f t="shared" si="11"/>
        <v>0.81599999999999995</v>
      </c>
      <c r="AZ25" s="59">
        <f t="shared" si="22"/>
        <v>2.448</v>
      </c>
      <c r="BA25" s="59">
        <f t="shared" si="23"/>
        <v>0</v>
      </c>
      <c r="BB25" s="59">
        <f t="shared" si="12"/>
        <v>3.2639999999999998</v>
      </c>
      <c r="BC25">
        <v>3.2639999999999998</v>
      </c>
      <c r="BD25" s="57">
        <v>14.5</v>
      </c>
      <c r="BE25" s="59">
        <f t="shared" si="13"/>
        <v>18</v>
      </c>
      <c r="BF25" s="59">
        <f t="shared" si="24"/>
        <v>54</v>
      </c>
      <c r="BG25" s="59">
        <f t="shared" si="25"/>
        <v>0</v>
      </c>
      <c r="BH25" s="59">
        <f t="shared" si="14"/>
        <v>72</v>
      </c>
      <c r="BI25">
        <v>72</v>
      </c>
    </row>
    <row r="26" spans="1:61">
      <c r="A26">
        <v>16.5</v>
      </c>
      <c r="B26">
        <v>0</v>
      </c>
      <c r="C26">
        <v>0</v>
      </c>
      <c r="D26">
        <f t="shared" si="0"/>
        <v>0</v>
      </c>
      <c r="E26">
        <f t="shared" si="1"/>
        <v>0</v>
      </c>
      <c r="G26">
        <v>16.5</v>
      </c>
      <c r="H26">
        <v>0</v>
      </c>
      <c r="I26">
        <v>0</v>
      </c>
      <c r="J26">
        <f t="shared" si="2"/>
        <v>0</v>
      </c>
      <c r="K26">
        <f t="shared" si="3"/>
        <v>0</v>
      </c>
      <c r="M26">
        <v>16.5</v>
      </c>
      <c r="N26">
        <f t="shared" si="4"/>
        <v>0</v>
      </c>
      <c r="O26">
        <f t="shared" si="5"/>
        <v>0</v>
      </c>
      <c r="Z26" s="57">
        <v>15</v>
      </c>
      <c r="AA26" s="57">
        <v>0</v>
      </c>
      <c r="AB26" s="57">
        <v>1640</v>
      </c>
      <c r="AC26" s="57">
        <v>0</v>
      </c>
      <c r="AD26" s="57">
        <v>1640</v>
      </c>
      <c r="AF26" s="57">
        <v>15</v>
      </c>
      <c r="AG26" s="57">
        <v>0</v>
      </c>
      <c r="AH26" s="57">
        <v>0</v>
      </c>
      <c r="AI26" s="57">
        <v>0</v>
      </c>
      <c r="AJ26" s="57">
        <v>0</v>
      </c>
      <c r="AL26" s="57">
        <v>15</v>
      </c>
      <c r="AM26" s="59">
        <f t="shared" si="9"/>
        <v>0</v>
      </c>
      <c r="AN26" s="59">
        <f t="shared" si="19"/>
        <v>1640</v>
      </c>
      <c r="AO26" s="59">
        <f t="shared" si="20"/>
        <v>0</v>
      </c>
      <c r="AP26" s="59">
        <f t="shared" si="21"/>
        <v>1640</v>
      </c>
      <c r="AQ26" s="57">
        <v>15</v>
      </c>
      <c r="AR26">
        <f t="shared" si="15"/>
        <v>0</v>
      </c>
      <c r="AS26">
        <f t="shared" si="16"/>
        <v>1</v>
      </c>
      <c r="AT26">
        <f t="shared" si="17"/>
        <v>0</v>
      </c>
      <c r="AU26">
        <f t="shared" si="18"/>
        <v>1</v>
      </c>
      <c r="AW26" s="56">
        <f t="shared" si="10"/>
        <v>15.25</v>
      </c>
      <c r="AX26" s="57">
        <v>15</v>
      </c>
      <c r="AY26" s="59">
        <f t="shared" si="11"/>
        <v>0</v>
      </c>
      <c r="AZ26" s="59">
        <f t="shared" si="22"/>
        <v>1.64</v>
      </c>
      <c r="BA26" s="59">
        <f t="shared" si="23"/>
        <v>0</v>
      </c>
      <c r="BB26" s="59">
        <f t="shared" si="12"/>
        <v>1.64</v>
      </c>
      <c r="BC26">
        <v>1.64</v>
      </c>
      <c r="BD26" s="57">
        <v>15</v>
      </c>
      <c r="BE26" s="59">
        <f t="shared" si="13"/>
        <v>0</v>
      </c>
      <c r="BF26" s="59">
        <f t="shared" si="24"/>
        <v>41</v>
      </c>
      <c r="BG26" s="59">
        <f t="shared" si="25"/>
        <v>0</v>
      </c>
      <c r="BH26" s="59">
        <f t="shared" si="14"/>
        <v>41</v>
      </c>
      <c r="BI26">
        <v>41</v>
      </c>
    </row>
    <row r="27" spans="1:61">
      <c r="A27">
        <v>17</v>
      </c>
      <c r="B27">
        <v>0</v>
      </c>
      <c r="C27">
        <v>0</v>
      </c>
      <c r="D27">
        <f t="shared" si="0"/>
        <v>0</v>
      </c>
      <c r="E27">
        <f t="shared" si="1"/>
        <v>0</v>
      </c>
      <c r="G27">
        <v>17</v>
      </c>
      <c r="H27">
        <v>0</v>
      </c>
      <c r="I27">
        <v>0</v>
      </c>
      <c r="J27">
        <f t="shared" si="2"/>
        <v>0</v>
      </c>
      <c r="K27">
        <f t="shared" si="3"/>
        <v>0</v>
      </c>
      <c r="M27">
        <v>17</v>
      </c>
      <c r="N27">
        <f t="shared" si="4"/>
        <v>0</v>
      </c>
      <c r="O27">
        <f t="shared" si="5"/>
        <v>0</v>
      </c>
      <c r="Z27" s="57">
        <v>15.5</v>
      </c>
      <c r="AA27" s="57">
        <v>0</v>
      </c>
      <c r="AB27" s="57">
        <v>410</v>
      </c>
      <c r="AC27" s="57">
        <v>0</v>
      </c>
      <c r="AD27" s="57">
        <v>410</v>
      </c>
      <c r="AF27" s="57">
        <v>15.5</v>
      </c>
      <c r="AG27" s="57">
        <v>0</v>
      </c>
      <c r="AH27" s="57">
        <v>0</v>
      </c>
      <c r="AI27" s="57">
        <v>0</v>
      </c>
      <c r="AJ27" s="57">
        <v>0</v>
      </c>
      <c r="AL27" s="57">
        <v>15.5</v>
      </c>
      <c r="AM27" s="59">
        <f t="shared" si="9"/>
        <v>0</v>
      </c>
      <c r="AN27" s="59">
        <f t="shared" si="19"/>
        <v>410</v>
      </c>
      <c r="AO27" s="59">
        <f t="shared" si="20"/>
        <v>0</v>
      </c>
      <c r="AP27" s="59">
        <f t="shared" si="21"/>
        <v>410</v>
      </c>
      <c r="AQ27" s="57">
        <v>15.5</v>
      </c>
      <c r="AR27">
        <f t="shared" si="15"/>
        <v>0</v>
      </c>
      <c r="AS27">
        <f t="shared" si="16"/>
        <v>1</v>
      </c>
      <c r="AT27">
        <f t="shared" si="17"/>
        <v>0</v>
      </c>
      <c r="AU27">
        <f t="shared" si="18"/>
        <v>1</v>
      </c>
      <c r="AW27" s="56">
        <f t="shared" si="10"/>
        <v>15.75</v>
      </c>
      <c r="AX27" s="57">
        <v>15.5</v>
      </c>
      <c r="AY27" s="59">
        <f t="shared" si="11"/>
        <v>0</v>
      </c>
      <c r="AZ27" s="59">
        <f t="shared" si="22"/>
        <v>0.41</v>
      </c>
      <c r="BA27" s="59">
        <f t="shared" si="23"/>
        <v>0</v>
      </c>
      <c r="BB27" s="59">
        <f t="shared" si="12"/>
        <v>0.41</v>
      </c>
      <c r="BC27">
        <v>0.41</v>
      </c>
      <c r="BD27" s="57">
        <v>15.5</v>
      </c>
      <c r="BE27" s="59">
        <f t="shared" si="13"/>
        <v>0</v>
      </c>
      <c r="BF27" s="59">
        <f t="shared" si="24"/>
        <v>11</v>
      </c>
      <c r="BG27" s="59">
        <f t="shared" si="25"/>
        <v>0</v>
      </c>
      <c r="BH27" s="59">
        <f t="shared" si="14"/>
        <v>11</v>
      </c>
      <c r="BI27">
        <v>11</v>
      </c>
    </row>
    <row r="28" spans="1:61">
      <c r="A28">
        <v>17.5</v>
      </c>
      <c r="B28">
        <v>0</v>
      </c>
      <c r="C28">
        <v>0</v>
      </c>
      <c r="D28">
        <f t="shared" si="0"/>
        <v>0</v>
      </c>
      <c r="E28">
        <f t="shared" si="1"/>
        <v>0</v>
      </c>
      <c r="G28">
        <v>17.5</v>
      </c>
      <c r="H28">
        <v>0</v>
      </c>
      <c r="I28">
        <v>0</v>
      </c>
      <c r="J28">
        <f t="shared" si="2"/>
        <v>0</v>
      </c>
      <c r="K28">
        <f t="shared" si="3"/>
        <v>0</v>
      </c>
      <c r="M28">
        <v>17.5</v>
      </c>
      <c r="N28">
        <f t="shared" si="4"/>
        <v>0</v>
      </c>
      <c r="O28">
        <f t="shared" si="5"/>
        <v>0</v>
      </c>
      <c r="Z28" s="57">
        <v>16</v>
      </c>
      <c r="AA28" s="57">
        <v>0</v>
      </c>
      <c r="AB28" s="57">
        <v>0</v>
      </c>
      <c r="AC28" s="57">
        <v>0</v>
      </c>
      <c r="AD28" s="57">
        <v>0</v>
      </c>
      <c r="AF28" s="57">
        <v>16</v>
      </c>
      <c r="AG28" s="57">
        <v>0</v>
      </c>
      <c r="AH28" s="57">
        <v>0</v>
      </c>
      <c r="AI28" s="57">
        <v>0</v>
      </c>
      <c r="AJ28" s="57">
        <v>0</v>
      </c>
      <c r="AL28" s="57">
        <v>16</v>
      </c>
      <c r="AM28" s="59">
        <f t="shared" si="9"/>
        <v>0</v>
      </c>
      <c r="AN28" s="59">
        <f t="shared" si="19"/>
        <v>0</v>
      </c>
      <c r="AO28" s="59">
        <f t="shared" si="20"/>
        <v>0</v>
      </c>
      <c r="AP28" s="59">
        <f t="shared" si="21"/>
        <v>0</v>
      </c>
      <c r="AQ28" s="57">
        <v>16</v>
      </c>
      <c r="AW28" s="56">
        <f t="shared" si="10"/>
        <v>16.25</v>
      </c>
      <c r="AX28" s="57">
        <v>16</v>
      </c>
      <c r="AY28" s="59">
        <f t="shared" si="11"/>
        <v>0</v>
      </c>
      <c r="AZ28" s="59">
        <f t="shared" si="22"/>
        <v>0</v>
      </c>
      <c r="BA28" s="59">
        <f t="shared" si="23"/>
        <v>0</v>
      </c>
      <c r="BB28" s="59">
        <f t="shared" si="12"/>
        <v>0</v>
      </c>
      <c r="BC28">
        <v>0</v>
      </c>
      <c r="BD28" s="57">
        <v>16</v>
      </c>
      <c r="BE28" s="59">
        <f t="shared" si="13"/>
        <v>0</v>
      </c>
      <c r="BF28" s="59">
        <f t="shared" si="24"/>
        <v>0</v>
      </c>
      <c r="BG28" s="59">
        <f t="shared" si="25"/>
        <v>0</v>
      </c>
      <c r="BH28" s="59">
        <f t="shared" si="14"/>
        <v>0</v>
      </c>
      <c r="BI28">
        <v>0</v>
      </c>
    </row>
    <row r="29" spans="1:61">
      <c r="A29">
        <v>18</v>
      </c>
      <c r="B29">
        <v>0</v>
      </c>
      <c r="C29">
        <v>0</v>
      </c>
      <c r="D29">
        <f t="shared" si="0"/>
        <v>0</v>
      </c>
      <c r="E29">
        <f t="shared" si="1"/>
        <v>0</v>
      </c>
      <c r="G29">
        <v>18</v>
      </c>
      <c r="H29">
        <v>0</v>
      </c>
      <c r="I29">
        <v>0</v>
      </c>
      <c r="J29">
        <f t="shared" si="2"/>
        <v>0</v>
      </c>
      <c r="K29">
        <f t="shared" si="3"/>
        <v>0</v>
      </c>
      <c r="M29">
        <v>18</v>
      </c>
      <c r="N29">
        <f t="shared" si="4"/>
        <v>0</v>
      </c>
      <c r="O29">
        <f t="shared" si="5"/>
        <v>0</v>
      </c>
      <c r="Z29" s="57">
        <v>16.5</v>
      </c>
      <c r="AA29" s="57">
        <v>0</v>
      </c>
      <c r="AB29" s="57">
        <v>0</v>
      </c>
      <c r="AC29" s="57">
        <v>0</v>
      </c>
      <c r="AD29" s="57">
        <v>0</v>
      </c>
      <c r="AF29" s="57">
        <v>16.5</v>
      </c>
      <c r="AG29" s="57">
        <v>0</v>
      </c>
      <c r="AH29" s="57">
        <v>0</v>
      </c>
      <c r="AI29" s="57">
        <v>0</v>
      </c>
      <c r="AJ29" s="57">
        <v>0</v>
      </c>
      <c r="AL29" s="57">
        <v>16.5</v>
      </c>
      <c r="AM29" s="59">
        <f t="shared" si="9"/>
        <v>0</v>
      </c>
      <c r="AN29" s="59">
        <f t="shared" si="19"/>
        <v>0</v>
      </c>
      <c r="AO29" s="59">
        <f t="shared" si="20"/>
        <v>0</v>
      </c>
      <c r="AP29" s="59">
        <f t="shared" si="21"/>
        <v>0</v>
      </c>
      <c r="AQ29" s="57">
        <v>16.5</v>
      </c>
      <c r="AW29" s="56">
        <f t="shared" si="10"/>
        <v>16.75</v>
      </c>
      <c r="AX29" s="57">
        <v>16.5</v>
      </c>
      <c r="AY29" s="59">
        <f t="shared" si="11"/>
        <v>0</v>
      </c>
      <c r="AZ29" s="59">
        <f t="shared" si="22"/>
        <v>0</v>
      </c>
      <c r="BA29" s="59">
        <f t="shared" si="23"/>
        <v>0</v>
      </c>
      <c r="BB29" s="59">
        <f t="shared" si="12"/>
        <v>0</v>
      </c>
      <c r="BC29">
        <v>0</v>
      </c>
      <c r="BD29" s="57">
        <v>16.5</v>
      </c>
      <c r="BE29" s="59">
        <f t="shared" si="13"/>
        <v>0</v>
      </c>
      <c r="BF29" s="59">
        <f t="shared" si="24"/>
        <v>0</v>
      </c>
      <c r="BG29" s="59">
        <f t="shared" si="25"/>
        <v>0</v>
      </c>
      <c r="BH29" s="59">
        <f t="shared" si="14"/>
        <v>0</v>
      </c>
      <c r="BI29">
        <v>0</v>
      </c>
    </row>
    <row r="30" spans="1:61">
      <c r="A30">
        <v>18.5</v>
      </c>
      <c r="B30">
        <v>0</v>
      </c>
      <c r="C30">
        <v>0</v>
      </c>
      <c r="D30">
        <f t="shared" si="0"/>
        <v>0</v>
      </c>
      <c r="E30">
        <f t="shared" si="1"/>
        <v>0</v>
      </c>
      <c r="G30">
        <v>18.5</v>
      </c>
      <c r="H30">
        <v>0</v>
      </c>
      <c r="I30">
        <v>0</v>
      </c>
      <c r="J30">
        <f t="shared" si="2"/>
        <v>0</v>
      </c>
      <c r="K30">
        <f t="shared" si="3"/>
        <v>0</v>
      </c>
      <c r="M30">
        <v>18.5</v>
      </c>
      <c r="N30">
        <f t="shared" si="4"/>
        <v>0</v>
      </c>
      <c r="O30">
        <f t="shared" si="5"/>
        <v>0</v>
      </c>
      <c r="Z30" s="57">
        <v>17</v>
      </c>
      <c r="AA30" s="57">
        <v>0</v>
      </c>
      <c r="AB30" s="57">
        <v>0</v>
      </c>
      <c r="AC30" s="57">
        <v>0</v>
      </c>
      <c r="AD30" s="57">
        <v>0</v>
      </c>
      <c r="AF30" s="57">
        <v>17</v>
      </c>
      <c r="AG30" s="57">
        <v>0</v>
      </c>
      <c r="AH30" s="57">
        <v>0</v>
      </c>
      <c r="AI30" s="57">
        <v>0</v>
      </c>
      <c r="AJ30" s="57">
        <v>0</v>
      </c>
      <c r="AL30" s="57">
        <v>17</v>
      </c>
      <c r="AM30" s="59">
        <f t="shared" si="9"/>
        <v>0</v>
      </c>
      <c r="AN30" s="59">
        <f t="shared" si="19"/>
        <v>0</v>
      </c>
      <c r="AO30" s="59">
        <f t="shared" si="20"/>
        <v>0</v>
      </c>
      <c r="AP30" s="59">
        <f t="shared" si="21"/>
        <v>0</v>
      </c>
      <c r="AQ30" s="57">
        <v>17</v>
      </c>
      <c r="AW30" s="56">
        <f t="shared" si="10"/>
        <v>17.25</v>
      </c>
      <c r="AX30" s="57">
        <v>17</v>
      </c>
      <c r="AY30" s="59">
        <f t="shared" si="11"/>
        <v>0</v>
      </c>
      <c r="AZ30" s="59">
        <f t="shared" si="22"/>
        <v>0</v>
      </c>
      <c r="BA30" s="59">
        <f t="shared" si="23"/>
        <v>0</v>
      </c>
      <c r="BB30" s="59">
        <f t="shared" si="12"/>
        <v>0</v>
      </c>
      <c r="BC30">
        <v>0</v>
      </c>
      <c r="BD30" s="57">
        <v>17</v>
      </c>
      <c r="BE30" s="59">
        <f t="shared" si="13"/>
        <v>0</v>
      </c>
      <c r="BF30" s="59">
        <f t="shared" si="24"/>
        <v>0</v>
      </c>
      <c r="BG30" s="59">
        <f t="shared" si="25"/>
        <v>0</v>
      </c>
      <c r="BH30" s="59">
        <f t="shared" si="14"/>
        <v>0</v>
      </c>
      <c r="BI30">
        <v>0</v>
      </c>
    </row>
    <row r="31" spans="1:61">
      <c r="A31">
        <v>19</v>
      </c>
      <c r="B31">
        <v>0</v>
      </c>
      <c r="C31">
        <v>0</v>
      </c>
      <c r="D31">
        <f t="shared" si="0"/>
        <v>0</v>
      </c>
      <c r="E31">
        <f t="shared" si="1"/>
        <v>0</v>
      </c>
      <c r="G31">
        <v>19</v>
      </c>
      <c r="H31">
        <v>0</v>
      </c>
      <c r="I31">
        <v>0</v>
      </c>
      <c r="J31">
        <f t="shared" si="2"/>
        <v>0</v>
      </c>
      <c r="K31">
        <f t="shared" si="3"/>
        <v>0</v>
      </c>
      <c r="M31">
        <v>19</v>
      </c>
      <c r="N31">
        <f t="shared" si="4"/>
        <v>0</v>
      </c>
      <c r="O31">
        <f t="shared" si="5"/>
        <v>0</v>
      </c>
      <c r="Z31" s="57">
        <v>17.5</v>
      </c>
      <c r="AA31" s="57">
        <v>0</v>
      </c>
      <c r="AB31" s="57">
        <v>0</v>
      </c>
      <c r="AC31" s="57">
        <v>0</v>
      </c>
      <c r="AD31" s="57">
        <v>0</v>
      </c>
      <c r="AF31" s="57">
        <v>17.5</v>
      </c>
      <c r="AG31" s="57">
        <v>0</v>
      </c>
      <c r="AH31" s="57">
        <v>0</v>
      </c>
      <c r="AI31" s="57">
        <v>0</v>
      </c>
      <c r="AJ31" s="57">
        <v>0</v>
      </c>
      <c r="AL31" s="57">
        <v>17.5</v>
      </c>
      <c r="AM31" s="59">
        <f t="shared" si="9"/>
        <v>0</v>
      </c>
      <c r="AN31" s="59">
        <f t="shared" si="19"/>
        <v>0</v>
      </c>
      <c r="AO31" s="59">
        <f t="shared" si="20"/>
        <v>0</v>
      </c>
      <c r="AP31" s="59">
        <f t="shared" si="21"/>
        <v>0</v>
      </c>
      <c r="AQ31" s="57">
        <v>17.5</v>
      </c>
      <c r="AW31" s="56">
        <f t="shared" si="10"/>
        <v>17.75</v>
      </c>
      <c r="AX31" s="57">
        <v>17.5</v>
      </c>
      <c r="AY31" s="59">
        <f t="shared" si="11"/>
        <v>0</v>
      </c>
      <c r="AZ31" s="59">
        <f t="shared" si="22"/>
        <v>0</v>
      </c>
      <c r="BA31" s="59">
        <f t="shared" si="23"/>
        <v>0</v>
      </c>
      <c r="BB31" s="59">
        <f t="shared" si="12"/>
        <v>0</v>
      </c>
      <c r="BC31">
        <v>0</v>
      </c>
      <c r="BD31" s="57">
        <v>17.5</v>
      </c>
      <c r="BE31" s="59">
        <f t="shared" si="13"/>
        <v>0</v>
      </c>
      <c r="BF31" s="59">
        <f t="shared" si="24"/>
        <v>0</v>
      </c>
      <c r="BG31" s="59">
        <f t="shared" si="25"/>
        <v>0</v>
      </c>
      <c r="BH31" s="59">
        <f t="shared" si="14"/>
        <v>0</v>
      </c>
      <c r="BI31">
        <v>0</v>
      </c>
    </row>
    <row r="32" spans="1:61" ht="15" thickBot="1">
      <c r="A32">
        <v>19.5</v>
      </c>
      <c r="B32">
        <v>0</v>
      </c>
      <c r="C32">
        <v>0</v>
      </c>
      <c r="D32">
        <f t="shared" si="0"/>
        <v>0</v>
      </c>
      <c r="E32">
        <f t="shared" si="1"/>
        <v>0</v>
      </c>
      <c r="G32">
        <v>19.5</v>
      </c>
      <c r="H32">
        <v>0</v>
      </c>
      <c r="I32">
        <v>0</v>
      </c>
      <c r="J32">
        <f t="shared" si="2"/>
        <v>0</v>
      </c>
      <c r="K32">
        <f t="shared" si="3"/>
        <v>0</v>
      </c>
      <c r="M32">
        <v>19.5</v>
      </c>
      <c r="N32">
        <f t="shared" si="4"/>
        <v>0</v>
      </c>
      <c r="O32">
        <f t="shared" si="5"/>
        <v>0</v>
      </c>
      <c r="Z32" s="77">
        <v>18</v>
      </c>
      <c r="AA32" s="77">
        <v>0</v>
      </c>
      <c r="AB32" s="77">
        <v>0</v>
      </c>
      <c r="AC32" s="77">
        <v>0</v>
      </c>
      <c r="AD32" s="77">
        <v>0</v>
      </c>
      <c r="AF32" s="77">
        <v>18</v>
      </c>
      <c r="AG32" s="77">
        <v>0</v>
      </c>
      <c r="AH32" s="77">
        <v>0</v>
      </c>
      <c r="AI32" s="77">
        <v>0</v>
      </c>
      <c r="AJ32" s="77">
        <v>0</v>
      </c>
      <c r="AL32" s="77">
        <v>18</v>
      </c>
      <c r="AM32" s="59">
        <f t="shared" si="9"/>
        <v>0</v>
      </c>
      <c r="AN32" s="59">
        <f t="shared" si="19"/>
        <v>0</v>
      </c>
      <c r="AO32" s="59">
        <f t="shared" si="20"/>
        <v>0</v>
      </c>
      <c r="AP32" s="59">
        <f t="shared" si="21"/>
        <v>0</v>
      </c>
      <c r="AQ32" s="77">
        <v>18</v>
      </c>
      <c r="AW32" s="56">
        <f t="shared" si="10"/>
        <v>18.25</v>
      </c>
      <c r="AX32" s="77">
        <v>18</v>
      </c>
      <c r="AY32" s="59">
        <f t="shared" si="11"/>
        <v>0</v>
      </c>
      <c r="AZ32" s="59">
        <f t="shared" si="22"/>
        <v>0</v>
      </c>
      <c r="BA32" s="59">
        <f t="shared" si="23"/>
        <v>0</v>
      </c>
      <c r="BB32" s="59">
        <f t="shared" si="12"/>
        <v>0</v>
      </c>
      <c r="BC32">
        <v>0</v>
      </c>
      <c r="BD32" s="77">
        <v>18</v>
      </c>
      <c r="BE32" s="59">
        <f t="shared" si="13"/>
        <v>0</v>
      </c>
      <c r="BF32" s="59">
        <f t="shared" si="24"/>
        <v>0</v>
      </c>
      <c r="BG32" s="59">
        <f t="shared" si="25"/>
        <v>0</v>
      </c>
      <c r="BH32" s="59">
        <f t="shared" si="14"/>
        <v>0</v>
      </c>
      <c r="BI32">
        <v>0</v>
      </c>
    </row>
    <row r="33" spans="1:61">
      <c r="A33">
        <v>20</v>
      </c>
      <c r="B33">
        <v>0</v>
      </c>
      <c r="C33">
        <v>0</v>
      </c>
      <c r="D33">
        <f t="shared" si="0"/>
        <v>0</v>
      </c>
      <c r="E33">
        <f t="shared" si="1"/>
        <v>0</v>
      </c>
      <c r="G33">
        <v>20</v>
      </c>
      <c r="H33">
        <v>0</v>
      </c>
      <c r="I33">
        <v>0</v>
      </c>
      <c r="J33">
        <f t="shared" si="2"/>
        <v>0</v>
      </c>
      <c r="K33">
        <f t="shared" si="3"/>
        <v>0</v>
      </c>
      <c r="M33">
        <v>20</v>
      </c>
      <c r="N33">
        <f t="shared" si="4"/>
        <v>0</v>
      </c>
      <c r="O33">
        <f t="shared" si="5"/>
        <v>0</v>
      </c>
      <c r="Z33" s="78" t="s">
        <v>8</v>
      </c>
      <c r="AA33" s="79">
        <v>137649.30000000002</v>
      </c>
      <c r="AB33" s="79">
        <v>20018.7</v>
      </c>
      <c r="AC33" s="79">
        <v>0</v>
      </c>
      <c r="AD33" s="80">
        <v>157668</v>
      </c>
      <c r="AF33" s="78" t="s">
        <v>8</v>
      </c>
      <c r="AG33" s="79">
        <v>3257930.5767810089</v>
      </c>
      <c r="AH33" s="79">
        <v>273421.42321899114</v>
      </c>
      <c r="AI33" s="79">
        <v>0</v>
      </c>
      <c r="AJ33" s="80">
        <v>3531352</v>
      </c>
      <c r="AL33" s="86" t="s">
        <v>8</v>
      </c>
      <c r="AM33" s="87">
        <f>SUM(AM6:AM32)</f>
        <v>3395579.8767810087</v>
      </c>
      <c r="AN33" s="87">
        <f>SUM(AN6:AN32)</f>
        <v>293440.12321899115</v>
      </c>
      <c r="AO33" s="87">
        <f>SUM(AO6:AO32)</f>
        <v>0</v>
      </c>
      <c r="AP33" s="88">
        <f>SUM(AP6:AP32)</f>
        <v>3689020</v>
      </c>
      <c r="AX33" s="86" t="s">
        <v>8</v>
      </c>
      <c r="AY33" s="87">
        <f>SUM(AY6:AY32)</f>
        <v>3395.5798767810093</v>
      </c>
      <c r="AZ33" s="87">
        <f>SUM(AZ6:AZ32)</f>
        <v>293.44012321899123</v>
      </c>
      <c r="BA33" s="87">
        <f>SUM(BA6:BA32)</f>
        <v>0</v>
      </c>
      <c r="BB33" s="88">
        <f>SUM(BB6:BB32)</f>
        <v>3689.02</v>
      </c>
      <c r="BC33" s="58">
        <f>+SUM(BC6:BC32)</f>
        <v>3689.02</v>
      </c>
      <c r="BD33" s="86" t="s">
        <v>8</v>
      </c>
      <c r="BE33" s="87">
        <f>SUM(BE6:BE32)</f>
        <v>29987.382178212221</v>
      </c>
      <c r="BF33" s="87">
        <f>SUM(BF6:BF32)</f>
        <v>3112.6178217877805</v>
      </c>
      <c r="BG33" s="87">
        <f>SUM(BG6:BG32)</f>
        <v>0</v>
      </c>
      <c r="BH33" s="88">
        <f>SUM(BH6:BH32)</f>
        <v>33100</v>
      </c>
      <c r="BI33" s="58">
        <f>+SUM(BI6:BI32)</f>
        <v>33100</v>
      </c>
    </row>
    <row r="34" spans="1:61">
      <c r="A34">
        <v>20.5</v>
      </c>
      <c r="B34">
        <v>0</v>
      </c>
      <c r="C34">
        <v>0</v>
      </c>
      <c r="D34">
        <f t="shared" si="0"/>
        <v>0</v>
      </c>
      <c r="E34">
        <f t="shared" si="1"/>
        <v>0</v>
      </c>
      <c r="G34">
        <v>20.5</v>
      </c>
      <c r="H34">
        <v>0</v>
      </c>
      <c r="I34">
        <v>0</v>
      </c>
      <c r="J34">
        <f t="shared" si="2"/>
        <v>0</v>
      </c>
      <c r="K34">
        <f t="shared" si="3"/>
        <v>0</v>
      </c>
      <c r="M34">
        <v>20.5</v>
      </c>
      <c r="N34">
        <f t="shared" si="4"/>
        <v>0</v>
      </c>
      <c r="O34">
        <f t="shared" si="5"/>
        <v>0</v>
      </c>
      <c r="Z34" s="81" t="s">
        <v>15</v>
      </c>
      <c r="AA34" s="57">
        <v>87.303257477738043</v>
      </c>
      <c r="AB34" s="57">
        <v>12.696742522261969</v>
      </c>
      <c r="AC34" s="57">
        <v>0</v>
      </c>
      <c r="AD34" s="82">
        <v>100</v>
      </c>
      <c r="AF34" s="81" t="s">
        <v>15</v>
      </c>
      <c r="AG34" s="57">
        <v>92.257316086898413</v>
      </c>
      <c r="AH34" s="57">
        <v>7.7426839131015859</v>
      </c>
      <c r="AI34" s="57">
        <v>0</v>
      </c>
      <c r="AJ34" s="82">
        <v>100</v>
      </c>
      <c r="AL34" s="81" t="s">
        <v>15</v>
      </c>
      <c r="AM34" s="57">
        <f>(AM33*100)/$AP$33</f>
        <v>92.045580581862083</v>
      </c>
      <c r="AN34" s="57">
        <f t="shared" ref="AN34:AP34" si="26">(AN33*100)/$AP$33</f>
        <v>7.9544194181379106</v>
      </c>
      <c r="AO34" s="57">
        <f t="shared" si="26"/>
        <v>0</v>
      </c>
      <c r="AP34" s="82">
        <f t="shared" si="26"/>
        <v>100</v>
      </c>
      <c r="AX34" s="81" t="s">
        <v>15</v>
      </c>
      <c r="AY34" s="57">
        <f>(AY33*100)/$BB$33</f>
        <v>92.045580581862097</v>
      </c>
      <c r="AZ34" s="57">
        <f>(AZ33*100)/$BB$33</f>
        <v>7.9544194181379133</v>
      </c>
      <c r="BA34" s="57">
        <f t="shared" ref="BA34" si="27">(BA33*100)/$BB$33</f>
        <v>0</v>
      </c>
      <c r="BB34" s="82">
        <f t="shared" ref="BB34" si="28">(BB33*100)/$AP$33</f>
        <v>0.1</v>
      </c>
      <c r="BD34" s="81" t="s">
        <v>15</v>
      </c>
      <c r="BE34" s="57">
        <f>(BE33*100)/$AP$33</f>
        <v>0.81288207107069688</v>
      </c>
      <c r="BF34" s="57">
        <f t="shared" ref="BF34:BH34" si="29">(BF33*100)/$AP$33</f>
        <v>8.4375195086710847E-2</v>
      </c>
      <c r="BG34" s="57">
        <f t="shared" si="29"/>
        <v>0</v>
      </c>
      <c r="BH34" s="82">
        <f t="shared" si="29"/>
        <v>0.89725726615740764</v>
      </c>
    </row>
    <row r="35" spans="1:61" ht="15" thickBot="1">
      <c r="A35">
        <v>21</v>
      </c>
      <c r="B35">
        <v>0</v>
      </c>
      <c r="C35">
        <v>0</v>
      </c>
      <c r="D35">
        <f t="shared" si="0"/>
        <v>0</v>
      </c>
      <c r="E35">
        <f t="shared" si="1"/>
        <v>0</v>
      </c>
      <c r="G35">
        <v>21</v>
      </c>
      <c r="H35">
        <v>0</v>
      </c>
      <c r="I35">
        <v>0</v>
      </c>
      <c r="J35">
        <f t="shared" si="2"/>
        <v>0</v>
      </c>
      <c r="K35">
        <f t="shared" si="3"/>
        <v>0</v>
      </c>
      <c r="M35">
        <v>21</v>
      </c>
      <c r="N35">
        <f t="shared" si="4"/>
        <v>0</v>
      </c>
      <c r="O35">
        <f t="shared" si="5"/>
        <v>0</v>
      </c>
      <c r="Z35" s="83" t="s">
        <v>16</v>
      </c>
      <c r="AA35" s="84">
        <v>12.543583766862598</v>
      </c>
      <c r="AB35" s="84">
        <v>14.130012188603654</v>
      </c>
      <c r="AC35" s="84"/>
      <c r="AD35" s="85">
        <v>12.745008498871046</v>
      </c>
      <c r="AF35" s="83" t="s">
        <v>16</v>
      </c>
      <c r="AG35" s="84">
        <v>11.131678563059406</v>
      </c>
      <c r="AH35" s="84">
        <v>11.588733615702274</v>
      </c>
      <c r="AI35" s="84"/>
      <c r="AJ35" s="85">
        <v>11.167066891094402</v>
      </c>
      <c r="AL35" s="81" t="s">
        <v>16</v>
      </c>
      <c r="AM35" s="57">
        <v>11.188914078059016</v>
      </c>
      <c r="AN35" s="57">
        <v>11.762101500125409</v>
      </c>
      <c r="AO35" s="57"/>
      <c r="AP35" s="82">
        <v>11.23450780966219</v>
      </c>
      <c r="AX35" s="81" t="s">
        <v>16</v>
      </c>
      <c r="AY35" s="90">
        <f>SUMPRODUCT(AY6:AY32, $AX$6:$AX$32)/AY33</f>
        <v>10.938914078059012</v>
      </c>
      <c r="AZ35" s="90">
        <f t="shared" ref="AZ35" si="30">SUMPRODUCT(AZ6:AZ32, $AX$6:$AX$32)/AZ33</f>
        <v>11.512101500125409</v>
      </c>
      <c r="BA35" s="90">
        <v>0</v>
      </c>
      <c r="BB35" s="82">
        <v>11.23450780966219</v>
      </c>
      <c r="BD35" s="81" t="s">
        <v>42</v>
      </c>
      <c r="BE35" s="89">
        <f>SUMPRODUCT(BE6:BE32, $BD$6:$BD$32)/BE33</f>
        <v>11.163724099842213</v>
      </c>
      <c r="BF35" s="89">
        <f t="shared" ref="BF35:BH35" si="31">SUMPRODUCT(BF6:BF32, $BD$6:$BD$32)/BF33</f>
        <v>11.884092748870559</v>
      </c>
      <c r="BG35" s="89"/>
      <c r="BH35" s="89">
        <f t="shared" si="31"/>
        <v>11.231465256797582</v>
      </c>
    </row>
    <row r="36" spans="1:61" ht="15" thickBot="1">
      <c r="A36">
        <v>21.5</v>
      </c>
      <c r="B36">
        <v>0</v>
      </c>
      <c r="C36">
        <v>0</v>
      </c>
      <c r="D36">
        <f t="shared" si="0"/>
        <v>0</v>
      </c>
      <c r="E36">
        <f t="shared" si="1"/>
        <v>0</v>
      </c>
      <c r="G36">
        <v>21.5</v>
      </c>
      <c r="H36">
        <v>0</v>
      </c>
      <c r="I36">
        <v>0</v>
      </c>
      <c r="J36">
        <f t="shared" si="2"/>
        <v>0</v>
      </c>
      <c r="K36">
        <f t="shared" si="3"/>
        <v>0</v>
      </c>
      <c r="M36">
        <v>21.5</v>
      </c>
      <c r="N36">
        <f t="shared" si="4"/>
        <v>0</v>
      </c>
      <c r="O36">
        <f t="shared" si="5"/>
        <v>0</v>
      </c>
      <c r="AL36" s="83" t="s">
        <v>24</v>
      </c>
      <c r="AM36" s="84">
        <v>0.84943325803793557</v>
      </c>
      <c r="AN36" s="84">
        <v>1.1062087787017509</v>
      </c>
      <c r="AO36" s="84"/>
      <c r="AP36" s="85">
        <v>0.88612717313860001</v>
      </c>
      <c r="AX36" s="83" t="s">
        <v>24</v>
      </c>
      <c r="AY36" s="84">
        <v>0.84943325803793557</v>
      </c>
      <c r="AZ36" s="84">
        <v>1.1062087787017509</v>
      </c>
      <c r="BA36" s="84"/>
      <c r="BB36" s="85">
        <v>0.88612717313860001</v>
      </c>
      <c r="BD36" s="83"/>
      <c r="BE36" s="84"/>
      <c r="BF36" s="84"/>
      <c r="BG36" s="84"/>
      <c r="BH36" s="85"/>
    </row>
    <row r="37" spans="1:61">
      <c r="A37">
        <v>22</v>
      </c>
      <c r="B37">
        <v>0</v>
      </c>
      <c r="C37">
        <v>0</v>
      </c>
      <c r="D37">
        <f t="shared" si="0"/>
        <v>0</v>
      </c>
      <c r="E37">
        <f t="shared" si="1"/>
        <v>0</v>
      </c>
      <c r="G37">
        <v>22</v>
      </c>
      <c r="H37">
        <v>0</v>
      </c>
      <c r="I37">
        <v>0</v>
      </c>
      <c r="J37">
        <f t="shared" si="2"/>
        <v>0</v>
      </c>
      <c r="K37">
        <f t="shared" si="3"/>
        <v>0</v>
      </c>
      <c r="M37">
        <v>22</v>
      </c>
      <c r="N37">
        <f t="shared" si="4"/>
        <v>0</v>
      </c>
      <c r="O37">
        <f t="shared" si="5"/>
        <v>0</v>
      </c>
    </row>
    <row r="38" spans="1:61">
      <c r="A38">
        <v>22.5</v>
      </c>
      <c r="B38">
        <v>0</v>
      </c>
      <c r="C38">
        <v>0</v>
      </c>
      <c r="D38">
        <f t="shared" si="0"/>
        <v>0</v>
      </c>
      <c r="E38">
        <f t="shared" si="1"/>
        <v>0</v>
      </c>
      <c r="G38">
        <v>22.5</v>
      </c>
      <c r="H38">
        <v>0</v>
      </c>
      <c r="I38">
        <v>0</v>
      </c>
      <c r="J38">
        <f t="shared" si="2"/>
        <v>0</v>
      </c>
      <c r="K38">
        <f t="shared" si="3"/>
        <v>0</v>
      </c>
      <c r="M38">
        <v>22.5</v>
      </c>
      <c r="N38">
        <f t="shared" si="4"/>
        <v>0</v>
      </c>
      <c r="O38">
        <f t="shared" si="5"/>
        <v>0</v>
      </c>
      <c r="AM38">
        <f>AM33*1000</f>
        <v>3395579876.7810087</v>
      </c>
      <c r="AN38">
        <f t="shared" ref="AN38:AO38" si="32">AN33*1000</f>
        <v>293440123.21899116</v>
      </c>
      <c r="AO38">
        <f t="shared" si="32"/>
        <v>0</v>
      </c>
    </row>
    <row r="39" spans="1:61">
      <c r="A39">
        <v>23</v>
      </c>
      <c r="B39">
        <v>0</v>
      </c>
      <c r="C39">
        <v>0</v>
      </c>
      <c r="D39">
        <f t="shared" si="0"/>
        <v>0</v>
      </c>
      <c r="E39">
        <f t="shared" si="1"/>
        <v>0</v>
      </c>
      <c r="G39">
        <v>23</v>
      </c>
      <c r="H39">
        <v>0</v>
      </c>
      <c r="I39">
        <v>0</v>
      </c>
      <c r="J39">
        <f t="shared" si="2"/>
        <v>0</v>
      </c>
      <c r="K39">
        <f t="shared" si="3"/>
        <v>0</v>
      </c>
      <c r="M39">
        <v>23</v>
      </c>
      <c r="N39">
        <f t="shared" si="4"/>
        <v>0</v>
      </c>
      <c r="O39">
        <f t="shared" si="5"/>
        <v>0</v>
      </c>
    </row>
    <row r="40" spans="1:61">
      <c r="A40">
        <v>23.5</v>
      </c>
      <c r="B40">
        <v>0</v>
      </c>
      <c r="C40">
        <v>0</v>
      </c>
      <c r="D40">
        <f t="shared" si="0"/>
        <v>0</v>
      </c>
      <c r="E40">
        <f t="shared" si="1"/>
        <v>0</v>
      </c>
      <c r="G40">
        <v>23.5</v>
      </c>
      <c r="H40">
        <v>0</v>
      </c>
      <c r="I40">
        <v>0</v>
      </c>
      <c r="J40">
        <f t="shared" si="2"/>
        <v>0</v>
      </c>
      <c r="K40">
        <f t="shared" si="3"/>
        <v>0</v>
      </c>
      <c r="M40">
        <v>23.5</v>
      </c>
      <c r="N40">
        <f t="shared" si="4"/>
        <v>0</v>
      </c>
      <c r="O40">
        <f t="shared" si="5"/>
        <v>0</v>
      </c>
    </row>
    <row r="41" spans="1:61">
      <c r="A41">
        <v>24</v>
      </c>
      <c r="B41">
        <v>0</v>
      </c>
      <c r="C41">
        <v>0</v>
      </c>
      <c r="D41">
        <f t="shared" si="0"/>
        <v>0</v>
      </c>
      <c r="E41">
        <f t="shared" si="1"/>
        <v>0</v>
      </c>
      <c r="G41">
        <v>24</v>
      </c>
      <c r="H41">
        <v>0</v>
      </c>
      <c r="I41">
        <v>0</v>
      </c>
      <c r="J41">
        <f t="shared" si="2"/>
        <v>0</v>
      </c>
      <c r="K41">
        <f t="shared" si="3"/>
        <v>0</v>
      </c>
      <c r="M41">
        <v>24</v>
      </c>
      <c r="N41">
        <f t="shared" si="4"/>
        <v>0</v>
      </c>
      <c r="O41">
        <f t="shared" si="5"/>
        <v>0</v>
      </c>
    </row>
    <row r="42" spans="1:61">
      <c r="A42">
        <v>24.5</v>
      </c>
      <c r="B42">
        <v>0</v>
      </c>
      <c r="C42">
        <v>0</v>
      </c>
      <c r="D42">
        <f t="shared" si="0"/>
        <v>0</v>
      </c>
      <c r="E42">
        <f t="shared" si="1"/>
        <v>0</v>
      </c>
      <c r="G42">
        <v>24.5</v>
      </c>
      <c r="H42">
        <v>0</v>
      </c>
      <c r="I42">
        <v>0</v>
      </c>
      <c r="J42">
        <f t="shared" si="2"/>
        <v>0</v>
      </c>
      <c r="K42">
        <f t="shared" si="3"/>
        <v>0</v>
      </c>
      <c r="M42">
        <v>24.5</v>
      </c>
      <c r="N42">
        <f t="shared" si="4"/>
        <v>0</v>
      </c>
      <c r="O42">
        <f t="shared" si="5"/>
        <v>0</v>
      </c>
    </row>
    <row r="43" spans="1:61">
      <c r="A43">
        <v>25</v>
      </c>
      <c r="B43">
        <v>0</v>
      </c>
      <c r="C43">
        <v>0</v>
      </c>
      <c r="D43">
        <f t="shared" si="0"/>
        <v>0</v>
      </c>
      <c r="E43">
        <f t="shared" si="1"/>
        <v>0</v>
      </c>
      <c r="G43">
        <v>25</v>
      </c>
      <c r="H43">
        <v>0</v>
      </c>
      <c r="I43">
        <v>0</v>
      </c>
      <c r="J43">
        <f t="shared" si="2"/>
        <v>0</v>
      </c>
      <c r="K43">
        <f t="shared" si="3"/>
        <v>0</v>
      </c>
      <c r="M43">
        <v>25</v>
      </c>
      <c r="N43">
        <f t="shared" si="4"/>
        <v>0</v>
      </c>
      <c r="O43">
        <f t="shared" si="5"/>
        <v>0</v>
      </c>
    </row>
    <row r="44" spans="1:61">
      <c r="A44">
        <v>25.5</v>
      </c>
      <c r="B44">
        <v>0</v>
      </c>
      <c r="C44">
        <v>0</v>
      </c>
      <c r="D44">
        <f t="shared" si="0"/>
        <v>0</v>
      </c>
      <c r="E44">
        <f t="shared" si="1"/>
        <v>0</v>
      </c>
      <c r="G44">
        <v>25.5</v>
      </c>
      <c r="H44">
        <v>0</v>
      </c>
      <c r="I44">
        <v>0</v>
      </c>
      <c r="J44">
        <f t="shared" si="2"/>
        <v>0</v>
      </c>
      <c r="K44">
        <f t="shared" si="3"/>
        <v>0</v>
      </c>
      <c r="M44">
        <v>25.5</v>
      </c>
      <c r="N44">
        <f t="shared" si="4"/>
        <v>0</v>
      </c>
      <c r="O44">
        <f t="shared" si="5"/>
        <v>0</v>
      </c>
    </row>
    <row r="45" spans="1:61">
      <c r="B45">
        <f>SUM(B3:B44)</f>
        <v>157668</v>
      </c>
      <c r="C45">
        <f>SUM(C3:C44)</f>
        <v>2156</v>
      </c>
      <c r="D45">
        <f t="shared" ref="D45:E45" si="33">SUM(D3:D44)</f>
        <v>0.99999999999999989</v>
      </c>
      <c r="E45">
        <f t="shared" si="33"/>
        <v>157.66800000000001</v>
      </c>
      <c r="H45">
        <f>SUM(H3:H44)</f>
        <v>3531352</v>
      </c>
      <c r="I45">
        <f>SUM(I3:I44)</f>
        <v>30944</v>
      </c>
      <c r="J45">
        <f t="shared" ref="J45:K45" si="34">SUM(J3:J44)</f>
        <v>1</v>
      </c>
      <c r="K45">
        <f t="shared" si="34"/>
        <v>3531.3519999999999</v>
      </c>
      <c r="N45">
        <f>SUM(N3:N44)</f>
        <v>3689.02</v>
      </c>
      <c r="O45" s="58">
        <f>SUM(O3:O44)</f>
        <v>33100</v>
      </c>
    </row>
    <row r="46" spans="1:61">
      <c r="N46">
        <f>+N45*1000</f>
        <v>3689020</v>
      </c>
    </row>
    <row r="47" spans="1:61">
      <c r="AL47" t="s">
        <v>39</v>
      </c>
    </row>
    <row r="49" spans="1:43">
      <c r="AM49">
        <v>2.3914000000000001E-3</v>
      </c>
      <c r="AO49">
        <v>3.4183086999999999</v>
      </c>
      <c r="AP49" s="75" t="s">
        <v>40</v>
      </c>
    </row>
    <row r="50" spans="1:43">
      <c r="A50">
        <v>1</v>
      </c>
      <c r="B50">
        <v>2</v>
      </c>
      <c r="C50">
        <v>3</v>
      </c>
      <c r="D50">
        <v>4</v>
      </c>
      <c r="E50">
        <v>5</v>
      </c>
      <c r="F50">
        <v>6</v>
      </c>
      <c r="G50">
        <v>7</v>
      </c>
      <c r="H50">
        <v>8</v>
      </c>
      <c r="I50">
        <v>9</v>
      </c>
      <c r="J50">
        <v>10</v>
      </c>
      <c r="K50">
        <v>11</v>
      </c>
      <c r="L50">
        <v>12</v>
      </c>
      <c r="M50">
        <v>13</v>
      </c>
      <c r="N50">
        <v>14</v>
      </c>
      <c r="O50">
        <v>15</v>
      </c>
      <c r="P50">
        <v>16</v>
      </c>
      <c r="Q50">
        <v>17</v>
      </c>
      <c r="R50">
        <v>18</v>
      </c>
      <c r="S50">
        <v>19</v>
      </c>
      <c r="T50">
        <v>20</v>
      </c>
      <c r="U50">
        <v>21</v>
      </c>
      <c r="V50">
        <v>22</v>
      </c>
      <c r="W50">
        <v>23</v>
      </c>
      <c r="X50">
        <v>24</v>
      </c>
      <c r="Y50">
        <v>25</v>
      </c>
      <c r="Z50">
        <v>26</v>
      </c>
      <c r="AA50">
        <v>27</v>
      </c>
      <c r="AB50">
        <v>28</v>
      </c>
      <c r="AC50">
        <v>29</v>
      </c>
      <c r="AD50">
        <v>30</v>
      </c>
      <c r="AE50">
        <v>31</v>
      </c>
      <c r="AF50">
        <v>32</v>
      </c>
      <c r="AG50">
        <v>33</v>
      </c>
      <c r="AH50">
        <v>34</v>
      </c>
      <c r="AI50">
        <v>35</v>
      </c>
      <c r="AJ50">
        <v>36</v>
      </c>
      <c r="AK50">
        <v>37</v>
      </c>
      <c r="AL50">
        <v>38</v>
      </c>
      <c r="AM50">
        <v>39</v>
      </c>
    </row>
    <row r="51" spans="1:43">
      <c r="AB51" t="s">
        <v>38</v>
      </c>
      <c r="AL51" s="60" t="s">
        <v>30</v>
      </c>
      <c r="AM51">
        <v>2.4179000000000002E-3</v>
      </c>
      <c r="AN51" s="60" t="s">
        <v>31</v>
      </c>
      <c r="AO51">
        <v>3.418302132</v>
      </c>
      <c r="AP51" s="74" t="s">
        <v>35</v>
      </c>
      <c r="AQ51" s="61"/>
    </row>
    <row r="52" spans="1:43">
      <c r="AA52" s="62" t="s">
        <v>32</v>
      </c>
      <c r="AB52" s="61"/>
      <c r="AC52" s="61"/>
      <c r="AD52" s="61"/>
      <c r="AE52" s="61"/>
      <c r="AF52" s="61"/>
      <c r="AL52" s="62" t="s">
        <v>32</v>
      </c>
      <c r="AM52" s="61"/>
      <c r="AN52" s="61"/>
      <c r="AO52" s="61"/>
      <c r="AP52" s="61"/>
      <c r="AQ52" s="61"/>
    </row>
    <row r="53" spans="1:43">
      <c r="AA53" s="62" t="s">
        <v>33</v>
      </c>
      <c r="AB53" s="63">
        <v>1</v>
      </c>
      <c r="AC53" s="64">
        <v>2</v>
      </c>
      <c r="AD53" s="64">
        <v>3</v>
      </c>
      <c r="AE53" s="67" t="s">
        <v>8</v>
      </c>
      <c r="AL53" s="62" t="s">
        <v>33</v>
      </c>
      <c r="AM53" s="63">
        <v>1</v>
      </c>
      <c r="AN53" s="64">
        <v>2</v>
      </c>
      <c r="AO53" s="64">
        <v>3</v>
      </c>
      <c r="AP53" s="65" t="s">
        <v>8</v>
      </c>
    </row>
    <row r="54" spans="1:43">
      <c r="AA54" s="71">
        <f>+AL6</f>
        <v>5</v>
      </c>
      <c r="AB54" s="61">
        <f>AM6*($AA54)</f>
        <v>0</v>
      </c>
      <c r="AC54" s="61">
        <f t="shared" ref="AC54:AD54" si="35">AN6*($AA54)</f>
        <v>0</v>
      </c>
      <c r="AD54" s="61">
        <f t="shared" si="35"/>
        <v>0</v>
      </c>
      <c r="AE54" s="73">
        <f>+SUM(AB54:AD54)</f>
        <v>0</v>
      </c>
      <c r="AK54" s="57">
        <f>+AL6</f>
        <v>5</v>
      </c>
      <c r="AL54" s="70">
        <f>$AM$51*((AK54)^$AO$51)</f>
        <v>0.59255544236273616</v>
      </c>
      <c r="AM54" s="61">
        <f>AM6*$AL54</f>
        <v>0</v>
      </c>
      <c r="AN54" s="61">
        <f t="shared" ref="AN54:AO54" si="36">AN6*$AL54</f>
        <v>0</v>
      </c>
      <c r="AO54" s="61">
        <f t="shared" si="36"/>
        <v>0</v>
      </c>
      <c r="AP54" s="66">
        <f>+SUM(AM54:AO54)</f>
        <v>0</v>
      </c>
    </row>
    <row r="55" spans="1:43">
      <c r="AA55" s="71">
        <f t="shared" ref="AA55:AA80" si="37">+AL7</f>
        <v>5.5</v>
      </c>
      <c r="AB55" s="61">
        <f t="shared" ref="AB55:AB80" si="38">AM7*($AA55)</f>
        <v>0</v>
      </c>
      <c r="AC55" s="61">
        <f t="shared" ref="AC55:AC80" si="39">AN7*($AA55)</f>
        <v>0</v>
      </c>
      <c r="AD55" s="61">
        <f t="shared" ref="AD55:AD80" si="40">AO7*($AA55)</f>
        <v>0</v>
      </c>
      <c r="AE55" s="73">
        <f t="shared" ref="AE55:AE81" si="41">+SUM(AB55:AD55)</f>
        <v>0</v>
      </c>
      <c r="AK55" s="57">
        <f t="shared" ref="AK55:AK80" si="42">+AL7</f>
        <v>5.5</v>
      </c>
      <c r="AL55" s="70">
        <f t="shared" ref="AL55:AL80" si="43">$AM$51*((AK55)^$AO$51)</f>
        <v>0.82077041779257531</v>
      </c>
      <c r="AM55" s="61">
        <f t="shared" ref="AM55:AO55" si="44">AM7*$AL55</f>
        <v>0</v>
      </c>
      <c r="AN55" s="61">
        <f t="shared" si="44"/>
        <v>0</v>
      </c>
      <c r="AO55" s="61">
        <f t="shared" si="44"/>
        <v>0</v>
      </c>
      <c r="AP55" s="66">
        <f t="shared" ref="AP55:AP81" si="45">+SUM(AM55:AO55)</f>
        <v>0</v>
      </c>
    </row>
    <row r="56" spans="1:43">
      <c r="AA56" s="71">
        <f t="shared" si="37"/>
        <v>6</v>
      </c>
      <c r="AB56" s="61">
        <f t="shared" si="38"/>
        <v>0</v>
      </c>
      <c r="AC56" s="61">
        <f t="shared" si="39"/>
        <v>0</v>
      </c>
      <c r="AD56" s="61">
        <f t="shared" si="40"/>
        <v>0</v>
      </c>
      <c r="AE56" s="73">
        <f t="shared" si="41"/>
        <v>0</v>
      </c>
      <c r="AK56" s="57">
        <f t="shared" si="42"/>
        <v>6</v>
      </c>
      <c r="AL56" s="70">
        <f t="shared" si="43"/>
        <v>1.1050817670426778</v>
      </c>
      <c r="AM56" s="61">
        <f t="shared" ref="AM56:AO56" si="46">AM8*$AL56</f>
        <v>0</v>
      </c>
      <c r="AN56" s="61">
        <f t="shared" si="46"/>
        <v>0</v>
      </c>
      <c r="AO56" s="61">
        <f t="shared" si="46"/>
        <v>0</v>
      </c>
      <c r="AP56" s="66">
        <f t="shared" si="45"/>
        <v>0</v>
      </c>
    </row>
    <row r="57" spans="1:43">
      <c r="AA57" s="71">
        <f t="shared" si="37"/>
        <v>6.5</v>
      </c>
      <c r="AB57" s="61">
        <f t="shared" si="38"/>
        <v>0</v>
      </c>
      <c r="AC57" s="61">
        <f t="shared" si="39"/>
        <v>0</v>
      </c>
      <c r="AD57" s="61">
        <f t="shared" si="40"/>
        <v>0</v>
      </c>
      <c r="AE57" s="73">
        <f t="shared" si="41"/>
        <v>0</v>
      </c>
      <c r="AK57" s="57">
        <f t="shared" si="42"/>
        <v>6.5</v>
      </c>
      <c r="AL57" s="70">
        <f t="shared" si="43"/>
        <v>1.4528534044310983</v>
      </c>
      <c r="AM57" s="61">
        <f t="shared" ref="AM57:AO57" si="47">AM9*$AL57</f>
        <v>0</v>
      </c>
      <c r="AN57" s="61">
        <f t="shared" si="47"/>
        <v>0</v>
      </c>
      <c r="AO57" s="61">
        <f t="shared" si="47"/>
        <v>0</v>
      </c>
      <c r="AP57" s="66">
        <f t="shared" si="45"/>
        <v>0</v>
      </c>
    </row>
    <row r="58" spans="1:43">
      <c r="AA58" s="71">
        <f t="shared" si="37"/>
        <v>7</v>
      </c>
      <c r="AB58" s="61">
        <f t="shared" si="38"/>
        <v>0</v>
      </c>
      <c r="AC58" s="61">
        <f t="shared" si="39"/>
        <v>0</v>
      </c>
      <c r="AD58" s="61">
        <f t="shared" si="40"/>
        <v>0</v>
      </c>
      <c r="AE58" s="73">
        <f t="shared" si="41"/>
        <v>0</v>
      </c>
      <c r="AK58" s="57">
        <f t="shared" si="42"/>
        <v>7</v>
      </c>
      <c r="AL58" s="70">
        <f t="shared" si="43"/>
        <v>1.8717108900610486</v>
      </c>
      <c r="AM58" s="61">
        <f t="shared" ref="AM58:AO58" si="48">AM10*$AL58</f>
        <v>0</v>
      </c>
      <c r="AN58" s="61">
        <f t="shared" si="48"/>
        <v>0</v>
      </c>
      <c r="AO58" s="61">
        <f t="shared" si="48"/>
        <v>0</v>
      </c>
      <c r="AP58" s="66">
        <f t="shared" si="45"/>
        <v>0</v>
      </c>
    </row>
    <row r="59" spans="1:43">
      <c r="AA59" s="71">
        <f t="shared" si="37"/>
        <v>7.5</v>
      </c>
      <c r="AB59" s="61">
        <f t="shared" si="38"/>
        <v>0</v>
      </c>
      <c r="AC59" s="61">
        <f t="shared" si="39"/>
        <v>0</v>
      </c>
      <c r="AD59" s="61">
        <f t="shared" si="40"/>
        <v>0</v>
      </c>
      <c r="AE59" s="73">
        <f t="shared" si="41"/>
        <v>0</v>
      </c>
      <c r="AK59" s="57">
        <f t="shared" si="42"/>
        <v>7.5</v>
      </c>
      <c r="AL59" s="70">
        <f t="shared" si="43"/>
        <v>2.3695294870225747</v>
      </c>
      <c r="AM59" s="61">
        <f t="shared" ref="AM59:AO59" si="49">AM11*$AL59</f>
        <v>0</v>
      </c>
      <c r="AN59" s="61">
        <f t="shared" si="49"/>
        <v>0</v>
      </c>
      <c r="AO59" s="61">
        <f t="shared" si="49"/>
        <v>0</v>
      </c>
      <c r="AP59" s="66">
        <f t="shared" si="45"/>
        <v>0</v>
      </c>
    </row>
    <row r="60" spans="1:43">
      <c r="AA60" s="71">
        <f t="shared" si="37"/>
        <v>8</v>
      </c>
      <c r="AB60" s="61">
        <f t="shared" si="38"/>
        <v>0</v>
      </c>
      <c r="AC60" s="61">
        <f t="shared" si="39"/>
        <v>0</v>
      </c>
      <c r="AD60" s="61">
        <f t="shared" si="40"/>
        <v>0</v>
      </c>
      <c r="AE60" s="73">
        <f t="shared" si="41"/>
        <v>0</v>
      </c>
      <c r="AK60" s="57">
        <f t="shared" si="42"/>
        <v>8</v>
      </c>
      <c r="AL60" s="70">
        <f t="shared" si="43"/>
        <v>2.9544235957041542</v>
      </c>
      <c r="AM60" s="61">
        <f t="shared" ref="AM60:AO60" si="50">AM12*$AL60</f>
        <v>0</v>
      </c>
      <c r="AN60" s="61">
        <f t="shared" si="50"/>
        <v>0</v>
      </c>
      <c r="AO60" s="61">
        <f t="shared" si="50"/>
        <v>0</v>
      </c>
      <c r="AP60" s="66">
        <f t="shared" si="45"/>
        <v>0</v>
      </c>
    </row>
    <row r="61" spans="1:43">
      <c r="AA61" s="71">
        <f t="shared" si="37"/>
        <v>8.5</v>
      </c>
      <c r="AB61" s="61">
        <f t="shared" si="38"/>
        <v>0</v>
      </c>
      <c r="AC61" s="61">
        <f t="shared" si="39"/>
        <v>0</v>
      </c>
      <c r="AD61" s="61">
        <f t="shared" si="40"/>
        <v>0</v>
      </c>
      <c r="AE61" s="73">
        <f t="shared" si="41"/>
        <v>0</v>
      </c>
      <c r="AK61" s="57">
        <f t="shared" si="42"/>
        <v>8.5</v>
      </c>
      <c r="AL61" s="70">
        <f t="shared" si="43"/>
        <v>3.6347373232254108</v>
      </c>
      <c r="AM61" s="61">
        <f t="shared" ref="AM61:AO61" si="51">AM13*$AL61</f>
        <v>0</v>
      </c>
      <c r="AN61" s="61">
        <f t="shared" si="51"/>
        <v>0</v>
      </c>
      <c r="AO61" s="61">
        <f t="shared" si="51"/>
        <v>0</v>
      </c>
      <c r="AP61" s="66">
        <f t="shared" si="45"/>
        <v>0</v>
      </c>
    </row>
    <row r="62" spans="1:43">
      <c r="AA62" s="71">
        <f t="shared" si="37"/>
        <v>9</v>
      </c>
      <c r="AB62" s="61">
        <f t="shared" si="38"/>
        <v>0</v>
      </c>
      <c r="AC62" s="61">
        <f t="shared" si="39"/>
        <v>0</v>
      </c>
      <c r="AD62" s="61">
        <f t="shared" si="40"/>
        <v>0</v>
      </c>
      <c r="AE62" s="73">
        <f t="shared" si="41"/>
        <v>0</v>
      </c>
      <c r="AK62" s="57">
        <f t="shared" si="42"/>
        <v>9</v>
      </c>
      <c r="AL62" s="70">
        <f t="shared" si="43"/>
        <v>4.4190360013193413</v>
      </c>
      <c r="AM62" s="61">
        <f t="shared" ref="AM62:AO62" si="52">AM14*$AL62</f>
        <v>0</v>
      </c>
      <c r="AN62" s="61">
        <f t="shared" si="52"/>
        <v>0</v>
      </c>
      <c r="AO62" s="61">
        <f t="shared" si="52"/>
        <v>0</v>
      </c>
      <c r="AP62" s="66">
        <f t="shared" si="45"/>
        <v>0</v>
      </c>
    </row>
    <row r="63" spans="1:43">
      <c r="AA63" s="71">
        <f t="shared" si="37"/>
        <v>9.5</v>
      </c>
      <c r="AB63" s="61">
        <f t="shared" si="38"/>
        <v>1970534.53125</v>
      </c>
      <c r="AC63" s="61">
        <f t="shared" si="39"/>
        <v>131368.96875</v>
      </c>
      <c r="AD63" s="61">
        <f t="shared" si="40"/>
        <v>0</v>
      </c>
      <c r="AE63" s="73">
        <f t="shared" si="41"/>
        <v>2101903.5</v>
      </c>
      <c r="AK63" s="57">
        <f t="shared" si="42"/>
        <v>9.5</v>
      </c>
      <c r="AL63" s="70">
        <f t="shared" si="43"/>
        <v>5.3160985060842725</v>
      </c>
      <c r="AM63" s="61">
        <f>AM15*$AL63</f>
        <v>1102690.071343747</v>
      </c>
      <c r="AN63" s="61">
        <f t="shared" ref="AN63:AO63" si="53">AN15*$AL63</f>
        <v>73512.671422916465</v>
      </c>
      <c r="AO63" s="61">
        <f t="shared" si="53"/>
        <v>0</v>
      </c>
      <c r="AP63" s="66">
        <f t="shared" si="45"/>
        <v>1176202.7427666634</v>
      </c>
    </row>
    <row r="64" spans="1:43">
      <c r="AA64" s="71">
        <f t="shared" si="37"/>
        <v>10</v>
      </c>
      <c r="AB64" s="61">
        <f t="shared" si="38"/>
        <v>5072080</v>
      </c>
      <c r="AC64" s="61">
        <f t="shared" si="39"/>
        <v>0</v>
      </c>
      <c r="AD64" s="61">
        <f t="shared" si="40"/>
        <v>0</v>
      </c>
      <c r="AE64" s="73">
        <f t="shared" si="41"/>
        <v>5072080</v>
      </c>
      <c r="AK64" s="57">
        <f t="shared" si="42"/>
        <v>10</v>
      </c>
      <c r="AL64" s="70">
        <f t="shared" si="43"/>
        <v>6.334910262713529</v>
      </c>
      <c r="AM64" s="61">
        <f t="shared" ref="AM64:AO64" si="54">AM16*$AL64</f>
        <v>3213117.1645304034</v>
      </c>
      <c r="AN64" s="61">
        <f t="shared" si="54"/>
        <v>0</v>
      </c>
      <c r="AO64" s="61">
        <f t="shared" si="54"/>
        <v>0</v>
      </c>
      <c r="AP64" s="66">
        <f t="shared" si="45"/>
        <v>3213117.1645304034</v>
      </c>
    </row>
    <row r="65" spans="27:42">
      <c r="AA65" s="71">
        <f t="shared" si="37"/>
        <v>10.5</v>
      </c>
      <c r="AB65" s="61">
        <f t="shared" si="38"/>
        <v>9868510.826086957</v>
      </c>
      <c r="AC65" s="61">
        <f t="shared" si="39"/>
        <v>448568.67391304346</v>
      </c>
      <c r="AD65" s="61">
        <f t="shared" si="40"/>
        <v>0</v>
      </c>
      <c r="AE65" s="73">
        <f t="shared" si="41"/>
        <v>10317079.5</v>
      </c>
      <c r="AK65" s="57">
        <f t="shared" si="42"/>
        <v>10.5</v>
      </c>
      <c r="AL65" s="70">
        <f t="shared" si="43"/>
        <v>7.4846568407112253</v>
      </c>
      <c r="AM65" s="61">
        <f t="shared" ref="AM65:AO65" si="55">AM17*$AL65</f>
        <v>7034515.9106766209</v>
      </c>
      <c r="AN65" s="61">
        <f t="shared" si="55"/>
        <v>319750.72321257368</v>
      </c>
      <c r="AO65" s="61">
        <f t="shared" si="55"/>
        <v>0</v>
      </c>
      <c r="AP65" s="66">
        <f t="shared" si="45"/>
        <v>7354266.6338891946</v>
      </c>
    </row>
    <row r="66" spans="27:42">
      <c r="AA66" s="71">
        <f t="shared" si="37"/>
        <v>11</v>
      </c>
      <c r="AB66" s="61">
        <f t="shared" si="38"/>
        <v>6251753.6190476194</v>
      </c>
      <c r="AC66" s="61">
        <f t="shared" si="39"/>
        <v>1462920.3809523808</v>
      </c>
      <c r="AD66" s="61">
        <f t="shared" si="40"/>
        <v>0</v>
      </c>
      <c r="AE66" s="73">
        <f t="shared" si="41"/>
        <v>7714674</v>
      </c>
      <c r="AK66" s="57">
        <f t="shared" si="42"/>
        <v>11</v>
      </c>
      <c r="AL66" s="70">
        <f t="shared" si="43"/>
        <v>8.7747180622854657</v>
      </c>
      <c r="AM66" s="61">
        <f t="shared" ref="AM66:AO66" si="56">AM18*$AL66</f>
        <v>4987034.1274559703</v>
      </c>
      <c r="AN66" s="61">
        <f t="shared" si="56"/>
        <v>1166973.9900389446</v>
      </c>
      <c r="AO66" s="61">
        <f t="shared" si="56"/>
        <v>0</v>
      </c>
      <c r="AP66" s="66">
        <f t="shared" si="45"/>
        <v>6154008.1174949147</v>
      </c>
    </row>
    <row r="67" spans="27:42">
      <c r="AA67" s="71">
        <f t="shared" si="37"/>
        <v>11.5</v>
      </c>
      <c r="AB67" s="61">
        <f t="shared" si="38"/>
        <v>6048126</v>
      </c>
      <c r="AC67" s="61">
        <f t="shared" si="39"/>
        <v>0</v>
      </c>
      <c r="AD67" s="61">
        <f t="shared" si="40"/>
        <v>0</v>
      </c>
      <c r="AE67" s="73">
        <f t="shared" si="41"/>
        <v>6048126</v>
      </c>
      <c r="AK67" s="57">
        <f t="shared" si="42"/>
        <v>11.5</v>
      </c>
      <c r="AL67" s="70">
        <f t="shared" si="43"/>
        <v>10.21466255998595</v>
      </c>
      <c r="AM67" s="61">
        <f t="shared" ref="AM67:AO67" si="57">AM19*$AL67</f>
        <v>5372136.1921980502</v>
      </c>
      <c r="AN67" s="61">
        <f t="shared" si="57"/>
        <v>0</v>
      </c>
      <c r="AO67" s="61">
        <f t="shared" si="57"/>
        <v>0</v>
      </c>
      <c r="AP67" s="66">
        <f t="shared" si="45"/>
        <v>5372136.1921980502</v>
      </c>
    </row>
    <row r="68" spans="27:42">
      <c r="AA68" s="71">
        <f t="shared" si="37"/>
        <v>12</v>
      </c>
      <c r="AB68" s="61">
        <f t="shared" si="38"/>
        <v>4511208</v>
      </c>
      <c r="AC68" s="61">
        <f t="shared" si="39"/>
        <v>0</v>
      </c>
      <c r="AD68" s="61">
        <f t="shared" si="40"/>
        <v>0</v>
      </c>
      <c r="AE68" s="73">
        <f t="shared" si="41"/>
        <v>4511208</v>
      </c>
      <c r="AK68" s="57">
        <f t="shared" si="42"/>
        <v>12</v>
      </c>
      <c r="AL68" s="70">
        <f t="shared" si="43"/>
        <v>11.814242730203139</v>
      </c>
      <c r="AM68" s="61">
        <f t="shared" ref="AM68:AO68" si="58">AM20*$AL68</f>
        <v>4441375.5265361872</v>
      </c>
      <c r="AN68" s="61">
        <f t="shared" si="58"/>
        <v>0</v>
      </c>
      <c r="AO68" s="61">
        <f t="shared" si="58"/>
        <v>0</v>
      </c>
      <c r="AP68" s="66">
        <f t="shared" si="45"/>
        <v>4441375.5265361872</v>
      </c>
    </row>
    <row r="69" spans="27:42">
      <c r="AA69" s="71">
        <f t="shared" si="37"/>
        <v>12.5</v>
      </c>
      <c r="AB69" s="61">
        <f t="shared" si="38"/>
        <v>2719171.5909090908</v>
      </c>
      <c r="AC69" s="61">
        <f t="shared" si="39"/>
        <v>825978.40909090906</v>
      </c>
      <c r="AD69" s="61">
        <f t="shared" si="40"/>
        <v>0</v>
      </c>
      <c r="AE69" s="73">
        <f t="shared" si="41"/>
        <v>3545150</v>
      </c>
      <c r="AK69" s="57">
        <f t="shared" si="42"/>
        <v>12.5</v>
      </c>
      <c r="AL69" s="70">
        <f t="shared" si="43"/>
        <v>13.583390037564442</v>
      </c>
      <c r="AM69" s="61">
        <f t="shared" ref="AM69:AO69" si="59">AM21*$AL69</f>
        <v>2954845.4638706241</v>
      </c>
      <c r="AN69" s="61">
        <f t="shared" si="59"/>
        <v>897566.95146310248</v>
      </c>
      <c r="AO69" s="61">
        <f t="shared" si="59"/>
        <v>0</v>
      </c>
      <c r="AP69" s="66">
        <f t="shared" si="45"/>
        <v>3852412.4153337264</v>
      </c>
    </row>
    <row r="70" spans="27:42">
      <c r="AA70" s="71">
        <f t="shared" si="37"/>
        <v>13</v>
      </c>
      <c r="AB70" s="61">
        <f t="shared" si="38"/>
        <v>517368.15</v>
      </c>
      <c r="AC70" s="61">
        <f t="shared" si="39"/>
        <v>264334.85000000003</v>
      </c>
      <c r="AD70" s="61">
        <f t="shared" si="40"/>
        <v>0</v>
      </c>
      <c r="AE70" s="73">
        <f t="shared" si="41"/>
        <v>781703</v>
      </c>
      <c r="AK70" s="57">
        <f t="shared" si="42"/>
        <v>13</v>
      </c>
      <c r="AL70" s="70">
        <f t="shared" si="43"/>
        <v>15.532210632055522</v>
      </c>
      <c r="AM70" s="61">
        <f t="shared" ref="AM70:AO70" si="60">AM22*$AL70</f>
        <v>618143.92923976132</v>
      </c>
      <c r="AN70" s="61">
        <f t="shared" si="60"/>
        <v>315823.42827636935</v>
      </c>
      <c r="AO70" s="61">
        <f t="shared" si="60"/>
        <v>0</v>
      </c>
      <c r="AP70" s="66">
        <f t="shared" si="45"/>
        <v>933967.35751613067</v>
      </c>
    </row>
    <row r="71" spans="27:42">
      <c r="AA71" s="71">
        <f t="shared" si="37"/>
        <v>13.5</v>
      </c>
      <c r="AB71" s="61">
        <f t="shared" si="38"/>
        <v>135626.4</v>
      </c>
      <c r="AC71" s="61">
        <f t="shared" si="39"/>
        <v>90417.600000000006</v>
      </c>
      <c r="AD71" s="61">
        <f t="shared" si="40"/>
        <v>0</v>
      </c>
      <c r="AE71" s="73">
        <f t="shared" si="41"/>
        <v>226044</v>
      </c>
      <c r="AK71" s="57">
        <f t="shared" si="42"/>
        <v>13.5</v>
      </c>
      <c r="AL71" s="70">
        <f t="shared" si="43"/>
        <v>17.67098124622505</v>
      </c>
      <c r="AM71" s="61">
        <f t="shared" ref="AM71:AO71" si="61">AM23*$AL71</f>
        <v>177529.74599207533</v>
      </c>
      <c r="AN71" s="61">
        <f t="shared" si="61"/>
        <v>118353.1639947169</v>
      </c>
      <c r="AO71" s="61">
        <f t="shared" si="61"/>
        <v>0</v>
      </c>
      <c r="AP71" s="66">
        <f t="shared" si="45"/>
        <v>295882.90998679225</v>
      </c>
    </row>
    <row r="72" spans="27:42">
      <c r="AA72" s="71">
        <f t="shared" si="37"/>
        <v>14</v>
      </c>
      <c r="AB72" s="61">
        <f t="shared" si="38"/>
        <v>37745.4</v>
      </c>
      <c r="AC72" s="61">
        <f t="shared" si="39"/>
        <v>88072.599999999991</v>
      </c>
      <c r="AD72" s="61">
        <f t="shared" si="40"/>
        <v>0</v>
      </c>
      <c r="AE72" s="73">
        <f t="shared" si="41"/>
        <v>125818</v>
      </c>
      <c r="AK72" s="57">
        <f t="shared" si="42"/>
        <v>14</v>
      </c>
      <c r="AL72" s="70">
        <f t="shared" si="43"/>
        <v>20.010145344377722</v>
      </c>
      <c r="AM72" s="61">
        <f t="shared" ref="AM72:AO72" si="62">AM24*$AL72</f>
        <v>53949.352862976775</v>
      </c>
      <c r="AN72" s="61">
        <f t="shared" si="62"/>
        <v>125881.82334694581</v>
      </c>
      <c r="AO72" s="61">
        <f t="shared" si="62"/>
        <v>0</v>
      </c>
      <c r="AP72" s="66">
        <f t="shared" si="45"/>
        <v>179831.17620992259</v>
      </c>
    </row>
    <row r="73" spans="27:42">
      <c r="AA73" s="71">
        <f t="shared" si="37"/>
        <v>14.5</v>
      </c>
      <c r="AB73" s="61">
        <f t="shared" si="38"/>
        <v>11832</v>
      </c>
      <c r="AC73" s="61">
        <f t="shared" si="39"/>
        <v>35496</v>
      </c>
      <c r="AD73" s="61">
        <f t="shared" si="40"/>
        <v>0</v>
      </c>
      <c r="AE73" s="73">
        <f t="shared" si="41"/>
        <v>47328</v>
      </c>
      <c r="AK73" s="57">
        <f t="shared" si="42"/>
        <v>14.5</v>
      </c>
      <c r="AL73" s="70">
        <f t="shared" si="43"/>
        <v>22.560309499425383</v>
      </c>
      <c r="AM73" s="61">
        <f t="shared" ref="AM73:AO73" si="63">AM25*$AL73</f>
        <v>18409.212551531113</v>
      </c>
      <c r="AN73" s="61">
        <f t="shared" si="63"/>
        <v>55227.637654593338</v>
      </c>
      <c r="AO73" s="61">
        <f t="shared" si="63"/>
        <v>0</v>
      </c>
      <c r="AP73" s="66">
        <f t="shared" si="45"/>
        <v>73636.850206124451</v>
      </c>
    </row>
    <row r="74" spans="27:42">
      <c r="AA74" s="71">
        <f t="shared" si="37"/>
        <v>15</v>
      </c>
      <c r="AB74" s="61">
        <f t="shared" si="38"/>
        <v>0</v>
      </c>
      <c r="AC74" s="61">
        <f t="shared" si="39"/>
        <v>24600</v>
      </c>
      <c r="AD74" s="61">
        <f t="shared" si="40"/>
        <v>0</v>
      </c>
      <c r="AE74" s="73">
        <f t="shared" si="41"/>
        <v>24600</v>
      </c>
      <c r="AK74" s="57">
        <f t="shared" si="42"/>
        <v>15</v>
      </c>
      <c r="AL74" s="70">
        <f t="shared" si="43"/>
        <v>25.332239976209198</v>
      </c>
      <c r="AM74" s="61">
        <f t="shared" ref="AM74:AO74" si="64">AM26*$AL74</f>
        <v>0</v>
      </c>
      <c r="AN74" s="61">
        <f t="shared" si="64"/>
        <v>41544.873560983084</v>
      </c>
      <c r="AO74" s="61">
        <f t="shared" si="64"/>
        <v>0</v>
      </c>
      <c r="AP74" s="66">
        <f t="shared" si="45"/>
        <v>41544.873560983084</v>
      </c>
    </row>
    <row r="75" spans="27:42">
      <c r="AA75" s="71">
        <f t="shared" si="37"/>
        <v>15.5</v>
      </c>
      <c r="AB75" s="61">
        <f t="shared" si="38"/>
        <v>0</v>
      </c>
      <c r="AC75" s="61">
        <f t="shared" si="39"/>
        <v>6355</v>
      </c>
      <c r="AD75" s="61">
        <f t="shared" si="40"/>
        <v>0</v>
      </c>
      <c r="AE75" s="73">
        <f t="shared" si="41"/>
        <v>6355</v>
      </c>
      <c r="AK75" s="57">
        <f t="shared" si="42"/>
        <v>15.5</v>
      </c>
      <c r="AL75" s="70">
        <f t="shared" si="43"/>
        <v>28.336859502748041</v>
      </c>
      <c r="AM75" s="61">
        <f t="shared" ref="AM75:AO75" si="65">AM27*$AL75</f>
        <v>0</v>
      </c>
      <c r="AN75" s="61">
        <f t="shared" si="65"/>
        <v>11618.112396126697</v>
      </c>
      <c r="AO75" s="61">
        <f t="shared" si="65"/>
        <v>0</v>
      </c>
      <c r="AP75" s="66">
        <f t="shared" si="45"/>
        <v>11618.112396126697</v>
      </c>
    </row>
    <row r="76" spans="27:42">
      <c r="AA76" s="71">
        <f t="shared" si="37"/>
        <v>16</v>
      </c>
      <c r="AB76" s="61">
        <f t="shared" si="38"/>
        <v>0</v>
      </c>
      <c r="AC76" s="61">
        <f t="shared" si="39"/>
        <v>0</v>
      </c>
      <c r="AD76" s="61">
        <f t="shared" si="40"/>
        <v>0</v>
      </c>
      <c r="AE76" s="73">
        <f t="shared" si="41"/>
        <v>0</v>
      </c>
      <c r="AK76" s="57">
        <f t="shared" si="42"/>
        <v>16</v>
      </c>
      <c r="AL76" s="70">
        <f t="shared" si="43"/>
        <v>31.585244213101223</v>
      </c>
      <c r="AM76" s="61">
        <f t="shared" ref="AM76:AO76" si="66">AM28*$AL76</f>
        <v>0</v>
      </c>
      <c r="AN76" s="61">
        <f t="shared" si="66"/>
        <v>0</v>
      </c>
      <c r="AO76" s="61">
        <f t="shared" si="66"/>
        <v>0</v>
      </c>
      <c r="AP76" s="66">
        <f t="shared" si="45"/>
        <v>0</v>
      </c>
    </row>
    <row r="77" spans="27:42">
      <c r="AA77" s="71">
        <f t="shared" si="37"/>
        <v>16.5</v>
      </c>
      <c r="AB77" s="61">
        <f t="shared" si="38"/>
        <v>0</v>
      </c>
      <c r="AC77" s="61">
        <f t="shared" si="39"/>
        <v>0</v>
      </c>
      <c r="AD77" s="61">
        <f t="shared" si="40"/>
        <v>0</v>
      </c>
      <c r="AE77" s="73">
        <f t="shared" si="41"/>
        <v>0</v>
      </c>
      <c r="AK77" s="57">
        <f t="shared" si="42"/>
        <v>16.5</v>
      </c>
      <c r="AL77" s="70">
        <f t="shared" si="43"/>
        <v>35.088620747435591</v>
      </c>
      <c r="AM77" s="61">
        <f t="shared" ref="AM77:AO77" si="67">AM29*$AL77</f>
        <v>0</v>
      </c>
      <c r="AN77" s="61">
        <f t="shared" si="67"/>
        <v>0</v>
      </c>
      <c r="AO77" s="61">
        <f t="shared" si="67"/>
        <v>0</v>
      </c>
      <c r="AP77" s="66">
        <f t="shared" si="45"/>
        <v>0</v>
      </c>
    </row>
    <row r="78" spans="27:42">
      <c r="AA78" s="71">
        <f t="shared" si="37"/>
        <v>17</v>
      </c>
      <c r="AB78" s="61">
        <f t="shared" si="38"/>
        <v>0</v>
      </c>
      <c r="AC78" s="61">
        <f t="shared" si="39"/>
        <v>0</v>
      </c>
      <c r="AD78" s="61">
        <f t="shared" si="40"/>
        <v>0</v>
      </c>
      <c r="AE78" s="73">
        <f t="shared" si="41"/>
        <v>0</v>
      </c>
      <c r="AK78" s="57">
        <f t="shared" si="42"/>
        <v>17</v>
      </c>
      <c r="AL78" s="70">
        <f t="shared" si="43"/>
        <v>38.858363496513491</v>
      </c>
      <c r="AM78" s="61">
        <f t="shared" ref="AM78:AO78" si="68">AM30*$AL78</f>
        <v>0</v>
      </c>
      <c r="AN78" s="61">
        <f t="shared" si="68"/>
        <v>0</v>
      </c>
      <c r="AO78" s="61">
        <f t="shared" si="68"/>
        <v>0</v>
      </c>
      <c r="AP78" s="66">
        <f t="shared" si="45"/>
        <v>0</v>
      </c>
    </row>
    <row r="79" spans="27:42">
      <c r="AA79" s="71">
        <f t="shared" si="37"/>
        <v>17.5</v>
      </c>
      <c r="AB79" s="61">
        <f t="shared" si="38"/>
        <v>0</v>
      </c>
      <c r="AC79" s="61">
        <f t="shared" si="39"/>
        <v>0</v>
      </c>
      <c r="AD79" s="61">
        <f t="shared" si="40"/>
        <v>0</v>
      </c>
      <c r="AE79" s="73">
        <f t="shared" si="41"/>
        <v>0</v>
      </c>
      <c r="AK79" s="57">
        <f t="shared" si="42"/>
        <v>17.5</v>
      </c>
      <c r="AL79" s="70">
        <f t="shared" si="43"/>
        <v>42.905991979215656</v>
      </c>
      <c r="AM79" s="61">
        <f t="shared" ref="AM79:AO79" si="69">AM31*$AL79</f>
        <v>0</v>
      </c>
      <c r="AN79" s="61">
        <f t="shared" si="69"/>
        <v>0</v>
      </c>
      <c r="AO79" s="61">
        <f t="shared" si="69"/>
        <v>0</v>
      </c>
      <c r="AP79" s="66">
        <f t="shared" si="45"/>
        <v>0</v>
      </c>
    </row>
    <row r="80" spans="27:42">
      <c r="AA80" s="71">
        <f t="shared" si="37"/>
        <v>18</v>
      </c>
      <c r="AB80" s="61">
        <f t="shared" si="38"/>
        <v>0</v>
      </c>
      <c r="AC80" s="61">
        <f t="shared" si="39"/>
        <v>0</v>
      </c>
      <c r="AD80" s="61">
        <f t="shared" si="40"/>
        <v>0</v>
      </c>
      <c r="AE80" s="73">
        <f t="shared" si="41"/>
        <v>0</v>
      </c>
      <c r="AK80" s="57">
        <f t="shared" si="42"/>
        <v>18</v>
      </c>
      <c r="AL80" s="70">
        <f t="shared" si="43"/>
        <v>47.243168342923752</v>
      </c>
      <c r="AM80" s="61">
        <f t="shared" ref="AM80:AO80" si="70">AM32*$AL80</f>
        <v>0</v>
      </c>
      <c r="AN80" s="61">
        <f t="shared" si="70"/>
        <v>0</v>
      </c>
      <c r="AO80" s="61">
        <f t="shared" si="70"/>
        <v>0</v>
      </c>
      <c r="AP80" s="66">
        <f t="shared" si="45"/>
        <v>0</v>
      </c>
    </row>
    <row r="81" spans="27:44">
      <c r="AA81" s="71" t="s">
        <v>36</v>
      </c>
      <c r="AB81" s="68">
        <f>SUM(AB54:AB80)</f>
        <v>37143956.517293669</v>
      </c>
      <c r="AC81" s="68">
        <f t="shared" ref="AC81:AD81" si="71">SUM(AC54:AC80)</f>
        <v>3378112.4827063335</v>
      </c>
      <c r="AD81" s="68">
        <f t="shared" si="71"/>
        <v>0</v>
      </c>
      <c r="AE81" s="73">
        <f t="shared" si="41"/>
        <v>40522069</v>
      </c>
      <c r="AL81" s="67" t="s">
        <v>8</v>
      </c>
      <c r="AM81" s="68">
        <f>SUM(AM54:AM80)</f>
        <v>29973746.697257947</v>
      </c>
      <c r="AN81" s="68">
        <f t="shared" ref="AN81:AP81" si="72">SUM(AN54:AN80)</f>
        <v>3126253.3753672726</v>
      </c>
      <c r="AO81" s="68">
        <f t="shared" si="72"/>
        <v>0</v>
      </c>
      <c r="AP81" s="68">
        <f t="shared" si="72"/>
        <v>33100000.072625224</v>
      </c>
      <c r="AQ81">
        <f>+O45</f>
        <v>33100</v>
      </c>
      <c r="AR81">
        <f>+AP81/1000</f>
        <v>33100.000072625226</v>
      </c>
    </row>
    <row r="82" spans="27:44">
      <c r="AA82" s="71" t="s">
        <v>37</v>
      </c>
      <c r="AB82" s="69">
        <f>IF(AM33&gt;0,AB81/AM33,0)</f>
        <v>10.938914078059014</v>
      </c>
      <c r="AC82" s="69">
        <f t="shared" ref="AC82:AD82" si="73">IF(AN33&gt;0,AC81/AN33,0)</f>
        <v>11.512101500125411</v>
      </c>
      <c r="AD82" s="69">
        <f t="shared" si="73"/>
        <v>0</v>
      </c>
      <c r="AE82" s="69">
        <f>IF(AP33&gt;0,AE81/AP33,0)</f>
        <v>10.984507809662187</v>
      </c>
      <c r="AL82" s="63" t="s">
        <v>34</v>
      </c>
      <c r="AM82" s="69">
        <f>IF(AM33&gt;0,AM81/AM33,0)</f>
        <v>8.8272836407762245</v>
      </c>
      <c r="AN82" s="69">
        <f t="shared" ref="AN82:AO82" si="74">IF(AN33&gt;0,AN81/AN33,0)</f>
        <v>10.653803375873666</v>
      </c>
      <c r="AO82" s="69">
        <f t="shared" si="74"/>
        <v>0</v>
      </c>
      <c r="AP82" s="66">
        <f t="shared" ref="AP82" ca="1" si="75">SUM(AM82:AP82)</f>
        <v>0</v>
      </c>
    </row>
    <row r="83" spans="27:44">
      <c r="AA83" s="71"/>
      <c r="AB83" s="61"/>
      <c r="AC83" s="61"/>
      <c r="AD83" s="61"/>
      <c r="AE83" s="61"/>
      <c r="AF83" s="72"/>
    </row>
    <row r="84" spans="27:44">
      <c r="AA84" s="71"/>
      <c r="AB84" s="61"/>
      <c r="AC84" s="61"/>
      <c r="AD84" s="61"/>
      <c r="AE84" s="61"/>
      <c r="AF84" s="72"/>
    </row>
    <row r="85" spans="27:44">
      <c r="AA85" s="71"/>
      <c r="AB85" s="61"/>
      <c r="AC85" s="61"/>
      <c r="AD85" s="61"/>
      <c r="AE85" s="61"/>
      <c r="AF85" s="7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D87C9-653F-E74C-90BE-330D6EB9DABB}">
  <dimension ref="A1:AQ1"/>
  <sheetViews>
    <sheetView topLeftCell="Y1" workbookViewId="0">
      <selection activeCell="AD1" sqref="AD1"/>
    </sheetView>
  </sheetViews>
  <sheetFormatPr baseColWidth="10" defaultRowHeight="14.4"/>
  <sheetData>
    <row r="1" spans="1:4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44"/>
  <sheetViews>
    <sheetView topLeftCell="R4" workbookViewId="0">
      <selection activeCell="H6" sqref="H6"/>
    </sheetView>
  </sheetViews>
  <sheetFormatPr baseColWidth="10" defaultColWidth="9.109375" defaultRowHeight="14.4"/>
  <cols>
    <col min="29" max="29" width="6" bestFit="1" customWidth="1"/>
    <col min="34" max="34" width="10.77734375" customWidth="1"/>
  </cols>
  <sheetData>
    <row r="1" spans="1:34" ht="21">
      <c r="A1" t="s">
        <v>0</v>
      </c>
      <c r="B1" t="s">
        <v>1</v>
      </c>
      <c r="C1" t="s">
        <v>2</v>
      </c>
      <c r="D1" t="s">
        <v>15</v>
      </c>
      <c r="Q1" s="97" t="s">
        <v>11</v>
      </c>
      <c r="R1" s="97"/>
      <c r="S1" s="97"/>
      <c r="T1" s="97"/>
      <c r="U1" s="97"/>
      <c r="W1" s="97" t="s">
        <v>11</v>
      </c>
      <c r="X1" s="97"/>
      <c r="Y1" s="97"/>
      <c r="Z1" s="97"/>
      <c r="AA1" s="97"/>
      <c r="AB1" s="20"/>
      <c r="AD1" s="97" t="s">
        <v>11</v>
      </c>
      <c r="AE1" s="97"/>
      <c r="AF1" s="97"/>
      <c r="AG1" s="97"/>
      <c r="AH1" s="97"/>
    </row>
    <row r="2" spans="1:34">
      <c r="A2">
        <v>5</v>
      </c>
      <c r="B2">
        <v>0</v>
      </c>
      <c r="C2">
        <v>0</v>
      </c>
      <c r="D2">
        <f>+B2/$B$44</f>
        <v>0</v>
      </c>
      <c r="W2" s="20"/>
      <c r="X2" s="20"/>
      <c r="Y2" s="9" t="s">
        <v>15</v>
      </c>
      <c r="Z2" s="20"/>
      <c r="AA2" s="20"/>
      <c r="AB2" s="20"/>
      <c r="AD2" s="99" t="s">
        <v>17</v>
      </c>
      <c r="AE2" s="99"/>
      <c r="AF2" s="99"/>
      <c r="AG2" s="99"/>
      <c r="AH2" s="99"/>
    </row>
    <row r="3" spans="1:34">
      <c r="A3">
        <v>5.5</v>
      </c>
      <c r="B3">
        <v>90</v>
      </c>
      <c r="C3">
        <v>0</v>
      </c>
      <c r="D3">
        <f t="shared" ref="D3:D43" si="0">+B3/$B$44</f>
        <v>1.121865787456294E-4</v>
      </c>
      <c r="Q3" s="95" t="s">
        <v>6</v>
      </c>
      <c r="R3" s="103" t="s">
        <v>7</v>
      </c>
      <c r="S3" s="100"/>
      <c r="T3" s="100"/>
      <c r="U3" s="95" t="s">
        <v>8</v>
      </c>
      <c r="W3" s="95" t="s">
        <v>6</v>
      </c>
      <c r="X3" s="101" t="s">
        <v>7</v>
      </c>
      <c r="Y3" s="102"/>
      <c r="Z3" s="102"/>
      <c r="AA3" s="95" t="s">
        <v>8</v>
      </c>
      <c r="AB3" s="9"/>
      <c r="AD3" s="91" t="s">
        <v>6</v>
      </c>
      <c r="AE3" s="93" t="s">
        <v>7</v>
      </c>
      <c r="AF3" s="94"/>
      <c r="AG3" s="94"/>
      <c r="AH3" s="91" t="s">
        <v>8</v>
      </c>
    </row>
    <row r="4" spans="1:34">
      <c r="A4">
        <v>6</v>
      </c>
      <c r="B4">
        <v>90</v>
      </c>
      <c r="C4">
        <v>0</v>
      </c>
      <c r="D4">
        <f t="shared" si="0"/>
        <v>1.121865787456294E-4</v>
      </c>
      <c r="Q4" s="96"/>
      <c r="R4" s="7">
        <v>1</v>
      </c>
      <c r="S4" s="7">
        <v>2</v>
      </c>
      <c r="T4" s="7">
        <v>3</v>
      </c>
      <c r="U4" s="96"/>
      <c r="W4" s="96"/>
      <c r="X4" s="26">
        <v>1</v>
      </c>
      <c r="Y4" s="13">
        <v>2</v>
      </c>
      <c r="Z4" s="27">
        <v>3</v>
      </c>
      <c r="AA4" s="96"/>
      <c r="AB4" s="9"/>
      <c r="AD4" s="92"/>
      <c r="AE4" s="35">
        <v>1</v>
      </c>
      <c r="AF4" s="36">
        <v>2</v>
      </c>
      <c r="AG4" s="37">
        <v>3</v>
      </c>
      <c r="AH4" s="92"/>
    </row>
    <row r="5" spans="1:34">
      <c r="A5">
        <v>6.5</v>
      </c>
      <c r="B5">
        <v>494</v>
      </c>
      <c r="C5">
        <v>1</v>
      </c>
      <c r="D5">
        <f t="shared" si="0"/>
        <v>6.1577966555934353E-4</v>
      </c>
      <c r="Q5" s="8">
        <v>5</v>
      </c>
      <c r="R5">
        <v>0</v>
      </c>
      <c r="S5">
        <v>0</v>
      </c>
      <c r="T5">
        <v>0</v>
      </c>
      <c r="U5" s="11">
        <v>0</v>
      </c>
      <c r="W5" s="29">
        <v>5</v>
      </c>
      <c r="X5" s="24"/>
      <c r="Y5" s="24"/>
      <c r="Z5" s="24"/>
      <c r="AA5" s="28"/>
      <c r="AB5" s="21"/>
      <c r="AC5">
        <v>5.25</v>
      </c>
      <c r="AD5" s="38">
        <v>5</v>
      </c>
      <c r="AE5" s="39">
        <f>+X5*$B2</f>
        <v>0</v>
      </c>
      <c r="AF5" s="39">
        <f t="shared" ref="AF5:AG20" si="1">+Y5*$B2</f>
        <v>0</v>
      </c>
      <c r="AG5" s="39">
        <f t="shared" si="1"/>
        <v>0</v>
      </c>
      <c r="AH5" s="40"/>
    </row>
    <row r="6" spans="1:34">
      <c r="A6">
        <v>7</v>
      </c>
      <c r="B6">
        <v>763</v>
      </c>
      <c r="C6">
        <v>2</v>
      </c>
      <c r="D6">
        <f t="shared" si="0"/>
        <v>9.5109288425461371E-4</v>
      </c>
      <c r="Q6" s="8">
        <v>5.5</v>
      </c>
      <c r="R6">
        <v>1</v>
      </c>
      <c r="S6">
        <v>0</v>
      </c>
      <c r="T6">
        <v>0</v>
      </c>
      <c r="U6" s="11">
        <v>1</v>
      </c>
      <c r="W6" s="29">
        <v>5.5</v>
      </c>
      <c r="X6" s="24">
        <f t="shared" ref="X6:X13" si="2">+R6/$U6</f>
        <v>1</v>
      </c>
      <c r="Y6" s="24">
        <f t="shared" ref="Y6:Y31" si="3">+S6/$U6</f>
        <v>0</v>
      </c>
      <c r="Z6" s="24">
        <f t="shared" ref="Z6:Z31" si="4">+T6/$U6</f>
        <v>0</v>
      </c>
      <c r="AA6" s="28">
        <f t="shared" ref="AA6:AA13" si="5">SUM(X6:Z6)</f>
        <v>1</v>
      </c>
      <c r="AC6">
        <v>5.75</v>
      </c>
      <c r="AD6" s="41">
        <v>5.5</v>
      </c>
      <c r="AE6" s="39">
        <f>+X6*$B3</f>
        <v>90</v>
      </c>
      <c r="AF6" s="39">
        <f t="shared" si="1"/>
        <v>0</v>
      </c>
      <c r="AG6" s="39">
        <f t="shared" si="1"/>
        <v>0</v>
      </c>
      <c r="AH6" s="42">
        <f>SUM(AE6:AG6)</f>
        <v>90</v>
      </c>
    </row>
    <row r="7" spans="1:34">
      <c r="A7">
        <v>7.5</v>
      </c>
      <c r="B7">
        <v>1079</v>
      </c>
      <c r="C7">
        <v>3</v>
      </c>
      <c r="D7">
        <f t="shared" si="0"/>
        <v>1.3449924274059346E-3</v>
      </c>
      <c r="Q7" s="8">
        <v>6</v>
      </c>
      <c r="R7">
        <v>1</v>
      </c>
      <c r="S7">
        <v>0</v>
      </c>
      <c r="T7">
        <v>0</v>
      </c>
      <c r="U7" s="11">
        <v>1</v>
      </c>
      <c r="W7" s="29">
        <v>6</v>
      </c>
      <c r="X7" s="24">
        <f t="shared" si="2"/>
        <v>1</v>
      </c>
      <c r="Y7" s="24">
        <f t="shared" si="3"/>
        <v>0</v>
      </c>
      <c r="Z7" s="24">
        <f t="shared" si="4"/>
        <v>0</v>
      </c>
      <c r="AA7" s="28">
        <f t="shared" si="5"/>
        <v>1</v>
      </c>
      <c r="AC7">
        <v>6.25</v>
      </c>
      <c r="AD7" s="41">
        <v>6</v>
      </c>
      <c r="AE7" s="39">
        <f t="shared" ref="AE7:AG21" si="6">+X7*$B4</f>
        <v>90</v>
      </c>
      <c r="AF7" s="39">
        <f t="shared" si="1"/>
        <v>0</v>
      </c>
      <c r="AG7" s="39">
        <f t="shared" si="1"/>
        <v>0</v>
      </c>
      <c r="AH7" s="42">
        <f t="shared" ref="AH7:AH31" si="7">SUM(AE7:AG7)</f>
        <v>90</v>
      </c>
    </row>
    <row r="8" spans="1:34">
      <c r="A8">
        <v>8</v>
      </c>
      <c r="B8">
        <v>1168</v>
      </c>
      <c r="C8">
        <v>4</v>
      </c>
      <c r="D8">
        <f t="shared" si="0"/>
        <v>1.455932488609946E-3</v>
      </c>
      <c r="Q8" s="8">
        <v>6.5</v>
      </c>
      <c r="R8">
        <v>8</v>
      </c>
      <c r="S8">
        <v>0</v>
      </c>
      <c r="T8">
        <v>0</v>
      </c>
      <c r="U8" s="11">
        <v>8</v>
      </c>
      <c r="W8" s="29">
        <v>6.5</v>
      </c>
      <c r="X8" s="24">
        <f t="shared" si="2"/>
        <v>1</v>
      </c>
      <c r="Y8" s="24">
        <f t="shared" si="3"/>
        <v>0</v>
      </c>
      <c r="Z8" s="24">
        <f t="shared" si="4"/>
        <v>0</v>
      </c>
      <c r="AA8" s="28">
        <f t="shared" si="5"/>
        <v>1</v>
      </c>
      <c r="AC8">
        <v>6.75</v>
      </c>
      <c r="AD8" s="41">
        <v>6.5</v>
      </c>
      <c r="AE8" s="39">
        <f t="shared" si="6"/>
        <v>494</v>
      </c>
      <c r="AF8" s="39">
        <f t="shared" si="1"/>
        <v>0</v>
      </c>
      <c r="AG8" s="39">
        <f t="shared" si="1"/>
        <v>0</v>
      </c>
      <c r="AH8" s="42">
        <f t="shared" si="7"/>
        <v>494</v>
      </c>
    </row>
    <row r="9" spans="1:34">
      <c r="A9">
        <v>8.5</v>
      </c>
      <c r="B9">
        <v>1438</v>
      </c>
      <c r="C9">
        <v>5</v>
      </c>
      <c r="D9">
        <f t="shared" si="0"/>
        <v>1.7924922248468342E-3</v>
      </c>
      <c r="Q9" s="8">
        <v>7</v>
      </c>
      <c r="R9">
        <v>8</v>
      </c>
      <c r="S9">
        <v>0</v>
      </c>
      <c r="T9">
        <v>0</v>
      </c>
      <c r="U9" s="11">
        <v>8</v>
      </c>
      <c r="W9" s="29">
        <v>7</v>
      </c>
      <c r="X9" s="24">
        <f t="shared" si="2"/>
        <v>1</v>
      </c>
      <c r="Y9" s="24">
        <f t="shared" si="3"/>
        <v>0</v>
      </c>
      <c r="Z9" s="24">
        <f t="shared" si="4"/>
        <v>0</v>
      </c>
      <c r="AA9" s="28">
        <f t="shared" si="5"/>
        <v>1</v>
      </c>
      <c r="AC9">
        <v>7.25</v>
      </c>
      <c r="AD9" s="41">
        <v>7</v>
      </c>
      <c r="AE9" s="39">
        <f t="shared" si="6"/>
        <v>763</v>
      </c>
      <c r="AF9" s="39">
        <f t="shared" si="1"/>
        <v>0</v>
      </c>
      <c r="AG9" s="39">
        <f t="shared" si="1"/>
        <v>0</v>
      </c>
      <c r="AH9" s="42">
        <f t="shared" si="7"/>
        <v>763</v>
      </c>
    </row>
    <row r="10" spans="1:34">
      <c r="A10">
        <v>9</v>
      </c>
      <c r="B10">
        <v>2561</v>
      </c>
      <c r="C10">
        <v>12</v>
      </c>
      <c r="D10">
        <f t="shared" si="0"/>
        <v>3.1923314240839655E-3</v>
      </c>
      <c r="Q10" s="8">
        <v>7.5</v>
      </c>
      <c r="R10">
        <v>7</v>
      </c>
      <c r="S10">
        <v>0</v>
      </c>
      <c r="T10">
        <v>0</v>
      </c>
      <c r="U10" s="11">
        <v>7</v>
      </c>
      <c r="W10" s="29">
        <v>7.5</v>
      </c>
      <c r="X10" s="24">
        <f t="shared" si="2"/>
        <v>1</v>
      </c>
      <c r="Y10" s="24">
        <f t="shared" si="3"/>
        <v>0</v>
      </c>
      <c r="Z10" s="24">
        <f t="shared" si="4"/>
        <v>0</v>
      </c>
      <c r="AA10" s="28">
        <f t="shared" si="5"/>
        <v>1</v>
      </c>
      <c r="AC10">
        <v>7.75</v>
      </c>
      <c r="AD10" s="41">
        <v>7.5</v>
      </c>
      <c r="AE10" s="39">
        <f t="shared" si="6"/>
        <v>1079</v>
      </c>
      <c r="AF10" s="39">
        <f t="shared" si="1"/>
        <v>0</v>
      </c>
      <c r="AG10" s="39">
        <f t="shared" si="1"/>
        <v>0</v>
      </c>
      <c r="AH10" s="42">
        <f t="shared" si="7"/>
        <v>1079</v>
      </c>
    </row>
    <row r="11" spans="1:34">
      <c r="A11">
        <v>9.5</v>
      </c>
      <c r="B11">
        <v>4125</v>
      </c>
      <c r="C11">
        <v>22</v>
      </c>
      <c r="D11">
        <f t="shared" si="0"/>
        <v>5.1418848591746804E-3</v>
      </c>
      <c r="Q11" s="8">
        <v>8</v>
      </c>
      <c r="R11">
        <v>8</v>
      </c>
      <c r="S11">
        <v>0</v>
      </c>
      <c r="T11">
        <v>0</v>
      </c>
      <c r="U11" s="11">
        <v>8</v>
      </c>
      <c r="W11" s="29">
        <v>8</v>
      </c>
      <c r="X11" s="24">
        <f t="shared" si="2"/>
        <v>1</v>
      </c>
      <c r="Y11" s="24">
        <f t="shared" si="3"/>
        <v>0</v>
      </c>
      <c r="Z11" s="24">
        <f t="shared" si="4"/>
        <v>0</v>
      </c>
      <c r="AA11" s="28">
        <f t="shared" si="5"/>
        <v>1</v>
      </c>
      <c r="AC11">
        <v>8.25</v>
      </c>
      <c r="AD11" s="41">
        <v>8</v>
      </c>
      <c r="AE11" s="39">
        <f t="shared" si="6"/>
        <v>1168</v>
      </c>
      <c r="AF11" s="39">
        <f t="shared" si="1"/>
        <v>0</v>
      </c>
      <c r="AG11" s="39">
        <f t="shared" si="1"/>
        <v>0</v>
      </c>
      <c r="AH11" s="42">
        <f t="shared" si="7"/>
        <v>1168</v>
      </c>
    </row>
    <row r="12" spans="1:34">
      <c r="A12">
        <v>10</v>
      </c>
      <c r="B12">
        <v>7700</v>
      </c>
      <c r="C12">
        <v>49</v>
      </c>
      <c r="D12">
        <f t="shared" si="0"/>
        <v>9.5981850704594043E-3</v>
      </c>
      <c r="Q12" s="8">
        <v>8.5</v>
      </c>
      <c r="R12">
        <v>10</v>
      </c>
      <c r="S12">
        <v>0</v>
      </c>
      <c r="T12">
        <v>0</v>
      </c>
      <c r="U12" s="11">
        <v>10</v>
      </c>
      <c r="W12" s="29">
        <v>8.5</v>
      </c>
      <c r="X12" s="24">
        <f t="shared" si="2"/>
        <v>1</v>
      </c>
      <c r="Y12" s="24">
        <f t="shared" si="3"/>
        <v>0</v>
      </c>
      <c r="Z12" s="24">
        <f t="shared" si="4"/>
        <v>0</v>
      </c>
      <c r="AA12" s="28">
        <f t="shared" si="5"/>
        <v>1</v>
      </c>
      <c r="AC12">
        <v>8.75</v>
      </c>
      <c r="AD12" s="41">
        <v>8.5</v>
      </c>
      <c r="AE12" s="39">
        <f t="shared" si="6"/>
        <v>1438</v>
      </c>
      <c r="AF12" s="39">
        <f t="shared" si="1"/>
        <v>0</v>
      </c>
      <c r="AG12" s="39">
        <f t="shared" si="1"/>
        <v>0</v>
      </c>
      <c r="AH12" s="42">
        <f t="shared" si="7"/>
        <v>1438</v>
      </c>
    </row>
    <row r="13" spans="1:34">
      <c r="A13">
        <v>10.5</v>
      </c>
      <c r="B13">
        <v>77925</v>
      </c>
      <c r="C13">
        <v>586</v>
      </c>
      <c r="D13">
        <f t="shared" si="0"/>
        <v>9.7134879430590793E-2</v>
      </c>
      <c r="Q13" s="8">
        <v>9</v>
      </c>
      <c r="R13">
        <v>10</v>
      </c>
      <c r="S13">
        <v>0</v>
      </c>
      <c r="T13">
        <v>0</v>
      </c>
      <c r="U13" s="11">
        <v>10</v>
      </c>
      <c r="W13" s="29">
        <v>9</v>
      </c>
      <c r="X13" s="24">
        <f t="shared" si="2"/>
        <v>1</v>
      </c>
      <c r="Y13" s="24">
        <f t="shared" si="3"/>
        <v>0</v>
      </c>
      <c r="Z13" s="24">
        <f t="shared" si="4"/>
        <v>0</v>
      </c>
      <c r="AA13" s="28">
        <f t="shared" si="5"/>
        <v>1</v>
      </c>
      <c r="AC13">
        <v>9.25</v>
      </c>
      <c r="AD13" s="41">
        <v>9</v>
      </c>
      <c r="AE13" s="39">
        <f t="shared" si="6"/>
        <v>2561</v>
      </c>
      <c r="AF13" s="39">
        <f t="shared" si="1"/>
        <v>0</v>
      </c>
      <c r="AG13" s="39">
        <f t="shared" si="1"/>
        <v>0</v>
      </c>
      <c r="AH13" s="42">
        <f t="shared" si="7"/>
        <v>2561</v>
      </c>
    </row>
    <row r="14" spans="1:34">
      <c r="A14">
        <v>11</v>
      </c>
      <c r="B14">
        <v>117570</v>
      </c>
      <c r="C14">
        <v>1033</v>
      </c>
      <c r="D14">
        <f t="shared" si="0"/>
        <v>0.14655306736804052</v>
      </c>
      <c r="Q14" s="8">
        <v>9.5</v>
      </c>
      <c r="R14">
        <v>17</v>
      </c>
      <c r="S14">
        <v>0</v>
      </c>
      <c r="T14">
        <v>0</v>
      </c>
      <c r="U14" s="11">
        <v>17</v>
      </c>
      <c r="W14" s="29">
        <v>9.5</v>
      </c>
      <c r="X14" s="24">
        <f>+R14/$U14</f>
        <v>1</v>
      </c>
      <c r="Y14" s="24">
        <f t="shared" si="3"/>
        <v>0</v>
      </c>
      <c r="Z14" s="24">
        <f t="shared" si="4"/>
        <v>0</v>
      </c>
      <c r="AA14" s="28">
        <f>SUM(X14:Z14)</f>
        <v>1</v>
      </c>
      <c r="AC14">
        <v>9.75</v>
      </c>
      <c r="AD14" s="41">
        <v>9.5</v>
      </c>
      <c r="AE14" s="39">
        <f t="shared" si="6"/>
        <v>4125</v>
      </c>
      <c r="AF14" s="39">
        <f t="shared" si="1"/>
        <v>0</v>
      </c>
      <c r="AG14" s="39">
        <f t="shared" si="1"/>
        <v>0</v>
      </c>
      <c r="AH14" s="42">
        <f>SUM(AE14:AG14)</f>
        <v>4125</v>
      </c>
    </row>
    <row r="15" spans="1:34">
      <c r="A15">
        <v>11.5</v>
      </c>
      <c r="B15">
        <v>114777</v>
      </c>
      <c r="C15">
        <v>1170</v>
      </c>
      <c r="D15">
        <f t="shared" si="0"/>
        <v>0.14307154387430118</v>
      </c>
      <c r="Q15" s="8">
        <v>10</v>
      </c>
      <c r="R15">
        <v>20</v>
      </c>
      <c r="S15">
        <v>0</v>
      </c>
      <c r="T15">
        <v>0</v>
      </c>
      <c r="U15" s="11">
        <v>20</v>
      </c>
      <c r="W15" s="29">
        <v>10</v>
      </c>
      <c r="X15" s="24">
        <f t="shared" ref="X15:X30" si="8">+R15/$U15</f>
        <v>1</v>
      </c>
      <c r="Y15" s="24">
        <f t="shared" si="3"/>
        <v>0</v>
      </c>
      <c r="Z15" s="24">
        <f t="shared" si="4"/>
        <v>0</v>
      </c>
      <c r="AA15" s="28">
        <f t="shared" ref="AA15:AA16" si="9">SUM(X15:Z15)</f>
        <v>1</v>
      </c>
      <c r="AC15">
        <v>10.25</v>
      </c>
      <c r="AD15" s="41">
        <v>10</v>
      </c>
      <c r="AE15" s="39">
        <f t="shared" si="6"/>
        <v>7700</v>
      </c>
      <c r="AF15" s="39">
        <f t="shared" si="1"/>
        <v>0</v>
      </c>
      <c r="AG15" s="39">
        <f t="shared" si="1"/>
        <v>0</v>
      </c>
      <c r="AH15" s="42">
        <f t="shared" si="7"/>
        <v>7700</v>
      </c>
    </row>
    <row r="16" spans="1:34">
      <c r="A16">
        <v>12</v>
      </c>
      <c r="B16">
        <v>142203</v>
      </c>
      <c r="C16">
        <v>1671</v>
      </c>
      <c r="D16">
        <f t="shared" si="0"/>
        <v>0.17725853397071931</v>
      </c>
      <c r="Q16" s="8">
        <v>10.5</v>
      </c>
      <c r="R16">
        <v>29</v>
      </c>
      <c r="S16">
        <v>0</v>
      </c>
      <c r="T16">
        <v>0</v>
      </c>
      <c r="U16" s="11">
        <v>29</v>
      </c>
      <c r="W16" s="29">
        <v>10.5</v>
      </c>
      <c r="X16" s="24">
        <f t="shared" si="8"/>
        <v>1</v>
      </c>
      <c r="Y16" s="24">
        <f t="shared" si="3"/>
        <v>0</v>
      </c>
      <c r="Z16" s="24">
        <f t="shared" si="4"/>
        <v>0</v>
      </c>
      <c r="AA16" s="28">
        <f t="shared" si="9"/>
        <v>1</v>
      </c>
      <c r="AC16">
        <v>10.75</v>
      </c>
      <c r="AD16" s="41">
        <v>10.5</v>
      </c>
      <c r="AE16" s="39">
        <f t="shared" si="6"/>
        <v>77925</v>
      </c>
      <c r="AF16" s="39">
        <f t="shared" si="1"/>
        <v>0</v>
      </c>
      <c r="AG16" s="39">
        <f t="shared" si="1"/>
        <v>0</v>
      </c>
      <c r="AH16" s="42">
        <f t="shared" si="7"/>
        <v>77925</v>
      </c>
    </row>
    <row r="17" spans="1:34">
      <c r="A17">
        <v>12.5</v>
      </c>
      <c r="B17">
        <v>103779</v>
      </c>
      <c r="C17">
        <v>1397</v>
      </c>
      <c r="D17">
        <f t="shared" si="0"/>
        <v>0.12936234395158525</v>
      </c>
      <c r="Q17" s="8">
        <v>11</v>
      </c>
      <c r="R17">
        <v>26</v>
      </c>
      <c r="S17">
        <v>0</v>
      </c>
      <c r="T17">
        <v>0</v>
      </c>
      <c r="U17" s="11">
        <v>26</v>
      </c>
      <c r="W17" s="29">
        <v>11</v>
      </c>
      <c r="X17" s="24">
        <f t="shared" si="8"/>
        <v>1</v>
      </c>
      <c r="Y17" s="24">
        <f t="shared" si="3"/>
        <v>0</v>
      </c>
      <c r="Z17" s="24">
        <f t="shared" si="4"/>
        <v>0</v>
      </c>
      <c r="AA17" s="28">
        <f>SUM(X17:Z17)</f>
        <v>1</v>
      </c>
      <c r="AC17">
        <v>11.25</v>
      </c>
      <c r="AD17" s="41">
        <v>11</v>
      </c>
      <c r="AE17" s="39">
        <f>+X17*$B14</f>
        <v>117570</v>
      </c>
      <c r="AF17" s="39">
        <f>+Y17*$B14</f>
        <v>0</v>
      </c>
      <c r="AG17" s="39">
        <f t="shared" si="1"/>
        <v>0</v>
      </c>
      <c r="AH17" s="42">
        <f t="shared" si="7"/>
        <v>117570</v>
      </c>
    </row>
    <row r="18" spans="1:34">
      <c r="A18">
        <v>13</v>
      </c>
      <c r="B18">
        <v>60226</v>
      </c>
      <c r="C18">
        <v>924</v>
      </c>
      <c r="D18">
        <f t="shared" si="0"/>
        <v>7.5072765461491955E-2</v>
      </c>
      <c r="Q18" s="8">
        <v>11.5</v>
      </c>
      <c r="R18">
        <v>41</v>
      </c>
      <c r="S18">
        <v>0</v>
      </c>
      <c r="T18">
        <v>0</v>
      </c>
      <c r="U18" s="11">
        <v>41</v>
      </c>
      <c r="W18" s="29">
        <v>11.5</v>
      </c>
      <c r="X18" s="24">
        <f t="shared" si="8"/>
        <v>1</v>
      </c>
      <c r="Y18" s="24">
        <f t="shared" si="3"/>
        <v>0</v>
      </c>
      <c r="Z18" s="24">
        <f t="shared" si="4"/>
        <v>0</v>
      </c>
      <c r="AA18" s="28">
        <f t="shared" ref="AA18:AA31" si="10">SUM(X18:Z18)</f>
        <v>1</v>
      </c>
      <c r="AC18">
        <v>11.75</v>
      </c>
      <c r="AD18" s="41">
        <v>11.5</v>
      </c>
      <c r="AE18" s="39">
        <f t="shared" si="6"/>
        <v>114777</v>
      </c>
      <c r="AF18" s="39">
        <f t="shared" si="1"/>
        <v>0</v>
      </c>
      <c r="AG18" s="39">
        <f t="shared" si="1"/>
        <v>0</v>
      </c>
      <c r="AH18" s="42">
        <f t="shared" si="7"/>
        <v>114777</v>
      </c>
    </row>
    <row r="19" spans="1:34">
      <c r="A19">
        <v>13.5</v>
      </c>
      <c r="B19">
        <v>62118</v>
      </c>
      <c r="C19">
        <v>1083</v>
      </c>
      <c r="D19">
        <f t="shared" si="0"/>
        <v>7.7431176650233413E-2</v>
      </c>
      <c r="Q19" s="8">
        <v>12</v>
      </c>
      <c r="R19">
        <v>41</v>
      </c>
      <c r="S19">
        <v>0</v>
      </c>
      <c r="T19">
        <v>0</v>
      </c>
      <c r="U19" s="11">
        <v>41</v>
      </c>
      <c r="W19" s="29">
        <v>12</v>
      </c>
      <c r="X19" s="24">
        <f t="shared" si="8"/>
        <v>1</v>
      </c>
      <c r="Y19" s="24">
        <f t="shared" si="3"/>
        <v>0</v>
      </c>
      <c r="Z19" s="24">
        <f t="shared" si="4"/>
        <v>0</v>
      </c>
      <c r="AA19" s="28">
        <f t="shared" si="10"/>
        <v>1</v>
      </c>
      <c r="AC19">
        <v>12.25</v>
      </c>
      <c r="AD19" s="41">
        <v>12</v>
      </c>
      <c r="AE19" s="39">
        <f t="shared" si="6"/>
        <v>142203</v>
      </c>
      <c r="AF19" s="39">
        <f t="shared" si="1"/>
        <v>0</v>
      </c>
      <c r="AG19" s="39">
        <f t="shared" si="1"/>
        <v>0</v>
      </c>
      <c r="AH19" s="42">
        <f t="shared" si="7"/>
        <v>142203</v>
      </c>
    </row>
    <row r="20" spans="1:34">
      <c r="A20">
        <v>14</v>
      </c>
      <c r="B20">
        <v>44002</v>
      </c>
      <c r="C20">
        <v>865</v>
      </c>
      <c r="D20">
        <f t="shared" si="0"/>
        <v>5.4849264866279827E-2</v>
      </c>
      <c r="Q20" s="8">
        <v>12.5</v>
      </c>
      <c r="R20">
        <v>44</v>
      </c>
      <c r="S20">
        <v>1</v>
      </c>
      <c r="T20">
        <v>0</v>
      </c>
      <c r="U20" s="11">
        <v>45</v>
      </c>
      <c r="W20" s="29">
        <v>12.5</v>
      </c>
      <c r="X20" s="24">
        <f t="shared" si="8"/>
        <v>0.97777777777777775</v>
      </c>
      <c r="Y20" s="24">
        <f t="shared" si="3"/>
        <v>2.2222222222222223E-2</v>
      </c>
      <c r="Z20" s="24">
        <f t="shared" si="4"/>
        <v>0</v>
      </c>
      <c r="AA20" s="28">
        <f t="shared" si="10"/>
        <v>1</v>
      </c>
      <c r="AC20">
        <v>12.75</v>
      </c>
      <c r="AD20" s="41">
        <v>12.5</v>
      </c>
      <c r="AE20" s="39">
        <f t="shared" si="6"/>
        <v>101472.8</v>
      </c>
      <c r="AF20" s="39">
        <f t="shared" si="1"/>
        <v>2306.2000000000003</v>
      </c>
      <c r="AG20" s="39">
        <f t="shared" si="1"/>
        <v>0</v>
      </c>
      <c r="AH20" s="42">
        <f t="shared" si="7"/>
        <v>103779</v>
      </c>
    </row>
    <row r="21" spans="1:34">
      <c r="A21">
        <v>14.5</v>
      </c>
      <c r="B21">
        <v>21728</v>
      </c>
      <c r="C21">
        <v>481</v>
      </c>
      <c r="D21">
        <f t="shared" si="0"/>
        <v>2.7084333144278171E-2</v>
      </c>
      <c r="Q21" s="8">
        <v>13</v>
      </c>
      <c r="R21">
        <v>26</v>
      </c>
      <c r="S21">
        <v>4</v>
      </c>
      <c r="T21">
        <v>0</v>
      </c>
      <c r="U21" s="11">
        <v>30</v>
      </c>
      <c r="W21" s="29">
        <v>13</v>
      </c>
      <c r="X21" s="24">
        <f t="shared" si="8"/>
        <v>0.8666666666666667</v>
      </c>
      <c r="Y21" s="24">
        <f t="shared" si="3"/>
        <v>0.13333333333333333</v>
      </c>
      <c r="Z21" s="24">
        <f t="shared" si="4"/>
        <v>0</v>
      </c>
      <c r="AA21" s="28">
        <f t="shared" si="10"/>
        <v>1</v>
      </c>
      <c r="AC21">
        <v>13.25</v>
      </c>
      <c r="AD21" s="41">
        <v>13</v>
      </c>
      <c r="AE21" s="39">
        <f t="shared" si="6"/>
        <v>52195.866666666669</v>
      </c>
      <c r="AF21" s="39">
        <f t="shared" si="6"/>
        <v>8030.1333333333332</v>
      </c>
      <c r="AG21" s="39">
        <f t="shared" si="6"/>
        <v>0</v>
      </c>
      <c r="AH21" s="42">
        <f t="shared" si="7"/>
        <v>60226</v>
      </c>
    </row>
    <row r="22" spans="1:34">
      <c r="A22">
        <v>15</v>
      </c>
      <c r="B22">
        <v>14977</v>
      </c>
      <c r="C22">
        <v>371</v>
      </c>
      <c r="D22">
        <f t="shared" si="0"/>
        <v>1.8669093220814351E-2</v>
      </c>
      <c r="Q22" s="8">
        <v>13.5</v>
      </c>
      <c r="R22">
        <v>21</v>
      </c>
      <c r="S22">
        <v>8</v>
      </c>
      <c r="T22">
        <v>0</v>
      </c>
      <c r="U22" s="11">
        <v>29</v>
      </c>
      <c r="W22" s="29">
        <v>13.5</v>
      </c>
      <c r="X22" s="24">
        <f t="shared" si="8"/>
        <v>0.72413793103448276</v>
      </c>
      <c r="Y22" s="24">
        <f t="shared" si="3"/>
        <v>0.27586206896551724</v>
      </c>
      <c r="Z22" s="24">
        <f t="shared" si="4"/>
        <v>0</v>
      </c>
      <c r="AA22" s="28">
        <f t="shared" si="10"/>
        <v>1</v>
      </c>
      <c r="AC22">
        <v>13.75</v>
      </c>
      <c r="AD22" s="41">
        <v>13.5</v>
      </c>
      <c r="AE22" s="39">
        <f t="shared" ref="AE22:AG31" si="11">+X22*$B19</f>
        <v>44982</v>
      </c>
      <c r="AF22" s="39">
        <f t="shared" si="11"/>
        <v>17136</v>
      </c>
      <c r="AG22" s="39">
        <f t="shared" si="11"/>
        <v>0</v>
      </c>
      <c r="AH22" s="42">
        <f t="shared" si="7"/>
        <v>62118</v>
      </c>
    </row>
    <row r="23" spans="1:34">
      <c r="A23">
        <v>15.5</v>
      </c>
      <c r="B23">
        <v>11935</v>
      </c>
      <c r="C23">
        <v>330</v>
      </c>
      <c r="D23">
        <f t="shared" si="0"/>
        <v>1.4877186859212077E-2</v>
      </c>
      <c r="Q23" s="8">
        <v>14</v>
      </c>
      <c r="R23">
        <v>20</v>
      </c>
      <c r="S23">
        <v>10</v>
      </c>
      <c r="T23">
        <v>0</v>
      </c>
      <c r="U23" s="11">
        <v>30</v>
      </c>
      <c r="W23" s="29">
        <v>14</v>
      </c>
      <c r="X23" s="24">
        <f t="shared" si="8"/>
        <v>0.66666666666666663</v>
      </c>
      <c r="Y23" s="24">
        <f t="shared" si="3"/>
        <v>0.33333333333333331</v>
      </c>
      <c r="Z23" s="24">
        <f t="shared" si="4"/>
        <v>0</v>
      </c>
      <c r="AA23" s="28">
        <f t="shared" si="10"/>
        <v>1</v>
      </c>
      <c r="AC23">
        <v>14.25</v>
      </c>
      <c r="AD23" s="41">
        <v>14</v>
      </c>
      <c r="AE23" s="39">
        <f t="shared" si="11"/>
        <v>29334.666666666664</v>
      </c>
      <c r="AF23" s="39">
        <f t="shared" si="11"/>
        <v>14667.333333333332</v>
      </c>
      <c r="AG23" s="39">
        <f t="shared" si="11"/>
        <v>0</v>
      </c>
      <c r="AH23" s="42">
        <f t="shared" si="7"/>
        <v>44002</v>
      </c>
    </row>
    <row r="24" spans="1:34">
      <c r="A24">
        <v>16</v>
      </c>
      <c r="B24">
        <v>6803</v>
      </c>
      <c r="C24">
        <v>210</v>
      </c>
      <c r="D24">
        <f t="shared" si="0"/>
        <v>8.4800588356279648E-3</v>
      </c>
      <c r="Q24" s="8">
        <v>14.5</v>
      </c>
      <c r="R24">
        <v>19</v>
      </c>
      <c r="S24">
        <v>7</v>
      </c>
      <c r="T24">
        <v>0</v>
      </c>
      <c r="U24" s="11">
        <v>26</v>
      </c>
      <c r="W24" s="29">
        <v>14.5</v>
      </c>
      <c r="X24" s="24">
        <f t="shared" si="8"/>
        <v>0.73076923076923073</v>
      </c>
      <c r="Y24" s="24">
        <f t="shared" si="3"/>
        <v>0.26923076923076922</v>
      </c>
      <c r="Z24" s="24">
        <f t="shared" si="4"/>
        <v>0</v>
      </c>
      <c r="AA24" s="28">
        <f t="shared" si="10"/>
        <v>1</v>
      </c>
      <c r="AC24">
        <v>14.75</v>
      </c>
      <c r="AD24" s="41">
        <v>14.5</v>
      </c>
      <c r="AE24" s="39">
        <f t="shared" si="11"/>
        <v>15878.153846153846</v>
      </c>
      <c r="AF24" s="39">
        <f t="shared" si="11"/>
        <v>5849.8461538461534</v>
      </c>
      <c r="AG24" s="39">
        <f t="shared" si="11"/>
        <v>0</v>
      </c>
      <c r="AH24" s="42">
        <f t="shared" si="7"/>
        <v>21728</v>
      </c>
    </row>
    <row r="25" spans="1:34">
      <c r="A25">
        <v>16.5</v>
      </c>
      <c r="B25">
        <v>1912</v>
      </c>
      <c r="C25">
        <v>66</v>
      </c>
      <c r="D25">
        <f t="shared" si="0"/>
        <v>2.3833415395738155E-3</v>
      </c>
      <c r="Q25" s="8">
        <v>15</v>
      </c>
      <c r="R25">
        <v>5</v>
      </c>
      <c r="S25">
        <v>13</v>
      </c>
      <c r="T25">
        <v>1</v>
      </c>
      <c r="U25" s="11">
        <v>19</v>
      </c>
      <c r="W25" s="29">
        <v>15</v>
      </c>
      <c r="X25" s="24">
        <f t="shared" si="8"/>
        <v>0.26315789473684209</v>
      </c>
      <c r="Y25" s="24">
        <f t="shared" si="3"/>
        <v>0.68421052631578949</v>
      </c>
      <c r="Z25" s="24">
        <f t="shared" si="4"/>
        <v>5.2631578947368418E-2</v>
      </c>
      <c r="AA25" s="28">
        <f t="shared" si="10"/>
        <v>1</v>
      </c>
      <c r="AC25">
        <v>15.25</v>
      </c>
      <c r="AD25" s="41">
        <v>15</v>
      </c>
      <c r="AE25" s="39">
        <f t="shared" si="11"/>
        <v>3941.3157894736842</v>
      </c>
      <c r="AF25" s="39">
        <f t="shared" si="11"/>
        <v>10247.42105263158</v>
      </c>
      <c r="AG25" s="39">
        <f t="shared" si="11"/>
        <v>788.26315789473676</v>
      </c>
      <c r="AH25" s="42">
        <f t="shared" si="7"/>
        <v>14977</v>
      </c>
    </row>
    <row r="26" spans="1:34">
      <c r="A26">
        <v>17</v>
      </c>
      <c r="B26">
        <v>2180</v>
      </c>
      <c r="C26">
        <v>82</v>
      </c>
      <c r="D26">
        <f t="shared" si="0"/>
        <v>2.7174082407274676E-3</v>
      </c>
      <c r="Q26" s="8">
        <v>15.5</v>
      </c>
      <c r="R26">
        <v>1</v>
      </c>
      <c r="S26">
        <v>10</v>
      </c>
      <c r="T26">
        <v>3</v>
      </c>
      <c r="U26" s="11">
        <v>14</v>
      </c>
      <c r="W26" s="29">
        <v>15.5</v>
      </c>
      <c r="X26" s="24">
        <f t="shared" si="8"/>
        <v>7.1428571428571425E-2</v>
      </c>
      <c r="Y26" s="24">
        <f t="shared" si="3"/>
        <v>0.7142857142857143</v>
      </c>
      <c r="Z26" s="24">
        <f t="shared" si="4"/>
        <v>0.21428571428571427</v>
      </c>
      <c r="AA26" s="28">
        <f t="shared" si="10"/>
        <v>1</v>
      </c>
      <c r="AC26">
        <v>15.75</v>
      </c>
      <c r="AD26" s="41">
        <v>15.5</v>
      </c>
      <c r="AE26" s="39">
        <f t="shared" si="11"/>
        <v>852.5</v>
      </c>
      <c r="AF26" s="39">
        <f t="shared" si="11"/>
        <v>8525</v>
      </c>
      <c r="AG26" s="39">
        <f t="shared" si="11"/>
        <v>2557.5</v>
      </c>
      <c r="AH26" s="42">
        <f>SUM(AE26:AG26)</f>
        <v>11935</v>
      </c>
    </row>
    <row r="27" spans="1:34">
      <c r="A27">
        <v>17.5</v>
      </c>
      <c r="B27">
        <v>269</v>
      </c>
      <c r="C27">
        <v>11</v>
      </c>
      <c r="D27">
        <f t="shared" si="0"/>
        <v>3.3531321869527007E-4</v>
      </c>
      <c r="Q27" s="8">
        <v>16</v>
      </c>
      <c r="R27">
        <v>3</v>
      </c>
      <c r="S27">
        <v>8</v>
      </c>
      <c r="T27">
        <v>2</v>
      </c>
      <c r="U27" s="11">
        <v>13</v>
      </c>
      <c r="W27" s="29">
        <v>16</v>
      </c>
      <c r="X27" s="24">
        <f t="shared" si="8"/>
        <v>0.23076923076923078</v>
      </c>
      <c r="Y27" s="24">
        <f t="shared" si="3"/>
        <v>0.61538461538461542</v>
      </c>
      <c r="Z27" s="24">
        <f t="shared" si="4"/>
        <v>0.15384615384615385</v>
      </c>
      <c r="AA27" s="28">
        <f t="shared" si="10"/>
        <v>1</v>
      </c>
      <c r="AC27">
        <v>16.25</v>
      </c>
      <c r="AD27" s="41">
        <v>16</v>
      </c>
      <c r="AE27" s="39">
        <f t="shared" si="11"/>
        <v>1569.9230769230769</v>
      </c>
      <c r="AF27" s="39">
        <f t="shared" si="11"/>
        <v>4186.461538461539</v>
      </c>
      <c r="AG27" s="39">
        <f t="shared" si="11"/>
        <v>1046.6153846153848</v>
      </c>
      <c r="AH27" s="42">
        <f t="shared" si="7"/>
        <v>6803.0000000000009</v>
      </c>
    </row>
    <row r="28" spans="1:34">
      <c r="A28">
        <v>18</v>
      </c>
      <c r="B28">
        <v>323</v>
      </c>
      <c r="C28">
        <v>15</v>
      </c>
      <c r="D28">
        <f t="shared" si="0"/>
        <v>4.0262516594264774E-4</v>
      </c>
      <c r="Q28" s="8">
        <v>16.5</v>
      </c>
      <c r="R28">
        <v>1</v>
      </c>
      <c r="S28">
        <v>7</v>
      </c>
      <c r="T28">
        <v>5</v>
      </c>
      <c r="U28" s="11">
        <v>13</v>
      </c>
      <c r="W28" s="29">
        <v>16.5</v>
      </c>
      <c r="X28" s="24">
        <f t="shared" si="8"/>
        <v>7.6923076923076927E-2</v>
      </c>
      <c r="Y28" s="24">
        <f t="shared" si="3"/>
        <v>0.53846153846153844</v>
      </c>
      <c r="Z28" s="24">
        <f t="shared" si="4"/>
        <v>0.38461538461538464</v>
      </c>
      <c r="AA28" s="28">
        <f t="shared" si="10"/>
        <v>1</v>
      </c>
      <c r="AC28">
        <v>16.75</v>
      </c>
      <c r="AD28" s="41">
        <v>16.5</v>
      </c>
      <c r="AE28" s="39">
        <f t="shared" si="11"/>
        <v>147.07692307692309</v>
      </c>
      <c r="AF28" s="39">
        <f t="shared" si="11"/>
        <v>1029.5384615384614</v>
      </c>
      <c r="AG28" s="39">
        <f t="shared" si="11"/>
        <v>735.38461538461547</v>
      </c>
      <c r="AH28" s="42">
        <f t="shared" si="7"/>
        <v>1912</v>
      </c>
    </row>
    <row r="29" spans="1:34">
      <c r="A29">
        <v>18.5</v>
      </c>
      <c r="B29">
        <v>0</v>
      </c>
      <c r="C29">
        <v>0</v>
      </c>
      <c r="D29">
        <f t="shared" si="0"/>
        <v>0</v>
      </c>
      <c r="Q29" s="8">
        <v>17</v>
      </c>
      <c r="R29">
        <v>2</v>
      </c>
      <c r="S29">
        <v>7</v>
      </c>
      <c r="T29">
        <v>2</v>
      </c>
      <c r="U29" s="11">
        <v>11</v>
      </c>
      <c r="W29" s="29">
        <v>17</v>
      </c>
      <c r="X29" s="24">
        <f t="shared" si="8"/>
        <v>0.18181818181818182</v>
      </c>
      <c r="Y29" s="24">
        <f t="shared" si="3"/>
        <v>0.63636363636363635</v>
      </c>
      <c r="Z29" s="24">
        <f t="shared" si="4"/>
        <v>0.18181818181818182</v>
      </c>
      <c r="AA29" s="28">
        <f t="shared" si="10"/>
        <v>1</v>
      </c>
      <c r="AC29">
        <v>17.25</v>
      </c>
      <c r="AD29" s="41">
        <v>17</v>
      </c>
      <c r="AE29" s="39">
        <f t="shared" si="11"/>
        <v>396.36363636363637</v>
      </c>
      <c r="AF29" s="39">
        <f t="shared" si="11"/>
        <v>1387.2727272727273</v>
      </c>
      <c r="AG29" s="39">
        <f t="shared" si="11"/>
        <v>396.36363636363637</v>
      </c>
      <c r="AH29" s="42">
        <f t="shared" si="7"/>
        <v>2180</v>
      </c>
    </row>
    <row r="30" spans="1:34">
      <c r="A30">
        <v>19</v>
      </c>
      <c r="B30">
        <v>0</v>
      </c>
      <c r="C30">
        <v>0</v>
      </c>
      <c r="D30">
        <f t="shared" si="0"/>
        <v>0</v>
      </c>
      <c r="Q30" s="8">
        <v>17.5</v>
      </c>
      <c r="R30">
        <v>1</v>
      </c>
      <c r="S30">
        <v>5</v>
      </c>
      <c r="T30">
        <v>4</v>
      </c>
      <c r="U30" s="11">
        <v>10</v>
      </c>
      <c r="W30" s="29">
        <v>17.5</v>
      </c>
      <c r="X30" s="24">
        <f t="shared" si="8"/>
        <v>0.1</v>
      </c>
      <c r="Y30" s="24">
        <f t="shared" si="3"/>
        <v>0.5</v>
      </c>
      <c r="Z30" s="24">
        <f t="shared" si="4"/>
        <v>0.4</v>
      </c>
      <c r="AA30" s="28">
        <f t="shared" si="10"/>
        <v>1</v>
      </c>
      <c r="AC30">
        <v>17.75</v>
      </c>
      <c r="AD30" s="41">
        <v>17.5</v>
      </c>
      <c r="AE30" s="39">
        <f t="shared" si="11"/>
        <v>26.900000000000002</v>
      </c>
      <c r="AF30" s="39">
        <f t="shared" si="11"/>
        <v>134.5</v>
      </c>
      <c r="AG30" s="39">
        <f t="shared" si="11"/>
        <v>107.60000000000001</v>
      </c>
      <c r="AH30" s="42">
        <f t="shared" si="7"/>
        <v>269</v>
      </c>
    </row>
    <row r="31" spans="1:34">
      <c r="A31">
        <v>19.5</v>
      </c>
      <c r="B31">
        <v>0</v>
      </c>
      <c r="C31">
        <v>0</v>
      </c>
      <c r="D31">
        <f t="shared" si="0"/>
        <v>0</v>
      </c>
      <c r="Q31" s="8">
        <v>18</v>
      </c>
      <c r="R31">
        <v>0</v>
      </c>
      <c r="S31">
        <v>4</v>
      </c>
      <c r="T31">
        <v>6</v>
      </c>
      <c r="U31" s="11">
        <v>10</v>
      </c>
      <c r="W31" s="29">
        <v>18</v>
      </c>
      <c r="X31" s="24">
        <f t="shared" ref="X31" si="12">+R31/$U31</f>
        <v>0</v>
      </c>
      <c r="Y31" s="24">
        <f t="shared" si="3"/>
        <v>0.4</v>
      </c>
      <c r="Z31" s="24">
        <f t="shared" si="4"/>
        <v>0.6</v>
      </c>
      <c r="AA31" s="28">
        <f t="shared" si="10"/>
        <v>1</v>
      </c>
      <c r="AC31">
        <v>18.25</v>
      </c>
      <c r="AD31" s="41">
        <v>18</v>
      </c>
      <c r="AE31" s="39">
        <f t="shared" si="11"/>
        <v>0</v>
      </c>
      <c r="AF31" s="39">
        <f t="shared" si="11"/>
        <v>129.20000000000002</v>
      </c>
      <c r="AG31" s="39">
        <f t="shared" si="11"/>
        <v>193.79999999999998</v>
      </c>
      <c r="AH31" s="42">
        <f t="shared" si="7"/>
        <v>323</v>
      </c>
    </row>
    <row r="32" spans="1:34">
      <c r="A32">
        <v>20</v>
      </c>
      <c r="B32">
        <v>0</v>
      </c>
      <c r="C32">
        <v>0</v>
      </c>
      <c r="D32">
        <f t="shared" si="0"/>
        <v>0</v>
      </c>
      <c r="Q32" s="15" t="s">
        <v>8</v>
      </c>
      <c r="R32" s="26">
        <v>370</v>
      </c>
      <c r="S32" s="13">
        <v>84</v>
      </c>
      <c r="T32" s="27">
        <v>23</v>
      </c>
      <c r="U32" s="27">
        <v>477</v>
      </c>
      <c r="W32" s="12" t="s">
        <v>8</v>
      </c>
      <c r="X32" s="13">
        <f>+R32/$U32</f>
        <v>0.77568134171907754</v>
      </c>
      <c r="Y32" s="13">
        <f>+S32/$U32</f>
        <v>0.1761006289308176</v>
      </c>
      <c r="Z32" s="13">
        <f>+T32/$U32</f>
        <v>4.8218029350104823E-2</v>
      </c>
      <c r="AA32" s="14">
        <f>SUM(X32:Z32)</f>
        <v>0.99999999999999989</v>
      </c>
      <c r="AB32" s="20"/>
      <c r="AD32" s="43" t="s">
        <v>8</v>
      </c>
      <c r="AE32" s="36">
        <f>SUM(AE5:AE31)</f>
        <v>722780.56660532462</v>
      </c>
      <c r="AF32" s="36">
        <f>SUM(AF5:AF31)</f>
        <v>73628.906600417133</v>
      </c>
      <c r="AG32" s="36">
        <f t="shared" ref="AG32" si="13">SUM(AG5:AG31)</f>
        <v>5825.5267942583732</v>
      </c>
      <c r="AH32" s="44">
        <f>SUM(AH5:AH31)</f>
        <v>802235</v>
      </c>
    </row>
    <row r="33" spans="1:34">
      <c r="A33">
        <v>20.5</v>
      </c>
      <c r="B33">
        <v>0</v>
      </c>
      <c r="C33">
        <v>0</v>
      </c>
      <c r="D33">
        <f t="shared" si="0"/>
        <v>0</v>
      </c>
      <c r="AD33" s="44" t="s">
        <v>15</v>
      </c>
      <c r="AE33" s="45">
        <f>+AE32/$AH$32*100</f>
        <v>90.095865501420974</v>
      </c>
      <c r="AF33" s="45">
        <f t="shared" ref="AF33:AH33" si="14">+AF32/$AH$32*100</f>
        <v>9.177972364758098</v>
      </c>
      <c r="AG33" s="45">
        <f t="shared" si="14"/>
        <v>0.72616213382093442</v>
      </c>
      <c r="AH33" s="46">
        <f t="shared" si="14"/>
        <v>100</v>
      </c>
    </row>
    <row r="34" spans="1:34">
      <c r="A34">
        <v>21</v>
      </c>
      <c r="B34">
        <v>0</v>
      </c>
      <c r="C34">
        <v>0</v>
      </c>
      <c r="D34">
        <f t="shared" si="0"/>
        <v>0</v>
      </c>
      <c r="AD34" s="44" t="s">
        <v>16</v>
      </c>
      <c r="AE34" s="45">
        <f>SUMPRODUCT(AE5:AE31,$AC$5:$AC$31)/AE$32</f>
        <v>12.174167840275143</v>
      </c>
      <c r="AF34" s="45">
        <f>SUMPRODUCT(AF5:AF31,$AC$5:$AC$31)/AF$32</f>
        <v>14.548775972977491</v>
      </c>
      <c r="AG34" s="45">
        <f>SUMPRODUCT(AG5:AG31,$AC$5:$AC$31)/AG$32</f>
        <v>16.12057698977852</v>
      </c>
      <c r="AH34" s="46">
        <f>SUMPRODUCT(AH5:AH31,$AC$5:$AC$31)/AH$32</f>
        <v>12.420766047355201</v>
      </c>
    </row>
    <row r="35" spans="1:34">
      <c r="A35">
        <v>21.5</v>
      </c>
      <c r="B35">
        <v>0</v>
      </c>
      <c r="C35">
        <v>0</v>
      </c>
      <c r="D35">
        <f t="shared" si="0"/>
        <v>0</v>
      </c>
    </row>
    <row r="36" spans="1:34">
      <c r="A36">
        <v>22</v>
      </c>
      <c r="B36">
        <v>0</v>
      </c>
      <c r="C36">
        <v>0</v>
      </c>
      <c r="D36">
        <f t="shared" si="0"/>
        <v>0</v>
      </c>
    </row>
    <row r="37" spans="1:34">
      <c r="A37">
        <v>22.5</v>
      </c>
      <c r="B37">
        <v>0</v>
      </c>
      <c r="C37">
        <v>0</v>
      </c>
      <c r="D37">
        <f t="shared" si="0"/>
        <v>0</v>
      </c>
      <c r="AD37" t="s">
        <v>8</v>
      </c>
      <c r="AE37">
        <f>722780.566605325/1000</f>
        <v>722.78056660532502</v>
      </c>
      <c r="AF37">
        <f>73628.9066004171/1000</f>
        <v>73.62890660041711</v>
      </c>
      <c r="AG37">
        <f>5825.52679425837/1000</f>
        <v>5.8255267942583693</v>
      </c>
      <c r="AH37">
        <f>802235/1000</f>
        <v>802.23500000000001</v>
      </c>
    </row>
    <row r="38" spans="1:34">
      <c r="A38">
        <v>23</v>
      </c>
      <c r="B38">
        <v>0</v>
      </c>
      <c r="C38">
        <v>0</v>
      </c>
      <c r="D38">
        <f t="shared" si="0"/>
        <v>0</v>
      </c>
    </row>
    <row r="39" spans="1:34">
      <c r="A39">
        <v>23.5</v>
      </c>
      <c r="B39">
        <v>0</v>
      </c>
      <c r="C39">
        <v>0</v>
      </c>
      <c r="D39">
        <f t="shared" si="0"/>
        <v>0</v>
      </c>
    </row>
    <row r="40" spans="1:34">
      <c r="A40">
        <v>24</v>
      </c>
      <c r="B40">
        <v>0</v>
      </c>
      <c r="C40">
        <v>0</v>
      </c>
      <c r="D40">
        <f t="shared" si="0"/>
        <v>0</v>
      </c>
    </row>
    <row r="41" spans="1:34">
      <c r="A41">
        <v>24.5</v>
      </c>
      <c r="B41">
        <v>0</v>
      </c>
      <c r="C41">
        <v>0</v>
      </c>
      <c r="D41">
        <f t="shared" si="0"/>
        <v>0</v>
      </c>
    </row>
    <row r="42" spans="1:34">
      <c r="A42">
        <v>25</v>
      </c>
      <c r="B42">
        <v>0</v>
      </c>
      <c r="C42">
        <v>0</v>
      </c>
      <c r="D42">
        <f t="shared" si="0"/>
        <v>0</v>
      </c>
    </row>
    <row r="43" spans="1:34">
      <c r="A43">
        <v>25.5</v>
      </c>
      <c r="B43">
        <v>0</v>
      </c>
      <c r="C43">
        <v>0</v>
      </c>
      <c r="D43">
        <f t="shared" si="0"/>
        <v>0</v>
      </c>
    </row>
    <row r="44" spans="1:34">
      <c r="B44">
        <f>SUM(B2:B43)</f>
        <v>802235</v>
      </c>
      <c r="C44">
        <f>SUM(C2:C43)</f>
        <v>10393</v>
      </c>
      <c r="D44">
        <f>SUM(D2:D43)</f>
        <v>1</v>
      </c>
    </row>
  </sheetData>
  <mergeCells count="13">
    <mergeCell ref="AH3:AH4"/>
    <mergeCell ref="W1:AA1"/>
    <mergeCell ref="AD1:AH1"/>
    <mergeCell ref="AD2:AH2"/>
    <mergeCell ref="W3:W4"/>
    <mergeCell ref="X3:Z3"/>
    <mergeCell ref="AA3:AA4"/>
    <mergeCell ref="AD3:AD4"/>
    <mergeCell ref="Q1:U1"/>
    <mergeCell ref="Q3:Q4"/>
    <mergeCell ref="R3:T3"/>
    <mergeCell ref="U3:U4"/>
    <mergeCell ref="AE3:AG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90"/>
  <sheetViews>
    <sheetView topLeftCell="U46" workbookViewId="0">
      <selection activeCell="J44" sqref="J44"/>
    </sheetView>
  </sheetViews>
  <sheetFormatPr baseColWidth="10" defaultColWidth="9.109375" defaultRowHeight="14.4"/>
  <cols>
    <col min="29" max="29" width="8" customWidth="1"/>
    <col min="34" max="34" width="10" customWidth="1"/>
  </cols>
  <sheetData>
    <row r="1" spans="1:10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1</v>
      </c>
      <c r="G1" t="s">
        <v>2</v>
      </c>
      <c r="H1" t="s">
        <v>0</v>
      </c>
      <c r="I1" t="s">
        <v>3</v>
      </c>
      <c r="J1" t="s">
        <v>4</v>
      </c>
    </row>
    <row r="2" spans="1:10">
      <c r="A2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5</v>
      </c>
      <c r="I2">
        <f>B2+D2+F2</f>
        <v>0</v>
      </c>
      <c r="J2">
        <f>C2+E2+G2</f>
        <v>0</v>
      </c>
    </row>
    <row r="3" spans="1:10">
      <c r="A3">
        <v>5.5</v>
      </c>
      <c r="B3">
        <v>90</v>
      </c>
      <c r="C3">
        <v>0</v>
      </c>
      <c r="D3">
        <v>0</v>
      </c>
      <c r="E3">
        <v>0</v>
      </c>
      <c r="F3">
        <v>0</v>
      </c>
      <c r="G3">
        <v>0</v>
      </c>
      <c r="H3">
        <v>5.5</v>
      </c>
      <c r="I3">
        <f t="shared" ref="I3:I44" si="0">B3+D3+F3</f>
        <v>90</v>
      </c>
      <c r="J3">
        <f t="shared" ref="J3:J44" si="1">C3+E3+G3</f>
        <v>0</v>
      </c>
    </row>
    <row r="4" spans="1:10">
      <c r="A4">
        <v>6</v>
      </c>
      <c r="B4">
        <v>90</v>
      </c>
      <c r="C4">
        <v>0</v>
      </c>
      <c r="D4">
        <v>0</v>
      </c>
      <c r="E4">
        <v>0</v>
      </c>
      <c r="F4">
        <v>0</v>
      </c>
      <c r="G4">
        <v>0</v>
      </c>
      <c r="H4">
        <v>6</v>
      </c>
      <c r="I4">
        <f t="shared" si="0"/>
        <v>90</v>
      </c>
      <c r="J4">
        <f t="shared" si="1"/>
        <v>0</v>
      </c>
    </row>
    <row r="5" spans="1:10">
      <c r="A5">
        <v>6.5</v>
      </c>
      <c r="B5">
        <v>494</v>
      </c>
      <c r="C5">
        <v>1</v>
      </c>
      <c r="D5">
        <v>0</v>
      </c>
      <c r="E5">
        <v>0</v>
      </c>
      <c r="F5">
        <v>0</v>
      </c>
      <c r="G5">
        <v>0</v>
      </c>
      <c r="H5">
        <v>6.5</v>
      </c>
      <c r="I5">
        <f t="shared" si="0"/>
        <v>494</v>
      </c>
      <c r="J5">
        <f t="shared" si="1"/>
        <v>1</v>
      </c>
    </row>
    <row r="6" spans="1:10">
      <c r="A6">
        <v>7</v>
      </c>
      <c r="B6">
        <v>763</v>
      </c>
      <c r="C6">
        <v>2</v>
      </c>
      <c r="D6">
        <v>0</v>
      </c>
      <c r="E6">
        <v>0</v>
      </c>
      <c r="F6">
        <v>0</v>
      </c>
      <c r="G6">
        <v>0</v>
      </c>
      <c r="H6">
        <v>7</v>
      </c>
      <c r="I6">
        <f t="shared" si="0"/>
        <v>763</v>
      </c>
      <c r="J6">
        <f t="shared" si="1"/>
        <v>2</v>
      </c>
    </row>
    <row r="7" spans="1:10">
      <c r="A7">
        <v>7.5</v>
      </c>
      <c r="B7">
        <v>1079</v>
      </c>
      <c r="C7">
        <v>3</v>
      </c>
      <c r="D7">
        <v>0</v>
      </c>
      <c r="E7">
        <v>0</v>
      </c>
      <c r="F7">
        <v>0</v>
      </c>
      <c r="G7">
        <v>0</v>
      </c>
      <c r="H7">
        <v>7.5</v>
      </c>
      <c r="I7">
        <f t="shared" si="0"/>
        <v>1079</v>
      </c>
      <c r="J7">
        <f t="shared" si="1"/>
        <v>3</v>
      </c>
    </row>
    <row r="8" spans="1:10">
      <c r="A8">
        <v>8</v>
      </c>
      <c r="B8">
        <v>1168</v>
      </c>
      <c r="C8">
        <v>4</v>
      </c>
      <c r="D8">
        <v>0</v>
      </c>
      <c r="E8">
        <v>0</v>
      </c>
      <c r="F8">
        <v>0</v>
      </c>
      <c r="G8">
        <v>0</v>
      </c>
      <c r="H8">
        <v>8</v>
      </c>
      <c r="I8">
        <f t="shared" si="0"/>
        <v>1168</v>
      </c>
      <c r="J8">
        <f t="shared" si="1"/>
        <v>4</v>
      </c>
    </row>
    <row r="9" spans="1:10">
      <c r="A9">
        <v>8.5</v>
      </c>
      <c r="B9">
        <v>1438</v>
      </c>
      <c r="C9">
        <v>5</v>
      </c>
      <c r="D9">
        <v>0</v>
      </c>
      <c r="E9">
        <v>0</v>
      </c>
      <c r="F9">
        <v>0</v>
      </c>
      <c r="G9">
        <v>0</v>
      </c>
      <c r="H9">
        <v>8.5</v>
      </c>
      <c r="I9">
        <f t="shared" si="0"/>
        <v>1438</v>
      </c>
      <c r="J9">
        <f t="shared" si="1"/>
        <v>5</v>
      </c>
    </row>
    <row r="10" spans="1:10">
      <c r="A10">
        <v>9</v>
      </c>
      <c r="B10">
        <v>2561</v>
      </c>
      <c r="C10">
        <v>12</v>
      </c>
      <c r="D10">
        <v>0</v>
      </c>
      <c r="E10">
        <v>0</v>
      </c>
      <c r="F10">
        <v>0</v>
      </c>
      <c r="G10">
        <v>0</v>
      </c>
      <c r="H10">
        <v>9</v>
      </c>
      <c r="I10">
        <f t="shared" si="0"/>
        <v>2561</v>
      </c>
      <c r="J10">
        <f t="shared" si="1"/>
        <v>12</v>
      </c>
    </row>
    <row r="11" spans="1:10">
      <c r="A11">
        <v>9.5</v>
      </c>
      <c r="B11">
        <v>4125</v>
      </c>
      <c r="C11">
        <v>22</v>
      </c>
      <c r="D11">
        <v>0</v>
      </c>
      <c r="E11">
        <v>0</v>
      </c>
      <c r="F11">
        <v>221253</v>
      </c>
      <c r="G11">
        <v>1193</v>
      </c>
      <c r="H11">
        <v>9.5</v>
      </c>
      <c r="I11">
        <f t="shared" si="0"/>
        <v>225378</v>
      </c>
      <c r="J11">
        <f t="shared" si="1"/>
        <v>1215</v>
      </c>
    </row>
    <row r="12" spans="1:10">
      <c r="A12">
        <v>10</v>
      </c>
      <c r="B12">
        <v>7700</v>
      </c>
      <c r="C12">
        <v>49</v>
      </c>
      <c r="D12">
        <v>0</v>
      </c>
      <c r="E12">
        <v>0</v>
      </c>
      <c r="F12">
        <v>507208</v>
      </c>
      <c r="G12">
        <v>3245</v>
      </c>
      <c r="H12">
        <v>10</v>
      </c>
      <c r="I12">
        <f t="shared" si="0"/>
        <v>514908</v>
      </c>
      <c r="J12">
        <f t="shared" si="1"/>
        <v>3294</v>
      </c>
    </row>
    <row r="13" spans="1:10">
      <c r="A13">
        <v>10.5</v>
      </c>
      <c r="B13">
        <v>77925</v>
      </c>
      <c r="C13">
        <v>586</v>
      </c>
      <c r="D13">
        <v>0</v>
      </c>
      <c r="E13">
        <v>0</v>
      </c>
      <c r="F13">
        <v>982579</v>
      </c>
      <c r="G13">
        <v>7393</v>
      </c>
      <c r="H13">
        <v>10.5</v>
      </c>
      <c r="I13">
        <f t="shared" si="0"/>
        <v>1060504</v>
      </c>
      <c r="J13">
        <f t="shared" si="1"/>
        <v>7979</v>
      </c>
    </row>
    <row r="14" spans="1:10">
      <c r="A14">
        <v>11</v>
      </c>
      <c r="B14">
        <v>114448</v>
      </c>
      <c r="C14">
        <v>1006</v>
      </c>
      <c r="D14">
        <v>3122</v>
      </c>
      <c r="E14">
        <v>27</v>
      </c>
      <c r="F14">
        <v>698212</v>
      </c>
      <c r="G14">
        <v>6135</v>
      </c>
      <c r="H14">
        <v>11</v>
      </c>
      <c r="I14">
        <f t="shared" si="0"/>
        <v>815782</v>
      </c>
      <c r="J14">
        <f t="shared" si="1"/>
        <v>7168</v>
      </c>
    </row>
    <row r="15" spans="1:10">
      <c r="A15">
        <v>11.5</v>
      </c>
      <c r="B15">
        <v>95258</v>
      </c>
      <c r="C15">
        <v>971</v>
      </c>
      <c r="D15">
        <v>19519</v>
      </c>
      <c r="E15">
        <v>199</v>
      </c>
      <c r="F15">
        <v>506405</v>
      </c>
      <c r="G15">
        <v>5160</v>
      </c>
      <c r="H15">
        <v>11.5</v>
      </c>
      <c r="I15">
        <f t="shared" si="0"/>
        <v>621182</v>
      </c>
      <c r="J15">
        <f t="shared" si="1"/>
        <v>6330</v>
      </c>
    </row>
    <row r="16" spans="1:10">
      <c r="A16">
        <v>12</v>
      </c>
      <c r="B16">
        <v>92207</v>
      </c>
      <c r="C16">
        <v>1084</v>
      </c>
      <c r="D16">
        <v>49996</v>
      </c>
      <c r="E16">
        <v>587</v>
      </c>
      <c r="F16">
        <v>325938</v>
      </c>
      <c r="G16">
        <v>3828</v>
      </c>
      <c r="H16">
        <v>12</v>
      </c>
      <c r="I16">
        <f t="shared" si="0"/>
        <v>468141</v>
      </c>
      <c r="J16">
        <f t="shared" si="1"/>
        <v>5499</v>
      </c>
    </row>
    <row r="17" spans="1:10">
      <c r="A17">
        <v>12.5</v>
      </c>
      <c r="B17">
        <v>62454</v>
      </c>
      <c r="C17">
        <v>841</v>
      </c>
      <c r="D17">
        <v>41325</v>
      </c>
      <c r="E17">
        <v>556</v>
      </c>
      <c r="F17">
        <v>242287</v>
      </c>
      <c r="G17">
        <v>3261</v>
      </c>
      <c r="H17">
        <v>12.5</v>
      </c>
      <c r="I17">
        <f t="shared" si="0"/>
        <v>346066</v>
      </c>
      <c r="J17">
        <f t="shared" si="1"/>
        <v>4658</v>
      </c>
    </row>
    <row r="18" spans="1:10">
      <c r="A18">
        <v>13</v>
      </c>
      <c r="B18">
        <v>47565</v>
      </c>
      <c r="C18">
        <v>730</v>
      </c>
      <c r="D18">
        <v>12661</v>
      </c>
      <c r="E18">
        <v>194</v>
      </c>
      <c r="F18">
        <v>47470</v>
      </c>
      <c r="G18">
        <v>729</v>
      </c>
      <c r="H18">
        <v>13</v>
      </c>
      <c r="I18">
        <f t="shared" si="0"/>
        <v>107696</v>
      </c>
      <c r="J18">
        <f t="shared" si="1"/>
        <v>1653</v>
      </c>
    </row>
    <row r="19" spans="1:10">
      <c r="A19">
        <v>13.5</v>
      </c>
      <c r="B19">
        <v>45374</v>
      </c>
      <c r="C19">
        <v>791</v>
      </c>
      <c r="D19">
        <v>16744</v>
      </c>
      <c r="E19">
        <v>292</v>
      </c>
      <c r="F19">
        <v>0</v>
      </c>
      <c r="G19">
        <v>0</v>
      </c>
      <c r="H19">
        <v>13.5</v>
      </c>
      <c r="I19">
        <f t="shared" si="0"/>
        <v>62118</v>
      </c>
      <c r="J19">
        <f t="shared" si="1"/>
        <v>1083</v>
      </c>
    </row>
    <row r="20" spans="1:10">
      <c r="A20">
        <v>14</v>
      </c>
      <c r="B20">
        <v>35015</v>
      </c>
      <c r="C20">
        <v>688</v>
      </c>
      <c r="D20">
        <v>8987</v>
      </c>
      <c r="E20">
        <v>177</v>
      </c>
      <c r="F20">
        <v>0</v>
      </c>
      <c r="G20">
        <v>0</v>
      </c>
      <c r="H20">
        <v>14</v>
      </c>
      <c r="I20">
        <f t="shared" si="0"/>
        <v>44002</v>
      </c>
      <c r="J20">
        <f t="shared" si="1"/>
        <v>865</v>
      </c>
    </row>
    <row r="21" spans="1:10">
      <c r="A21">
        <v>14.5</v>
      </c>
      <c r="B21">
        <v>18464</v>
      </c>
      <c r="C21">
        <v>409</v>
      </c>
      <c r="D21">
        <v>3264</v>
      </c>
      <c r="E21">
        <v>72</v>
      </c>
      <c r="F21">
        <v>0</v>
      </c>
      <c r="G21">
        <v>0</v>
      </c>
      <c r="H21">
        <v>14.5</v>
      </c>
      <c r="I21">
        <f t="shared" si="0"/>
        <v>21728</v>
      </c>
      <c r="J21">
        <f t="shared" si="1"/>
        <v>481</v>
      </c>
    </row>
    <row r="22" spans="1:10">
      <c r="A22">
        <v>15</v>
      </c>
      <c r="B22">
        <v>13337</v>
      </c>
      <c r="C22">
        <v>330</v>
      </c>
      <c r="D22">
        <v>1640</v>
      </c>
      <c r="E22">
        <v>41</v>
      </c>
      <c r="F22">
        <v>0</v>
      </c>
      <c r="G22">
        <v>0</v>
      </c>
      <c r="H22">
        <v>15</v>
      </c>
      <c r="I22">
        <f t="shared" si="0"/>
        <v>14977</v>
      </c>
      <c r="J22">
        <f t="shared" si="1"/>
        <v>371</v>
      </c>
    </row>
    <row r="23" spans="1:10">
      <c r="A23">
        <v>15.5</v>
      </c>
      <c r="B23">
        <v>11525</v>
      </c>
      <c r="C23">
        <v>319</v>
      </c>
      <c r="D23">
        <v>410</v>
      </c>
      <c r="E23">
        <v>11</v>
      </c>
      <c r="F23">
        <v>0</v>
      </c>
      <c r="G23">
        <v>0</v>
      </c>
      <c r="H23">
        <v>15.5</v>
      </c>
      <c r="I23">
        <f t="shared" si="0"/>
        <v>11935</v>
      </c>
      <c r="J23">
        <f t="shared" si="1"/>
        <v>330</v>
      </c>
    </row>
    <row r="24" spans="1:10">
      <c r="A24">
        <v>16</v>
      </c>
      <c r="B24">
        <v>6803</v>
      </c>
      <c r="C24">
        <v>210</v>
      </c>
      <c r="D24">
        <v>0</v>
      </c>
      <c r="E24">
        <v>0</v>
      </c>
      <c r="F24">
        <v>0</v>
      </c>
      <c r="G24">
        <v>0</v>
      </c>
      <c r="H24">
        <v>16</v>
      </c>
      <c r="I24">
        <f t="shared" si="0"/>
        <v>6803</v>
      </c>
      <c r="J24">
        <f t="shared" si="1"/>
        <v>210</v>
      </c>
    </row>
    <row r="25" spans="1:10">
      <c r="A25">
        <v>16.5</v>
      </c>
      <c r="B25">
        <v>1912</v>
      </c>
      <c r="C25">
        <v>66</v>
      </c>
      <c r="D25">
        <v>0</v>
      </c>
      <c r="E25">
        <v>0</v>
      </c>
      <c r="F25">
        <v>0</v>
      </c>
      <c r="G25">
        <v>0</v>
      </c>
      <c r="H25">
        <v>16.5</v>
      </c>
      <c r="I25">
        <f t="shared" si="0"/>
        <v>1912</v>
      </c>
      <c r="J25">
        <f t="shared" si="1"/>
        <v>66</v>
      </c>
    </row>
    <row r="26" spans="1:10">
      <c r="A26">
        <v>17</v>
      </c>
      <c r="B26">
        <v>2180</v>
      </c>
      <c r="C26">
        <v>82</v>
      </c>
      <c r="D26">
        <v>0</v>
      </c>
      <c r="E26">
        <v>0</v>
      </c>
      <c r="F26">
        <v>0</v>
      </c>
      <c r="G26">
        <v>0</v>
      </c>
      <c r="H26">
        <v>17</v>
      </c>
      <c r="I26">
        <f t="shared" si="0"/>
        <v>2180</v>
      </c>
      <c r="J26">
        <f t="shared" si="1"/>
        <v>82</v>
      </c>
    </row>
    <row r="27" spans="1:10">
      <c r="A27">
        <v>17.5</v>
      </c>
      <c r="B27">
        <v>269</v>
      </c>
      <c r="C27">
        <v>11</v>
      </c>
      <c r="D27">
        <v>0</v>
      </c>
      <c r="E27">
        <v>0</v>
      </c>
      <c r="F27">
        <v>0</v>
      </c>
      <c r="G27">
        <v>0</v>
      </c>
      <c r="H27">
        <v>17.5</v>
      </c>
      <c r="I27">
        <f t="shared" si="0"/>
        <v>269</v>
      </c>
      <c r="J27">
        <f t="shared" si="1"/>
        <v>11</v>
      </c>
    </row>
    <row r="28" spans="1:10">
      <c r="A28">
        <v>18</v>
      </c>
      <c r="B28">
        <v>323</v>
      </c>
      <c r="C28">
        <v>15</v>
      </c>
      <c r="D28">
        <v>0</v>
      </c>
      <c r="E28">
        <v>0</v>
      </c>
      <c r="F28">
        <v>0</v>
      </c>
      <c r="G28">
        <v>0</v>
      </c>
      <c r="H28">
        <v>18</v>
      </c>
      <c r="I28">
        <f t="shared" si="0"/>
        <v>323</v>
      </c>
      <c r="J28">
        <f t="shared" si="1"/>
        <v>15</v>
      </c>
    </row>
    <row r="29" spans="1:10">
      <c r="A29">
        <v>18.5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18.5</v>
      </c>
      <c r="I29">
        <f t="shared" si="0"/>
        <v>0</v>
      </c>
      <c r="J29">
        <f t="shared" si="1"/>
        <v>0</v>
      </c>
    </row>
    <row r="30" spans="1:10">
      <c r="A30">
        <v>19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19</v>
      </c>
      <c r="I30">
        <f t="shared" si="0"/>
        <v>0</v>
      </c>
      <c r="J30">
        <f t="shared" si="1"/>
        <v>0</v>
      </c>
    </row>
    <row r="31" spans="1:10">
      <c r="A31">
        <v>19.5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19.5</v>
      </c>
      <c r="I31">
        <f t="shared" si="0"/>
        <v>0</v>
      </c>
      <c r="J31">
        <f t="shared" si="1"/>
        <v>0</v>
      </c>
    </row>
    <row r="32" spans="1:10">
      <c r="A32">
        <v>20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20</v>
      </c>
      <c r="I32">
        <f t="shared" si="0"/>
        <v>0</v>
      </c>
      <c r="J32">
        <f t="shared" si="1"/>
        <v>0</v>
      </c>
    </row>
    <row r="33" spans="1:34">
      <c r="A33">
        <v>20.5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20.5</v>
      </c>
      <c r="I33">
        <f t="shared" si="0"/>
        <v>0</v>
      </c>
      <c r="J33">
        <f t="shared" si="1"/>
        <v>0</v>
      </c>
    </row>
    <row r="34" spans="1:34">
      <c r="A34">
        <v>21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21</v>
      </c>
      <c r="I34">
        <f t="shared" si="0"/>
        <v>0</v>
      </c>
      <c r="J34">
        <f t="shared" si="1"/>
        <v>0</v>
      </c>
    </row>
    <row r="35" spans="1:34">
      <c r="A35">
        <v>21.5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21.5</v>
      </c>
      <c r="I35">
        <f t="shared" si="0"/>
        <v>0</v>
      </c>
      <c r="J35">
        <f t="shared" si="1"/>
        <v>0</v>
      </c>
    </row>
    <row r="36" spans="1:34">
      <c r="A36">
        <v>22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22</v>
      </c>
      <c r="I36">
        <f t="shared" si="0"/>
        <v>0</v>
      </c>
      <c r="J36">
        <f t="shared" si="1"/>
        <v>0</v>
      </c>
    </row>
    <row r="37" spans="1:34">
      <c r="A37">
        <v>22.5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22.5</v>
      </c>
      <c r="I37">
        <f t="shared" si="0"/>
        <v>0</v>
      </c>
      <c r="J37">
        <f t="shared" si="1"/>
        <v>0</v>
      </c>
    </row>
    <row r="38" spans="1:34">
      <c r="A38">
        <v>23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23</v>
      </c>
      <c r="I38">
        <f t="shared" si="0"/>
        <v>0</v>
      </c>
      <c r="J38">
        <f t="shared" si="1"/>
        <v>0</v>
      </c>
    </row>
    <row r="39" spans="1:34">
      <c r="A39">
        <v>23.5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23.5</v>
      </c>
      <c r="I39">
        <f t="shared" si="0"/>
        <v>0</v>
      </c>
      <c r="J39">
        <f t="shared" si="1"/>
        <v>0</v>
      </c>
    </row>
    <row r="40" spans="1:34">
      <c r="A40">
        <v>24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24</v>
      </c>
      <c r="I40">
        <f t="shared" si="0"/>
        <v>0</v>
      </c>
      <c r="J40">
        <f t="shared" si="1"/>
        <v>0</v>
      </c>
    </row>
    <row r="41" spans="1:34">
      <c r="A41">
        <v>24.5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24.5</v>
      </c>
      <c r="I41">
        <f t="shared" si="0"/>
        <v>0</v>
      </c>
      <c r="J41">
        <f t="shared" si="1"/>
        <v>0</v>
      </c>
    </row>
    <row r="42" spans="1:34">
      <c r="A42">
        <v>25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25</v>
      </c>
      <c r="I42">
        <f t="shared" si="0"/>
        <v>0</v>
      </c>
      <c r="J42">
        <f t="shared" si="1"/>
        <v>0</v>
      </c>
    </row>
    <row r="43" spans="1:34">
      <c r="A43">
        <v>25.5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25.5</v>
      </c>
      <c r="I43">
        <f t="shared" si="0"/>
        <v>0</v>
      </c>
      <c r="J43">
        <f t="shared" si="1"/>
        <v>0</v>
      </c>
    </row>
    <row r="44" spans="1:34">
      <c r="B44">
        <f t="shared" ref="B44:E44" si="2">SUM(B2:B43)</f>
        <v>644567</v>
      </c>
      <c r="C44">
        <f t="shared" si="2"/>
        <v>8237</v>
      </c>
      <c r="D44">
        <f t="shared" si="2"/>
        <v>157668</v>
      </c>
      <c r="E44">
        <f t="shared" si="2"/>
        <v>2156</v>
      </c>
      <c r="F44">
        <f>SUM(F2:F43)</f>
        <v>3531352</v>
      </c>
      <c r="G44">
        <f>SUM(G2:G43)</f>
        <v>30944</v>
      </c>
      <c r="I44">
        <f t="shared" si="0"/>
        <v>4333587</v>
      </c>
      <c r="J44">
        <f t="shared" si="1"/>
        <v>41337</v>
      </c>
    </row>
    <row r="47" spans="1:34" ht="21">
      <c r="A47" t="s">
        <v>0</v>
      </c>
      <c r="B47" t="s">
        <v>3</v>
      </c>
      <c r="C47" t="s">
        <v>4</v>
      </c>
      <c r="Q47" s="97" t="s">
        <v>12</v>
      </c>
      <c r="R47" s="97"/>
      <c r="S47" s="97"/>
      <c r="T47" s="97"/>
      <c r="U47" s="97"/>
      <c r="W47" s="97" t="s">
        <v>12</v>
      </c>
      <c r="X47" s="97"/>
      <c r="Y47" s="97"/>
      <c r="Z47" s="97"/>
      <c r="AA47" s="97"/>
      <c r="AB47" s="20"/>
      <c r="AD47" s="97" t="s">
        <v>12</v>
      </c>
      <c r="AE47" s="97"/>
      <c r="AF47" s="97"/>
      <c r="AG47" s="97"/>
      <c r="AH47" s="97"/>
    </row>
    <row r="48" spans="1:34">
      <c r="A48">
        <v>5</v>
      </c>
      <c r="B48">
        <v>0</v>
      </c>
      <c r="C48">
        <v>0</v>
      </c>
      <c r="W48" s="20"/>
      <c r="X48" s="20"/>
      <c r="Y48" s="9" t="s">
        <v>15</v>
      </c>
      <c r="Z48" s="20"/>
      <c r="AA48" s="20"/>
      <c r="AB48" s="20"/>
      <c r="AD48" s="99" t="s">
        <v>17</v>
      </c>
      <c r="AE48" s="99"/>
      <c r="AF48" s="99"/>
      <c r="AG48" s="99"/>
      <c r="AH48" s="99"/>
    </row>
    <row r="49" spans="1:34">
      <c r="A49">
        <v>5.5</v>
      </c>
      <c r="B49">
        <v>90</v>
      </c>
      <c r="C49">
        <v>0</v>
      </c>
      <c r="Q49" s="95" t="s">
        <v>6</v>
      </c>
      <c r="R49" s="103" t="s">
        <v>7</v>
      </c>
      <c r="S49" s="100"/>
      <c r="T49" s="100"/>
      <c r="U49" s="95" t="s">
        <v>8</v>
      </c>
      <c r="W49" s="95" t="s">
        <v>6</v>
      </c>
      <c r="X49" s="101" t="s">
        <v>7</v>
      </c>
      <c r="Y49" s="102"/>
      <c r="Z49" s="102"/>
      <c r="AA49" s="95" t="s">
        <v>8</v>
      </c>
      <c r="AB49" s="9"/>
      <c r="AD49" s="91" t="s">
        <v>6</v>
      </c>
      <c r="AE49" s="93" t="s">
        <v>7</v>
      </c>
      <c r="AF49" s="94"/>
      <c r="AG49" s="94"/>
      <c r="AH49" s="91" t="s">
        <v>8</v>
      </c>
    </row>
    <row r="50" spans="1:34">
      <c r="A50">
        <v>6</v>
      </c>
      <c r="B50">
        <v>90</v>
      </c>
      <c r="C50">
        <v>0</v>
      </c>
      <c r="Q50" s="96"/>
      <c r="R50" s="7">
        <v>1</v>
      </c>
      <c r="S50" s="7">
        <v>2</v>
      </c>
      <c r="T50" s="7">
        <v>3</v>
      </c>
      <c r="U50" s="96"/>
      <c r="W50" s="96"/>
      <c r="X50" s="26">
        <v>1</v>
      </c>
      <c r="Y50" s="13">
        <v>2</v>
      </c>
      <c r="Z50" s="27">
        <v>3</v>
      </c>
      <c r="AA50" s="96"/>
      <c r="AB50" s="9"/>
      <c r="AD50" s="92"/>
      <c r="AE50" s="35">
        <v>1</v>
      </c>
      <c r="AF50" s="36">
        <v>2</v>
      </c>
      <c r="AG50" s="37">
        <v>3</v>
      </c>
      <c r="AH50" s="92"/>
    </row>
    <row r="51" spans="1:34">
      <c r="A51">
        <v>6.5</v>
      </c>
      <c r="B51">
        <v>494</v>
      </c>
      <c r="C51">
        <v>1</v>
      </c>
      <c r="Q51" s="8">
        <v>5</v>
      </c>
      <c r="R51">
        <v>0</v>
      </c>
      <c r="S51">
        <v>0</v>
      </c>
      <c r="T51">
        <v>0</v>
      </c>
      <c r="U51" s="11">
        <v>0</v>
      </c>
      <c r="W51" s="33">
        <v>5</v>
      </c>
      <c r="AA51" s="32"/>
      <c r="AB51" s="21"/>
      <c r="AC51">
        <v>5.25</v>
      </c>
      <c r="AD51" s="38">
        <v>5</v>
      </c>
      <c r="AE51" s="39">
        <f>+X51*$B48</f>
        <v>0</v>
      </c>
      <c r="AF51" s="39">
        <f t="shared" ref="AF51:AG66" si="3">+Y51*$B48</f>
        <v>0</v>
      </c>
      <c r="AG51" s="39">
        <f t="shared" si="3"/>
        <v>0</v>
      </c>
      <c r="AH51" s="42">
        <f>SUM(AE51:AG51)</f>
        <v>0</v>
      </c>
    </row>
    <row r="52" spans="1:34">
      <c r="A52">
        <v>7</v>
      </c>
      <c r="B52">
        <v>763</v>
      </c>
      <c r="C52">
        <v>2</v>
      </c>
      <c r="Q52" s="8">
        <v>5.5</v>
      </c>
      <c r="R52">
        <v>1</v>
      </c>
      <c r="S52">
        <v>0</v>
      </c>
      <c r="T52">
        <v>0</v>
      </c>
      <c r="U52" s="11">
        <v>1</v>
      </c>
      <c r="W52" s="8">
        <v>5.5</v>
      </c>
      <c r="X52">
        <f>+R52/$U52</f>
        <v>1</v>
      </c>
      <c r="Y52">
        <f t="shared" ref="Y52:Y60" si="4">+S52/$U52</f>
        <v>0</v>
      </c>
      <c r="Z52">
        <f t="shared" ref="Z52:Z77" si="5">+T52/$U52</f>
        <v>0</v>
      </c>
      <c r="AA52" s="28">
        <f t="shared" ref="AA52:AA59" si="6">SUM(X52:Z52)</f>
        <v>1</v>
      </c>
      <c r="AC52">
        <v>5.75</v>
      </c>
      <c r="AD52" s="41">
        <v>5.5</v>
      </c>
      <c r="AE52" s="39">
        <f>+X52*$B49</f>
        <v>90</v>
      </c>
      <c r="AF52" s="39">
        <f t="shared" si="3"/>
        <v>0</v>
      </c>
      <c r="AG52" s="39">
        <f t="shared" si="3"/>
        <v>0</v>
      </c>
      <c r="AH52" s="42">
        <f>SUM(AE52:AG52)</f>
        <v>90</v>
      </c>
    </row>
    <row r="53" spans="1:34">
      <c r="A53">
        <v>7.5</v>
      </c>
      <c r="B53">
        <v>1079</v>
      </c>
      <c r="C53">
        <v>3</v>
      </c>
      <c r="Q53" s="8">
        <v>6</v>
      </c>
      <c r="R53">
        <v>1</v>
      </c>
      <c r="S53">
        <v>0</v>
      </c>
      <c r="T53">
        <v>0</v>
      </c>
      <c r="U53" s="11">
        <v>1</v>
      </c>
      <c r="W53" s="8">
        <v>6</v>
      </c>
      <c r="X53">
        <f t="shared" ref="X53:X59" si="7">+R53/$U53</f>
        <v>1</v>
      </c>
      <c r="Y53">
        <f t="shared" si="4"/>
        <v>0</v>
      </c>
      <c r="Z53">
        <f t="shared" si="5"/>
        <v>0</v>
      </c>
      <c r="AA53" s="28">
        <f t="shared" si="6"/>
        <v>1</v>
      </c>
      <c r="AC53">
        <v>6.25</v>
      </c>
      <c r="AD53" s="41">
        <v>6</v>
      </c>
      <c r="AE53" s="39">
        <f t="shared" ref="AE53:AG67" si="8">+X53*$B50</f>
        <v>90</v>
      </c>
      <c r="AF53" s="39">
        <f t="shared" si="3"/>
        <v>0</v>
      </c>
      <c r="AG53" s="39">
        <f t="shared" si="3"/>
        <v>0</v>
      </c>
      <c r="AH53" s="42">
        <f t="shared" ref="AH53:AH77" si="9">SUM(AE53:AG53)</f>
        <v>90</v>
      </c>
    </row>
    <row r="54" spans="1:34">
      <c r="A54">
        <v>8</v>
      </c>
      <c r="B54">
        <v>1168</v>
      </c>
      <c r="C54">
        <v>4</v>
      </c>
      <c r="Q54" s="8">
        <v>6.5</v>
      </c>
      <c r="R54">
        <v>8</v>
      </c>
      <c r="S54">
        <v>0</v>
      </c>
      <c r="T54">
        <v>0</v>
      </c>
      <c r="U54" s="11">
        <v>8</v>
      </c>
      <c r="W54" s="8">
        <v>6.5</v>
      </c>
      <c r="X54">
        <f t="shared" si="7"/>
        <v>1</v>
      </c>
      <c r="Y54">
        <f t="shared" si="4"/>
        <v>0</v>
      </c>
      <c r="Z54">
        <f t="shared" si="5"/>
        <v>0</v>
      </c>
      <c r="AA54" s="28">
        <f t="shared" si="6"/>
        <v>1</v>
      </c>
      <c r="AC54">
        <v>6.75</v>
      </c>
      <c r="AD54" s="41">
        <v>6.5</v>
      </c>
      <c r="AE54" s="39">
        <f t="shared" si="8"/>
        <v>494</v>
      </c>
      <c r="AF54" s="39">
        <f t="shared" si="3"/>
        <v>0</v>
      </c>
      <c r="AG54" s="39">
        <f t="shared" si="3"/>
        <v>0</v>
      </c>
      <c r="AH54" s="42">
        <f t="shared" si="9"/>
        <v>494</v>
      </c>
    </row>
    <row r="55" spans="1:34">
      <c r="A55">
        <v>8.5</v>
      </c>
      <c r="B55">
        <v>1438</v>
      </c>
      <c r="C55">
        <v>5</v>
      </c>
      <c r="Q55" s="8">
        <v>7</v>
      </c>
      <c r="R55">
        <v>8</v>
      </c>
      <c r="S55">
        <v>0</v>
      </c>
      <c r="T55">
        <v>0</v>
      </c>
      <c r="U55" s="11">
        <v>8</v>
      </c>
      <c r="W55" s="8">
        <v>7</v>
      </c>
      <c r="X55">
        <f t="shared" si="7"/>
        <v>1</v>
      </c>
      <c r="Y55">
        <f t="shared" si="4"/>
        <v>0</v>
      </c>
      <c r="Z55">
        <f t="shared" si="5"/>
        <v>0</v>
      </c>
      <c r="AA55" s="28">
        <f t="shared" si="6"/>
        <v>1</v>
      </c>
      <c r="AC55">
        <v>7.25</v>
      </c>
      <c r="AD55" s="41">
        <v>7</v>
      </c>
      <c r="AE55" s="39">
        <f t="shared" si="8"/>
        <v>763</v>
      </c>
      <c r="AF55" s="39">
        <f>+Y55*$B52</f>
        <v>0</v>
      </c>
      <c r="AG55" s="39">
        <f t="shared" si="3"/>
        <v>0</v>
      </c>
      <c r="AH55" s="42">
        <f t="shared" si="9"/>
        <v>763</v>
      </c>
    </row>
    <row r="56" spans="1:34">
      <c r="A56">
        <v>9</v>
      </c>
      <c r="B56">
        <v>2561</v>
      </c>
      <c r="C56">
        <v>12</v>
      </c>
      <c r="Q56" s="8">
        <v>7.5</v>
      </c>
      <c r="R56">
        <v>7</v>
      </c>
      <c r="S56">
        <v>0</v>
      </c>
      <c r="T56">
        <v>0</v>
      </c>
      <c r="U56" s="11">
        <v>7</v>
      </c>
      <c r="W56" s="8">
        <v>7.5</v>
      </c>
      <c r="X56">
        <f t="shared" si="7"/>
        <v>1</v>
      </c>
      <c r="Y56">
        <f t="shared" si="4"/>
        <v>0</v>
      </c>
      <c r="Z56">
        <f t="shared" si="5"/>
        <v>0</v>
      </c>
      <c r="AA56" s="28">
        <f t="shared" si="6"/>
        <v>1</v>
      </c>
      <c r="AC56">
        <v>7.75</v>
      </c>
      <c r="AD56" s="41">
        <v>7.5</v>
      </c>
      <c r="AE56" s="39">
        <f t="shared" si="8"/>
        <v>1079</v>
      </c>
      <c r="AF56" s="39">
        <f t="shared" si="3"/>
        <v>0</v>
      </c>
      <c r="AG56" s="39">
        <f t="shared" si="3"/>
        <v>0</v>
      </c>
      <c r="AH56" s="42">
        <f t="shared" si="9"/>
        <v>1079</v>
      </c>
    </row>
    <row r="57" spans="1:34">
      <c r="A57">
        <v>9.5</v>
      </c>
      <c r="B57">
        <v>225378</v>
      </c>
      <c r="C57">
        <v>1215</v>
      </c>
      <c r="Q57" s="8">
        <v>8</v>
      </c>
      <c r="R57">
        <v>8</v>
      </c>
      <c r="S57">
        <v>0</v>
      </c>
      <c r="T57">
        <v>0</v>
      </c>
      <c r="U57" s="11">
        <v>8</v>
      </c>
      <c r="W57" s="8">
        <v>8</v>
      </c>
      <c r="X57">
        <f t="shared" si="7"/>
        <v>1</v>
      </c>
      <c r="Y57">
        <f t="shared" si="4"/>
        <v>0</v>
      </c>
      <c r="Z57">
        <f t="shared" si="5"/>
        <v>0</v>
      </c>
      <c r="AA57" s="28">
        <f t="shared" si="6"/>
        <v>1</v>
      </c>
      <c r="AC57">
        <v>8.25</v>
      </c>
      <c r="AD57" s="41">
        <v>8</v>
      </c>
      <c r="AE57" s="39">
        <f t="shared" si="8"/>
        <v>1168</v>
      </c>
      <c r="AF57" s="39">
        <f t="shared" si="3"/>
        <v>0</v>
      </c>
      <c r="AG57" s="39">
        <f t="shared" si="3"/>
        <v>0</v>
      </c>
      <c r="AH57" s="42">
        <f t="shared" si="9"/>
        <v>1168</v>
      </c>
    </row>
    <row r="58" spans="1:34">
      <c r="A58">
        <v>10</v>
      </c>
      <c r="B58">
        <v>514908</v>
      </c>
      <c r="C58">
        <v>3294</v>
      </c>
      <c r="Q58" s="8">
        <v>8.5</v>
      </c>
      <c r="R58">
        <v>10</v>
      </c>
      <c r="S58">
        <v>0</v>
      </c>
      <c r="T58">
        <v>0</v>
      </c>
      <c r="U58" s="11">
        <v>10</v>
      </c>
      <c r="W58" s="8">
        <v>8.5</v>
      </c>
      <c r="X58">
        <f t="shared" si="7"/>
        <v>1</v>
      </c>
      <c r="Y58">
        <f t="shared" si="4"/>
        <v>0</v>
      </c>
      <c r="Z58">
        <f t="shared" si="5"/>
        <v>0</v>
      </c>
      <c r="AA58" s="28">
        <f t="shared" si="6"/>
        <v>1</v>
      </c>
      <c r="AC58">
        <v>8.75</v>
      </c>
      <c r="AD58" s="41">
        <v>8.5</v>
      </c>
      <c r="AE58" s="39">
        <f t="shared" si="8"/>
        <v>1438</v>
      </c>
      <c r="AF58" s="39">
        <f t="shared" si="3"/>
        <v>0</v>
      </c>
      <c r="AG58" s="39">
        <f t="shared" si="3"/>
        <v>0</v>
      </c>
      <c r="AH58" s="42">
        <f t="shared" si="9"/>
        <v>1438</v>
      </c>
    </row>
    <row r="59" spans="1:34">
      <c r="A59">
        <v>10.5</v>
      </c>
      <c r="B59">
        <v>1060504</v>
      </c>
      <c r="C59">
        <v>7979</v>
      </c>
      <c r="Q59" s="8">
        <v>9</v>
      </c>
      <c r="R59">
        <v>10</v>
      </c>
      <c r="S59">
        <v>0</v>
      </c>
      <c r="T59">
        <v>0</v>
      </c>
      <c r="U59" s="11">
        <v>10</v>
      </c>
      <c r="W59" s="8">
        <v>9</v>
      </c>
      <c r="X59">
        <f t="shared" si="7"/>
        <v>1</v>
      </c>
      <c r="Y59">
        <f t="shared" si="4"/>
        <v>0</v>
      </c>
      <c r="Z59">
        <f t="shared" si="5"/>
        <v>0</v>
      </c>
      <c r="AA59" s="28">
        <f t="shared" si="6"/>
        <v>1</v>
      </c>
      <c r="AC59">
        <v>9.25</v>
      </c>
      <c r="AD59" s="41">
        <v>9</v>
      </c>
      <c r="AE59" s="39">
        <f t="shared" si="8"/>
        <v>2561</v>
      </c>
      <c r="AF59" s="39">
        <f t="shared" si="3"/>
        <v>0</v>
      </c>
      <c r="AG59" s="39">
        <f t="shared" si="3"/>
        <v>0</v>
      </c>
      <c r="AH59" s="42">
        <f t="shared" si="9"/>
        <v>2561</v>
      </c>
    </row>
    <row r="60" spans="1:34">
      <c r="A60">
        <v>11</v>
      </c>
      <c r="B60">
        <v>815782</v>
      </c>
      <c r="C60">
        <v>7168</v>
      </c>
      <c r="Q60" s="8">
        <v>9.5</v>
      </c>
      <c r="R60">
        <v>32</v>
      </c>
      <c r="S60">
        <v>1</v>
      </c>
      <c r="T60">
        <v>0</v>
      </c>
      <c r="U60" s="11">
        <v>33</v>
      </c>
      <c r="W60" s="8">
        <v>9.5</v>
      </c>
      <c r="X60">
        <f>+R60/$U60</f>
        <v>0.96969696969696972</v>
      </c>
      <c r="Y60">
        <f t="shared" si="4"/>
        <v>3.0303030303030304E-2</v>
      </c>
      <c r="Z60">
        <f t="shared" si="5"/>
        <v>0</v>
      </c>
      <c r="AA60" s="28">
        <f>SUM(X60:Z60)</f>
        <v>1</v>
      </c>
      <c r="AC60">
        <v>9.75</v>
      </c>
      <c r="AD60" s="41">
        <v>9.5</v>
      </c>
      <c r="AE60" s="39">
        <f t="shared" si="8"/>
        <v>218548.36363636365</v>
      </c>
      <c r="AF60" s="39">
        <f t="shared" si="3"/>
        <v>6829.636363636364</v>
      </c>
      <c r="AG60" s="39">
        <f t="shared" si="3"/>
        <v>0</v>
      </c>
      <c r="AH60" s="42">
        <f>SUM(AE60:AG60)</f>
        <v>225378</v>
      </c>
    </row>
    <row r="61" spans="1:34">
      <c r="A61">
        <v>11.5</v>
      </c>
      <c r="B61">
        <v>621182</v>
      </c>
      <c r="C61">
        <v>6330</v>
      </c>
      <c r="Q61" s="8">
        <v>10</v>
      </c>
      <c r="R61">
        <v>43</v>
      </c>
      <c r="S61">
        <v>0</v>
      </c>
      <c r="T61">
        <v>0</v>
      </c>
      <c r="U61" s="11">
        <v>43</v>
      </c>
      <c r="W61" s="8">
        <v>10</v>
      </c>
      <c r="X61">
        <f t="shared" ref="X61:Y67" si="10">+R61/$U61</f>
        <v>1</v>
      </c>
      <c r="Y61">
        <f t="shared" si="10"/>
        <v>0</v>
      </c>
      <c r="Z61">
        <f t="shared" si="5"/>
        <v>0</v>
      </c>
      <c r="AA61" s="28">
        <f t="shared" ref="AA61:AA62" si="11">SUM(X61:Z61)</f>
        <v>1</v>
      </c>
      <c r="AC61">
        <v>10.25</v>
      </c>
      <c r="AD61" s="41">
        <v>10</v>
      </c>
      <c r="AE61" s="39">
        <f t="shared" si="8"/>
        <v>514908</v>
      </c>
      <c r="AF61" s="39">
        <f t="shared" si="3"/>
        <v>0</v>
      </c>
      <c r="AG61" s="39">
        <f t="shared" si="3"/>
        <v>0</v>
      </c>
      <c r="AH61" s="42">
        <f t="shared" si="9"/>
        <v>514908</v>
      </c>
    </row>
    <row r="62" spans="1:34">
      <c r="A62">
        <v>12</v>
      </c>
      <c r="B62">
        <v>468141</v>
      </c>
      <c r="C62">
        <v>5499</v>
      </c>
      <c r="Q62" s="8">
        <v>10.5</v>
      </c>
      <c r="R62">
        <v>51</v>
      </c>
      <c r="S62">
        <v>1</v>
      </c>
      <c r="T62">
        <v>0</v>
      </c>
      <c r="U62" s="11">
        <v>52</v>
      </c>
      <c r="W62" s="8">
        <v>10.5</v>
      </c>
      <c r="X62">
        <f t="shared" si="10"/>
        <v>0.98076923076923073</v>
      </c>
      <c r="Y62">
        <f t="shared" si="10"/>
        <v>1.9230769230769232E-2</v>
      </c>
      <c r="Z62">
        <f t="shared" si="5"/>
        <v>0</v>
      </c>
      <c r="AA62" s="28">
        <f t="shared" si="11"/>
        <v>1</v>
      </c>
      <c r="AC62">
        <v>10.75</v>
      </c>
      <c r="AD62" s="41">
        <v>10.5</v>
      </c>
      <c r="AE62" s="39">
        <f t="shared" si="8"/>
        <v>1040109.6923076923</v>
      </c>
      <c r="AF62" s="39">
        <f t="shared" si="3"/>
        <v>20394.307692307695</v>
      </c>
      <c r="AG62" s="39">
        <f t="shared" si="3"/>
        <v>0</v>
      </c>
      <c r="AH62" s="42">
        <f t="shared" si="9"/>
        <v>1060504</v>
      </c>
    </row>
    <row r="63" spans="1:34">
      <c r="A63">
        <v>12.5</v>
      </c>
      <c r="B63">
        <v>346066</v>
      </c>
      <c r="C63">
        <v>4658</v>
      </c>
      <c r="Q63" s="8">
        <v>11</v>
      </c>
      <c r="R63">
        <v>43</v>
      </c>
      <c r="S63">
        <v>4</v>
      </c>
      <c r="T63">
        <v>0</v>
      </c>
      <c r="U63" s="11">
        <v>47</v>
      </c>
      <c r="W63" s="8">
        <v>11</v>
      </c>
      <c r="X63">
        <f t="shared" si="10"/>
        <v>0.91489361702127658</v>
      </c>
      <c r="Y63">
        <f t="shared" si="10"/>
        <v>8.5106382978723402E-2</v>
      </c>
      <c r="Z63">
        <f t="shared" si="5"/>
        <v>0</v>
      </c>
      <c r="AA63" s="28">
        <f>SUM(X63:Z63)</f>
        <v>1</v>
      </c>
      <c r="AC63">
        <v>11.25</v>
      </c>
      <c r="AD63" s="41">
        <v>11</v>
      </c>
      <c r="AE63" s="39">
        <f>+X63*$B60</f>
        <v>746353.744680851</v>
      </c>
      <c r="AF63" s="39">
        <f>+Y63*$B60</f>
        <v>69428.255319148928</v>
      </c>
      <c r="AG63" s="39">
        <f t="shared" si="3"/>
        <v>0</v>
      </c>
      <c r="AH63" s="42">
        <f t="shared" si="9"/>
        <v>815781.99999999988</v>
      </c>
    </row>
    <row r="64" spans="1:34">
      <c r="A64">
        <v>13</v>
      </c>
      <c r="B64">
        <v>107696</v>
      </c>
      <c r="C64">
        <v>1653</v>
      </c>
      <c r="Q64" s="8">
        <v>11.5</v>
      </c>
      <c r="R64">
        <v>65</v>
      </c>
      <c r="S64">
        <v>0</v>
      </c>
      <c r="T64">
        <v>0</v>
      </c>
      <c r="U64" s="11">
        <v>65</v>
      </c>
      <c r="W64" s="8">
        <v>11.5</v>
      </c>
      <c r="X64">
        <f t="shared" si="10"/>
        <v>1</v>
      </c>
      <c r="Y64">
        <f t="shared" si="10"/>
        <v>0</v>
      </c>
      <c r="Z64">
        <f t="shared" si="5"/>
        <v>0</v>
      </c>
      <c r="AA64" s="28">
        <f t="shared" ref="AA64:AA77" si="12">SUM(X64:Z64)</f>
        <v>1</v>
      </c>
      <c r="AC64">
        <v>11.75</v>
      </c>
      <c r="AD64" s="41">
        <v>11.5</v>
      </c>
      <c r="AE64" s="39">
        <f t="shared" si="8"/>
        <v>621182</v>
      </c>
      <c r="AF64" s="39">
        <f t="shared" si="3"/>
        <v>0</v>
      </c>
      <c r="AG64" s="39">
        <f t="shared" si="3"/>
        <v>0</v>
      </c>
      <c r="AH64" s="42">
        <f t="shared" si="9"/>
        <v>621182</v>
      </c>
    </row>
    <row r="65" spans="1:34">
      <c r="A65">
        <v>13.5</v>
      </c>
      <c r="B65">
        <v>62118</v>
      </c>
      <c r="C65">
        <v>1083</v>
      </c>
      <c r="Q65" s="8">
        <v>12</v>
      </c>
      <c r="R65">
        <v>65</v>
      </c>
      <c r="S65">
        <v>0</v>
      </c>
      <c r="T65">
        <v>0</v>
      </c>
      <c r="U65" s="11">
        <v>65</v>
      </c>
      <c r="W65" s="8">
        <v>12</v>
      </c>
      <c r="X65">
        <f t="shared" si="10"/>
        <v>1</v>
      </c>
      <c r="Y65">
        <f t="shared" si="10"/>
        <v>0</v>
      </c>
      <c r="Z65">
        <f t="shared" si="5"/>
        <v>0</v>
      </c>
      <c r="AA65" s="28">
        <f t="shared" si="12"/>
        <v>1</v>
      </c>
      <c r="AC65">
        <v>12.25</v>
      </c>
      <c r="AD65" s="41">
        <v>12</v>
      </c>
      <c r="AE65" s="39">
        <f t="shared" si="8"/>
        <v>468141</v>
      </c>
      <c r="AF65" s="39">
        <f t="shared" si="3"/>
        <v>0</v>
      </c>
      <c r="AG65" s="39">
        <f t="shared" si="3"/>
        <v>0</v>
      </c>
      <c r="AH65" s="42">
        <f t="shared" si="9"/>
        <v>468141</v>
      </c>
    </row>
    <row r="66" spans="1:34">
      <c r="A66">
        <v>14</v>
      </c>
      <c r="B66">
        <v>44002</v>
      </c>
      <c r="C66">
        <v>865</v>
      </c>
      <c r="Q66" s="8">
        <v>12.5</v>
      </c>
      <c r="R66">
        <v>60</v>
      </c>
      <c r="S66">
        <v>7</v>
      </c>
      <c r="T66">
        <v>0</v>
      </c>
      <c r="U66" s="11">
        <v>67</v>
      </c>
      <c r="W66" s="8">
        <v>12.5</v>
      </c>
      <c r="X66">
        <f t="shared" si="10"/>
        <v>0.89552238805970152</v>
      </c>
      <c r="Y66">
        <f t="shared" si="10"/>
        <v>0.1044776119402985</v>
      </c>
      <c r="Z66">
        <f t="shared" si="5"/>
        <v>0</v>
      </c>
      <c r="AA66" s="28">
        <f t="shared" si="12"/>
        <v>1</v>
      </c>
      <c r="AC66">
        <v>12.75</v>
      </c>
      <c r="AD66" s="41">
        <v>12.5</v>
      </c>
      <c r="AE66" s="39">
        <f t="shared" si="8"/>
        <v>309909.85074626864</v>
      </c>
      <c r="AF66" s="39">
        <f t="shared" si="3"/>
        <v>36156.149253731339</v>
      </c>
      <c r="AG66" s="39">
        <f t="shared" si="3"/>
        <v>0</v>
      </c>
      <c r="AH66" s="42">
        <f t="shared" si="9"/>
        <v>346066</v>
      </c>
    </row>
    <row r="67" spans="1:34">
      <c r="A67">
        <v>14.5</v>
      </c>
      <c r="B67">
        <v>21728</v>
      </c>
      <c r="C67">
        <v>481</v>
      </c>
      <c r="Q67" s="8">
        <v>13</v>
      </c>
      <c r="R67">
        <v>36</v>
      </c>
      <c r="S67">
        <v>10</v>
      </c>
      <c r="T67">
        <v>0</v>
      </c>
      <c r="U67" s="11">
        <v>46</v>
      </c>
      <c r="W67" s="8">
        <v>13</v>
      </c>
      <c r="X67">
        <f t="shared" si="10"/>
        <v>0.78260869565217395</v>
      </c>
      <c r="Y67">
        <f t="shared" si="10"/>
        <v>0.21739130434782608</v>
      </c>
      <c r="Z67">
        <f t="shared" si="5"/>
        <v>0</v>
      </c>
      <c r="AA67" s="28">
        <f t="shared" si="12"/>
        <v>1</v>
      </c>
      <c r="AC67">
        <v>13.25</v>
      </c>
      <c r="AD67" s="41">
        <v>13</v>
      </c>
      <c r="AE67" s="39">
        <f t="shared" si="8"/>
        <v>84283.826086956527</v>
      </c>
      <c r="AF67" s="39">
        <f t="shared" si="8"/>
        <v>23412.173913043476</v>
      </c>
      <c r="AG67" s="39">
        <f t="shared" si="8"/>
        <v>0</v>
      </c>
      <c r="AH67" s="42">
        <f t="shared" si="9"/>
        <v>107696</v>
      </c>
    </row>
    <row r="68" spans="1:34">
      <c r="A68">
        <v>15</v>
      </c>
      <c r="B68">
        <v>14977</v>
      </c>
      <c r="C68">
        <v>371</v>
      </c>
      <c r="Q68" s="8">
        <v>13.5</v>
      </c>
      <c r="R68">
        <v>21</v>
      </c>
      <c r="S68">
        <v>8</v>
      </c>
      <c r="T68">
        <v>0</v>
      </c>
      <c r="U68" s="11">
        <v>29</v>
      </c>
      <c r="W68" s="8">
        <v>13.5</v>
      </c>
      <c r="X68">
        <f t="shared" ref="X68:X77" si="13">+R68/$U68</f>
        <v>0.72413793103448276</v>
      </c>
      <c r="Y68">
        <f t="shared" ref="Y68:Y77" si="14">+S68/$U68</f>
        <v>0.27586206896551724</v>
      </c>
      <c r="Z68">
        <f t="shared" si="5"/>
        <v>0</v>
      </c>
      <c r="AA68" s="28">
        <f t="shared" si="12"/>
        <v>1</v>
      </c>
      <c r="AC68">
        <v>13.75</v>
      </c>
      <c r="AD68" s="41">
        <v>13.5</v>
      </c>
      <c r="AE68" s="39">
        <f t="shared" ref="AE68:AG77" si="15">+X68*$B65</f>
        <v>44982</v>
      </c>
      <c r="AF68" s="39">
        <f t="shared" si="15"/>
        <v>17136</v>
      </c>
      <c r="AG68" s="39">
        <f t="shared" si="15"/>
        <v>0</v>
      </c>
      <c r="AH68" s="42">
        <f t="shared" si="9"/>
        <v>62118</v>
      </c>
    </row>
    <row r="69" spans="1:34">
      <c r="A69">
        <v>15.5</v>
      </c>
      <c r="B69">
        <v>11935</v>
      </c>
      <c r="C69">
        <v>330</v>
      </c>
      <c r="Q69" s="8">
        <v>14</v>
      </c>
      <c r="R69">
        <v>20</v>
      </c>
      <c r="S69">
        <v>10</v>
      </c>
      <c r="T69">
        <v>0</v>
      </c>
      <c r="U69" s="11">
        <v>30</v>
      </c>
      <c r="W69" s="8">
        <v>14</v>
      </c>
      <c r="X69">
        <f t="shared" si="13"/>
        <v>0.66666666666666663</v>
      </c>
      <c r="Y69">
        <f t="shared" si="14"/>
        <v>0.33333333333333331</v>
      </c>
      <c r="Z69">
        <f t="shared" si="5"/>
        <v>0</v>
      </c>
      <c r="AA69" s="28">
        <f t="shared" si="12"/>
        <v>1</v>
      </c>
      <c r="AC69">
        <v>14.25</v>
      </c>
      <c r="AD69" s="41">
        <v>14</v>
      </c>
      <c r="AE69" s="39">
        <f t="shared" si="15"/>
        <v>29334.666666666664</v>
      </c>
      <c r="AF69" s="39">
        <f t="shared" si="15"/>
        <v>14667.333333333332</v>
      </c>
      <c r="AG69" s="39">
        <f t="shared" si="15"/>
        <v>0</v>
      </c>
      <c r="AH69" s="42">
        <f t="shared" si="9"/>
        <v>44002</v>
      </c>
    </row>
    <row r="70" spans="1:34">
      <c r="A70">
        <v>16</v>
      </c>
      <c r="B70">
        <v>6803</v>
      </c>
      <c r="C70">
        <v>210</v>
      </c>
      <c r="Q70" s="8">
        <v>14.5</v>
      </c>
      <c r="R70">
        <v>19</v>
      </c>
      <c r="S70">
        <v>7</v>
      </c>
      <c r="T70">
        <v>0</v>
      </c>
      <c r="U70" s="11">
        <v>26</v>
      </c>
      <c r="W70" s="8">
        <v>14.5</v>
      </c>
      <c r="X70">
        <f t="shared" si="13"/>
        <v>0.73076923076923073</v>
      </c>
      <c r="Y70">
        <f t="shared" si="14"/>
        <v>0.26923076923076922</v>
      </c>
      <c r="Z70">
        <f t="shared" si="5"/>
        <v>0</v>
      </c>
      <c r="AA70" s="28">
        <f t="shared" si="12"/>
        <v>1</v>
      </c>
      <c r="AC70">
        <v>14.75</v>
      </c>
      <c r="AD70" s="41">
        <v>14.5</v>
      </c>
      <c r="AE70" s="39">
        <f t="shared" si="15"/>
        <v>15878.153846153846</v>
      </c>
      <c r="AF70" s="39">
        <f t="shared" si="15"/>
        <v>5849.8461538461534</v>
      </c>
      <c r="AG70" s="39">
        <f t="shared" si="15"/>
        <v>0</v>
      </c>
      <c r="AH70" s="42">
        <f t="shared" si="9"/>
        <v>21728</v>
      </c>
    </row>
    <row r="71" spans="1:34">
      <c r="A71">
        <v>16.5</v>
      </c>
      <c r="B71">
        <v>1912</v>
      </c>
      <c r="C71">
        <v>66</v>
      </c>
      <c r="Q71" s="8">
        <v>15</v>
      </c>
      <c r="R71">
        <v>5</v>
      </c>
      <c r="S71">
        <v>13</v>
      </c>
      <c r="T71">
        <v>1</v>
      </c>
      <c r="U71" s="11">
        <v>19</v>
      </c>
      <c r="W71" s="8">
        <v>15</v>
      </c>
      <c r="X71">
        <f t="shared" si="13"/>
        <v>0.26315789473684209</v>
      </c>
      <c r="Y71">
        <f t="shared" si="14"/>
        <v>0.68421052631578949</v>
      </c>
      <c r="Z71">
        <f t="shared" si="5"/>
        <v>5.2631578947368418E-2</v>
      </c>
      <c r="AA71" s="28">
        <f t="shared" si="12"/>
        <v>1</v>
      </c>
      <c r="AC71">
        <v>15.25</v>
      </c>
      <c r="AD71" s="41">
        <v>15</v>
      </c>
      <c r="AE71" s="39">
        <f t="shared" si="15"/>
        <v>3941.3157894736842</v>
      </c>
      <c r="AF71" s="39">
        <f t="shared" si="15"/>
        <v>10247.42105263158</v>
      </c>
      <c r="AG71" s="39">
        <f t="shared" si="15"/>
        <v>788.26315789473676</v>
      </c>
      <c r="AH71" s="42">
        <f t="shared" si="9"/>
        <v>14977</v>
      </c>
    </row>
    <row r="72" spans="1:34">
      <c r="A72">
        <v>17</v>
      </c>
      <c r="B72">
        <v>2180</v>
      </c>
      <c r="C72">
        <v>82</v>
      </c>
      <c r="Q72" s="8">
        <v>15.5</v>
      </c>
      <c r="R72">
        <v>1</v>
      </c>
      <c r="S72">
        <v>10</v>
      </c>
      <c r="T72">
        <v>3</v>
      </c>
      <c r="U72" s="11">
        <v>14</v>
      </c>
      <c r="W72" s="8">
        <v>15.5</v>
      </c>
      <c r="X72">
        <f t="shared" si="13"/>
        <v>7.1428571428571425E-2</v>
      </c>
      <c r="Y72">
        <f t="shared" si="14"/>
        <v>0.7142857142857143</v>
      </c>
      <c r="Z72">
        <f t="shared" si="5"/>
        <v>0.21428571428571427</v>
      </c>
      <c r="AA72" s="28">
        <f t="shared" si="12"/>
        <v>1</v>
      </c>
      <c r="AC72">
        <v>15.75</v>
      </c>
      <c r="AD72" s="41">
        <v>15.5</v>
      </c>
      <c r="AE72" s="39">
        <f t="shared" si="15"/>
        <v>852.5</v>
      </c>
      <c r="AF72" s="39">
        <f t="shared" si="15"/>
        <v>8525</v>
      </c>
      <c r="AG72" s="39">
        <f t="shared" si="15"/>
        <v>2557.5</v>
      </c>
      <c r="AH72" s="42">
        <f>SUM(AE72:AG72)</f>
        <v>11935</v>
      </c>
    </row>
    <row r="73" spans="1:34">
      <c r="A73">
        <v>17.5</v>
      </c>
      <c r="B73">
        <v>269</v>
      </c>
      <c r="C73">
        <v>11</v>
      </c>
      <c r="Q73" s="8">
        <v>16</v>
      </c>
      <c r="R73">
        <v>3</v>
      </c>
      <c r="S73">
        <v>8</v>
      </c>
      <c r="T73">
        <v>2</v>
      </c>
      <c r="U73" s="11">
        <v>13</v>
      </c>
      <c r="W73" s="8">
        <v>16</v>
      </c>
      <c r="X73">
        <f t="shared" si="13"/>
        <v>0.23076923076923078</v>
      </c>
      <c r="Y73">
        <f t="shared" si="14"/>
        <v>0.61538461538461542</v>
      </c>
      <c r="Z73">
        <f t="shared" si="5"/>
        <v>0.15384615384615385</v>
      </c>
      <c r="AA73" s="28">
        <f t="shared" si="12"/>
        <v>1</v>
      </c>
      <c r="AC73">
        <v>16.25</v>
      </c>
      <c r="AD73" s="41">
        <v>16</v>
      </c>
      <c r="AE73" s="39">
        <f t="shared" si="15"/>
        <v>1569.9230769230769</v>
      </c>
      <c r="AF73" s="39">
        <f t="shared" si="15"/>
        <v>4186.461538461539</v>
      </c>
      <c r="AG73" s="39">
        <f t="shared" si="15"/>
        <v>1046.6153846153848</v>
      </c>
      <c r="AH73" s="42">
        <f t="shared" si="9"/>
        <v>6803.0000000000009</v>
      </c>
    </row>
    <row r="74" spans="1:34">
      <c r="A74">
        <v>18</v>
      </c>
      <c r="B74">
        <v>323</v>
      </c>
      <c r="C74">
        <v>15</v>
      </c>
      <c r="Q74" s="8">
        <v>16.5</v>
      </c>
      <c r="R74">
        <v>1</v>
      </c>
      <c r="S74">
        <v>7</v>
      </c>
      <c r="T74">
        <v>5</v>
      </c>
      <c r="U74" s="11">
        <v>13</v>
      </c>
      <c r="W74" s="8">
        <v>16.5</v>
      </c>
      <c r="X74">
        <f t="shared" si="13"/>
        <v>7.6923076923076927E-2</v>
      </c>
      <c r="Y74">
        <f t="shared" si="14"/>
        <v>0.53846153846153844</v>
      </c>
      <c r="Z74">
        <f t="shared" si="5"/>
        <v>0.38461538461538464</v>
      </c>
      <c r="AA74" s="28">
        <f t="shared" si="12"/>
        <v>1</v>
      </c>
      <c r="AC74">
        <v>16.75</v>
      </c>
      <c r="AD74" s="41">
        <v>16.5</v>
      </c>
      <c r="AE74" s="39">
        <f t="shared" si="15"/>
        <v>147.07692307692309</v>
      </c>
      <c r="AF74" s="39">
        <f t="shared" si="15"/>
        <v>1029.5384615384614</v>
      </c>
      <c r="AG74" s="39">
        <f t="shared" si="15"/>
        <v>735.38461538461547</v>
      </c>
      <c r="AH74" s="42">
        <f t="shared" si="9"/>
        <v>1912</v>
      </c>
    </row>
    <row r="75" spans="1:34">
      <c r="A75">
        <v>18.5</v>
      </c>
      <c r="B75">
        <v>0</v>
      </c>
      <c r="C75">
        <v>0</v>
      </c>
      <c r="Q75" s="8">
        <v>17</v>
      </c>
      <c r="R75">
        <v>2</v>
      </c>
      <c r="S75">
        <v>7</v>
      </c>
      <c r="T75">
        <v>2</v>
      </c>
      <c r="U75" s="11">
        <v>11</v>
      </c>
      <c r="W75" s="8">
        <v>17</v>
      </c>
      <c r="X75">
        <f t="shared" si="13"/>
        <v>0.18181818181818182</v>
      </c>
      <c r="Y75">
        <f t="shared" si="14"/>
        <v>0.63636363636363635</v>
      </c>
      <c r="Z75">
        <f t="shared" si="5"/>
        <v>0.18181818181818182</v>
      </c>
      <c r="AA75" s="28">
        <f t="shared" si="12"/>
        <v>1</v>
      </c>
      <c r="AC75">
        <v>17.25</v>
      </c>
      <c r="AD75" s="41">
        <v>17</v>
      </c>
      <c r="AE75" s="39">
        <f t="shared" si="15"/>
        <v>396.36363636363637</v>
      </c>
      <c r="AF75" s="39">
        <f t="shared" si="15"/>
        <v>1387.2727272727273</v>
      </c>
      <c r="AG75" s="39">
        <f t="shared" si="15"/>
        <v>396.36363636363637</v>
      </c>
      <c r="AH75" s="42">
        <f t="shared" si="9"/>
        <v>2180</v>
      </c>
    </row>
    <row r="76" spans="1:34">
      <c r="A76">
        <v>19</v>
      </c>
      <c r="B76">
        <v>0</v>
      </c>
      <c r="C76">
        <v>0</v>
      </c>
      <c r="Q76" s="8">
        <v>17.5</v>
      </c>
      <c r="R76">
        <v>1</v>
      </c>
      <c r="S76">
        <v>5</v>
      </c>
      <c r="T76">
        <v>4</v>
      </c>
      <c r="U76" s="11">
        <v>10</v>
      </c>
      <c r="W76" s="8">
        <v>17.5</v>
      </c>
      <c r="X76">
        <f t="shared" si="13"/>
        <v>0.1</v>
      </c>
      <c r="Y76">
        <f t="shared" si="14"/>
        <v>0.5</v>
      </c>
      <c r="Z76">
        <f t="shared" si="5"/>
        <v>0.4</v>
      </c>
      <c r="AA76" s="28">
        <f t="shared" si="12"/>
        <v>1</v>
      </c>
      <c r="AC76">
        <v>17.75</v>
      </c>
      <c r="AD76" s="41">
        <v>17.5</v>
      </c>
      <c r="AE76" s="39">
        <f t="shared" si="15"/>
        <v>26.900000000000002</v>
      </c>
      <c r="AF76" s="39">
        <f t="shared" si="15"/>
        <v>134.5</v>
      </c>
      <c r="AG76" s="39">
        <f t="shared" si="15"/>
        <v>107.60000000000001</v>
      </c>
      <c r="AH76" s="42">
        <f t="shared" si="9"/>
        <v>269</v>
      </c>
    </row>
    <row r="77" spans="1:34">
      <c r="A77">
        <v>19.5</v>
      </c>
      <c r="B77">
        <v>0</v>
      </c>
      <c r="C77">
        <v>0</v>
      </c>
      <c r="Q77" s="8">
        <v>18</v>
      </c>
      <c r="R77">
        <v>0</v>
      </c>
      <c r="S77">
        <v>4</v>
      </c>
      <c r="T77">
        <v>6</v>
      </c>
      <c r="U77" s="11">
        <v>10</v>
      </c>
      <c r="W77" s="8">
        <v>18</v>
      </c>
      <c r="X77">
        <f t="shared" si="13"/>
        <v>0</v>
      </c>
      <c r="Y77">
        <f t="shared" si="14"/>
        <v>0.4</v>
      </c>
      <c r="Z77">
        <f t="shared" si="5"/>
        <v>0.6</v>
      </c>
      <c r="AA77" s="28">
        <f t="shared" si="12"/>
        <v>1</v>
      </c>
      <c r="AC77">
        <v>18.25</v>
      </c>
      <c r="AD77" s="41">
        <v>18</v>
      </c>
      <c r="AE77" s="39">
        <f t="shared" si="15"/>
        <v>0</v>
      </c>
      <c r="AF77" s="39">
        <f t="shared" si="15"/>
        <v>129.20000000000002</v>
      </c>
      <c r="AG77" s="39">
        <f t="shared" si="15"/>
        <v>193.79999999999998</v>
      </c>
      <c r="AH77" s="42">
        <f t="shared" si="9"/>
        <v>323</v>
      </c>
    </row>
    <row r="78" spans="1:34">
      <c r="A78">
        <v>20</v>
      </c>
      <c r="B78">
        <v>0</v>
      </c>
      <c r="C78">
        <v>0</v>
      </c>
      <c r="Q78" s="12" t="s">
        <v>8</v>
      </c>
      <c r="R78" s="13">
        <v>521</v>
      </c>
      <c r="S78" s="13">
        <v>102</v>
      </c>
      <c r="T78" s="13">
        <v>23</v>
      </c>
      <c r="U78" s="14">
        <v>646</v>
      </c>
      <c r="W78" s="12" t="s">
        <v>8</v>
      </c>
      <c r="X78" s="13">
        <f>+R78/$U78</f>
        <v>0.80650154798761609</v>
      </c>
      <c r="Y78" s="13">
        <f>+S78/$U78</f>
        <v>0.15789473684210525</v>
      </c>
      <c r="Z78" s="13">
        <f>+T78/$U78</f>
        <v>3.5603715170278639E-2</v>
      </c>
      <c r="AA78" s="14">
        <f>SUM(X78:Z78)</f>
        <v>1</v>
      </c>
      <c r="AB78" s="20"/>
      <c r="AD78" s="43" t="s">
        <v>8</v>
      </c>
      <c r="AE78" s="35">
        <f>SUM(AE51:AE77)</f>
        <v>4108248.3773967898</v>
      </c>
      <c r="AF78" s="36">
        <f>SUM(AF51:AF77)</f>
        <v>219513.09580895162</v>
      </c>
      <c r="AG78" s="37">
        <f>SUM(AG51:AG77)</f>
        <v>5825.5267942583732</v>
      </c>
      <c r="AH78" s="37">
        <f>SUM(AH51:AH77)</f>
        <v>4333587</v>
      </c>
    </row>
    <row r="79" spans="1:34">
      <c r="A79">
        <v>20.5</v>
      </c>
      <c r="B79">
        <v>0</v>
      </c>
      <c r="C79">
        <v>0</v>
      </c>
      <c r="AD79" s="44" t="s">
        <v>15</v>
      </c>
      <c r="AE79" s="50">
        <f>+AE78/$AH$78*100</f>
        <v>94.80018232925265</v>
      </c>
      <c r="AF79" s="51">
        <f t="shared" ref="AF79:AH79" si="16">+AF78/$AH$78*100</f>
        <v>5.0653903062048045</v>
      </c>
      <c r="AG79" s="52">
        <f t="shared" si="16"/>
        <v>0.13442736454254578</v>
      </c>
      <c r="AH79" s="46">
        <f t="shared" si="16"/>
        <v>100</v>
      </c>
    </row>
    <row r="80" spans="1:34">
      <c r="A80">
        <v>21</v>
      </c>
      <c r="B80">
        <v>0</v>
      </c>
      <c r="C80">
        <v>0</v>
      </c>
      <c r="AD80" s="35" t="s">
        <v>16</v>
      </c>
      <c r="AE80" s="49">
        <f>SUMPRODUCT(AE51:AE77,$AC$51:$AC$77)/AE$78</f>
        <v>11.326433343298257</v>
      </c>
      <c r="AF80" s="45">
        <f t="shared" ref="AF80:AH80" si="17">SUMPRODUCT(AF51:AF77,$AC$51:$AC$77)/AF$78</f>
        <v>12.634804234746127</v>
      </c>
      <c r="AG80" s="45">
        <f t="shared" si="17"/>
        <v>16.12057698977852</v>
      </c>
      <c r="AH80" s="46">
        <f t="shared" si="17"/>
        <v>11.399152076559211</v>
      </c>
    </row>
    <row r="81" spans="1:34">
      <c r="A81">
        <v>21.5</v>
      </c>
      <c r="B81">
        <v>0</v>
      </c>
      <c r="C81">
        <v>0</v>
      </c>
    </row>
    <row r="82" spans="1:34">
      <c r="A82">
        <v>22</v>
      </c>
      <c r="B82">
        <v>0</v>
      </c>
      <c r="C82">
        <v>0</v>
      </c>
    </row>
    <row r="83" spans="1:34">
      <c r="A83">
        <v>22.5</v>
      </c>
      <c r="B83">
        <v>0</v>
      </c>
      <c r="C83">
        <v>0</v>
      </c>
      <c r="AD83" t="s">
        <v>8</v>
      </c>
      <c r="AE83">
        <f>4108248.37739679/1000</f>
        <v>4108.2483773967897</v>
      </c>
      <c r="AF83">
        <f>219513.095808952/1000</f>
        <v>219.51309580895199</v>
      </c>
      <c r="AG83">
        <f>5825.52679425837/1000</f>
        <v>5.8255267942583693</v>
      </c>
      <c r="AH83">
        <f>4333587/1000</f>
        <v>4333.5870000000004</v>
      </c>
    </row>
    <row r="84" spans="1:34">
      <c r="A84">
        <v>23</v>
      </c>
      <c r="B84">
        <v>0</v>
      </c>
      <c r="C84">
        <v>0</v>
      </c>
    </row>
    <row r="85" spans="1:34">
      <c r="A85">
        <v>23.5</v>
      </c>
      <c r="B85">
        <v>0</v>
      </c>
      <c r="C85">
        <v>0</v>
      </c>
    </row>
    <row r="86" spans="1:34">
      <c r="A86">
        <v>24</v>
      </c>
      <c r="B86">
        <v>0</v>
      </c>
      <c r="C86">
        <v>0</v>
      </c>
    </row>
    <row r="87" spans="1:34">
      <c r="A87">
        <v>24.5</v>
      </c>
      <c r="B87">
        <v>0</v>
      </c>
      <c r="C87">
        <v>0</v>
      </c>
    </row>
    <row r="88" spans="1:34">
      <c r="A88">
        <v>25</v>
      </c>
      <c r="B88">
        <v>0</v>
      </c>
      <c r="C88">
        <v>0</v>
      </c>
    </row>
    <row r="89" spans="1:34">
      <c r="A89">
        <v>25.5</v>
      </c>
      <c r="B89">
        <v>0</v>
      </c>
      <c r="C89">
        <v>0</v>
      </c>
    </row>
    <row r="90" spans="1:34">
      <c r="B90">
        <v>4333587</v>
      </c>
      <c r="C90">
        <v>41337</v>
      </c>
    </row>
  </sheetData>
  <mergeCells count="13">
    <mergeCell ref="AD49:AD50"/>
    <mergeCell ref="AE49:AG49"/>
    <mergeCell ref="AH49:AH50"/>
    <mergeCell ref="Q47:U47"/>
    <mergeCell ref="Q49:Q50"/>
    <mergeCell ref="R49:T49"/>
    <mergeCell ref="U49:U50"/>
    <mergeCell ref="W47:AA47"/>
    <mergeCell ref="AD47:AH47"/>
    <mergeCell ref="AD48:AH48"/>
    <mergeCell ref="W49:W50"/>
    <mergeCell ref="X49:Z49"/>
    <mergeCell ref="AA49:AA5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68"/>
  <sheetViews>
    <sheetView topLeftCell="A118" workbookViewId="0">
      <selection activeCell="N29" sqref="N29"/>
    </sheetView>
  </sheetViews>
  <sheetFormatPr baseColWidth="10" defaultColWidth="9.109375" defaultRowHeight="14.4"/>
  <cols>
    <col min="7" max="7" width="12.109375" bestFit="1" customWidth="1"/>
    <col min="11" max="11" width="12" bestFit="1" customWidth="1"/>
  </cols>
  <sheetData>
    <row r="1" spans="1:11" ht="21">
      <c r="A1" s="105" t="s">
        <v>5</v>
      </c>
      <c r="B1" s="105"/>
      <c r="C1" s="105"/>
      <c r="D1" s="105"/>
      <c r="E1" s="105"/>
    </row>
    <row r="2" spans="1:11">
      <c r="A2" s="1"/>
      <c r="B2" s="1"/>
      <c r="C2" s="1"/>
      <c r="D2" s="1"/>
      <c r="E2" s="1"/>
    </row>
    <row r="3" spans="1:11">
      <c r="A3" s="106" t="s">
        <v>6</v>
      </c>
      <c r="B3" s="108" t="s">
        <v>7</v>
      </c>
      <c r="C3" s="108"/>
      <c r="D3" s="108"/>
      <c r="E3" s="106" t="s">
        <v>8</v>
      </c>
      <c r="H3" s="104" t="s">
        <v>13</v>
      </c>
      <c r="I3" s="104"/>
      <c r="J3" s="104"/>
      <c r="K3" s="104"/>
    </row>
    <row r="4" spans="1:11">
      <c r="A4" s="107"/>
      <c r="B4" s="2">
        <v>1</v>
      </c>
      <c r="C4" s="2">
        <v>2</v>
      </c>
      <c r="D4" s="2">
        <v>3</v>
      </c>
      <c r="E4" s="107"/>
      <c r="H4" s="20" t="s">
        <v>0</v>
      </c>
      <c r="I4" s="20" t="s">
        <v>1</v>
      </c>
      <c r="J4" s="20" t="s">
        <v>2</v>
      </c>
      <c r="K4" s="20" t="s">
        <v>14</v>
      </c>
    </row>
    <row r="5" spans="1:11">
      <c r="A5" s="3">
        <v>5</v>
      </c>
      <c r="B5" s="1"/>
      <c r="C5" s="1"/>
      <c r="D5" s="1"/>
      <c r="E5" s="4"/>
      <c r="H5" s="19">
        <v>5</v>
      </c>
      <c r="I5">
        <v>0</v>
      </c>
      <c r="J5">
        <v>0</v>
      </c>
      <c r="K5">
        <f>I5/644567</f>
        <v>0</v>
      </c>
    </row>
    <row r="6" spans="1:11">
      <c r="A6" s="3">
        <v>5.5</v>
      </c>
      <c r="B6" s="1">
        <v>1</v>
      </c>
      <c r="C6" s="1"/>
      <c r="D6" s="1"/>
      <c r="E6" s="4">
        <v>1</v>
      </c>
      <c r="H6" s="19">
        <v>5.5</v>
      </c>
      <c r="I6">
        <v>90</v>
      </c>
      <c r="J6">
        <v>0</v>
      </c>
      <c r="K6">
        <f t="shared" ref="K6:K31" si="0">I6/644567</f>
        <v>1.3962861890230184E-4</v>
      </c>
    </row>
    <row r="7" spans="1:11">
      <c r="A7" s="3">
        <v>6</v>
      </c>
      <c r="B7" s="53">
        <v>1</v>
      </c>
      <c r="C7" s="1"/>
      <c r="D7" s="1"/>
      <c r="E7" s="4">
        <v>1</v>
      </c>
      <c r="H7" s="19">
        <v>6</v>
      </c>
      <c r="I7">
        <v>90</v>
      </c>
      <c r="J7">
        <v>0</v>
      </c>
      <c r="K7">
        <f t="shared" si="0"/>
        <v>1.3962861890230184E-4</v>
      </c>
    </row>
    <row r="8" spans="1:11">
      <c r="A8" s="3">
        <v>6.5</v>
      </c>
      <c r="B8" s="1">
        <v>8</v>
      </c>
      <c r="C8" s="1"/>
      <c r="D8" s="1"/>
      <c r="E8" s="4">
        <v>8</v>
      </c>
      <c r="H8" s="19">
        <v>6.5</v>
      </c>
      <c r="I8">
        <v>494</v>
      </c>
      <c r="J8">
        <v>1</v>
      </c>
      <c r="K8">
        <f t="shared" si="0"/>
        <v>7.6640597486374578E-4</v>
      </c>
    </row>
    <row r="9" spans="1:11">
      <c r="A9" s="3">
        <v>7</v>
      </c>
      <c r="B9" s="1">
        <v>8</v>
      </c>
      <c r="C9" s="1"/>
      <c r="D9" s="1"/>
      <c r="E9" s="4">
        <v>8</v>
      </c>
      <c r="H9" s="19">
        <v>7</v>
      </c>
      <c r="I9">
        <v>763</v>
      </c>
      <c r="J9">
        <v>2</v>
      </c>
      <c r="K9">
        <f t="shared" si="0"/>
        <v>1.1837404024717369E-3</v>
      </c>
    </row>
    <row r="10" spans="1:11">
      <c r="A10" s="3">
        <v>7.5</v>
      </c>
      <c r="B10" s="1">
        <v>7</v>
      </c>
      <c r="C10" s="1"/>
      <c r="D10" s="1"/>
      <c r="E10" s="4">
        <v>7</v>
      </c>
      <c r="H10" s="19">
        <v>7.5</v>
      </c>
      <c r="I10">
        <v>1079</v>
      </c>
      <c r="J10">
        <v>3</v>
      </c>
      <c r="K10">
        <f t="shared" si="0"/>
        <v>1.6739919977287077E-3</v>
      </c>
    </row>
    <row r="11" spans="1:11">
      <c r="A11" s="3">
        <v>8</v>
      </c>
      <c r="B11" s="1">
        <v>8</v>
      </c>
      <c r="C11" s="1"/>
      <c r="D11" s="1"/>
      <c r="E11" s="4">
        <v>8</v>
      </c>
      <c r="H11" s="19">
        <v>8</v>
      </c>
      <c r="I11">
        <v>1168</v>
      </c>
      <c r="J11">
        <v>4</v>
      </c>
      <c r="K11">
        <f t="shared" si="0"/>
        <v>1.8120691875320952E-3</v>
      </c>
    </row>
    <row r="12" spans="1:11">
      <c r="A12" s="3">
        <v>8.5</v>
      </c>
      <c r="B12" s="1">
        <v>10</v>
      </c>
      <c r="C12" s="1"/>
      <c r="D12" s="1"/>
      <c r="E12" s="4">
        <v>10</v>
      </c>
      <c r="H12" s="19">
        <v>8.5</v>
      </c>
      <c r="I12">
        <v>1438</v>
      </c>
      <c r="J12">
        <v>5</v>
      </c>
      <c r="K12">
        <f t="shared" si="0"/>
        <v>2.2309550442390007E-3</v>
      </c>
    </row>
    <row r="13" spans="1:11">
      <c r="A13" s="3">
        <v>9</v>
      </c>
      <c r="B13" s="1">
        <v>10</v>
      </c>
      <c r="C13" s="1"/>
      <c r="D13" s="1"/>
      <c r="E13" s="4">
        <v>10</v>
      </c>
      <c r="H13" s="19">
        <v>9</v>
      </c>
      <c r="I13">
        <v>2561</v>
      </c>
      <c r="J13">
        <v>12</v>
      </c>
      <c r="K13">
        <f t="shared" si="0"/>
        <v>3.9732099223199454E-3</v>
      </c>
    </row>
    <row r="14" spans="1:11">
      <c r="A14" s="3">
        <v>9.5</v>
      </c>
      <c r="B14" s="1">
        <v>17</v>
      </c>
      <c r="C14" s="1"/>
      <c r="D14" s="1"/>
      <c r="E14" s="4">
        <v>17</v>
      </c>
      <c r="H14" s="19">
        <v>9.5</v>
      </c>
      <c r="I14">
        <v>4125</v>
      </c>
      <c r="J14">
        <v>22</v>
      </c>
      <c r="K14">
        <f t="shared" si="0"/>
        <v>6.3996450330221681E-3</v>
      </c>
    </row>
    <row r="15" spans="1:11">
      <c r="A15" s="3">
        <v>10</v>
      </c>
      <c r="B15" s="1">
        <v>20</v>
      </c>
      <c r="C15" s="1"/>
      <c r="D15" s="1"/>
      <c r="E15" s="4">
        <v>20</v>
      </c>
      <c r="H15" s="19">
        <v>10</v>
      </c>
      <c r="I15">
        <v>7700</v>
      </c>
      <c r="J15">
        <v>49</v>
      </c>
      <c r="K15">
        <f t="shared" si="0"/>
        <v>1.1946004061641381E-2</v>
      </c>
    </row>
    <row r="16" spans="1:11">
      <c r="A16" s="3">
        <v>10.5</v>
      </c>
      <c r="B16" s="1">
        <v>29</v>
      </c>
      <c r="C16" s="1"/>
      <c r="D16" s="1"/>
      <c r="E16" s="4">
        <v>29</v>
      </c>
      <c r="H16" s="19">
        <v>10.5</v>
      </c>
      <c r="I16">
        <v>77925</v>
      </c>
      <c r="J16">
        <v>586</v>
      </c>
      <c r="K16">
        <f t="shared" si="0"/>
        <v>0.12089511253290969</v>
      </c>
    </row>
    <row r="17" spans="1:11">
      <c r="A17" s="3">
        <v>11</v>
      </c>
      <c r="B17" s="1">
        <v>21</v>
      </c>
      <c r="C17" s="1"/>
      <c r="D17" s="1"/>
      <c r="E17" s="4">
        <v>21</v>
      </c>
      <c r="H17" s="19">
        <v>11</v>
      </c>
      <c r="I17">
        <v>114448</v>
      </c>
      <c r="J17">
        <v>1006</v>
      </c>
      <c r="K17">
        <f t="shared" si="0"/>
        <v>0.1775579575125627</v>
      </c>
    </row>
    <row r="18" spans="1:11">
      <c r="A18" s="3">
        <v>11.5</v>
      </c>
      <c r="B18" s="1">
        <v>21</v>
      </c>
      <c r="C18" s="1"/>
      <c r="D18" s="1"/>
      <c r="E18" s="4">
        <v>21</v>
      </c>
      <c r="H18" s="19">
        <v>11.5</v>
      </c>
      <c r="I18">
        <v>95258</v>
      </c>
      <c r="J18">
        <v>971</v>
      </c>
      <c r="K18">
        <f t="shared" si="0"/>
        <v>0.14778603310439412</v>
      </c>
    </row>
    <row r="19" spans="1:11">
      <c r="A19" s="3">
        <v>12</v>
      </c>
      <c r="B19" s="1">
        <v>21</v>
      </c>
      <c r="C19" s="1"/>
      <c r="D19" s="1"/>
      <c r="E19" s="4">
        <v>21</v>
      </c>
      <c r="H19" s="19">
        <v>12</v>
      </c>
      <c r="I19">
        <v>92207</v>
      </c>
      <c r="J19">
        <v>1084</v>
      </c>
      <c r="K19">
        <f t="shared" si="0"/>
        <v>0.14305262292360607</v>
      </c>
    </row>
    <row r="20" spans="1:11">
      <c r="A20" s="3">
        <v>12.5</v>
      </c>
      <c r="B20" s="1">
        <v>24</v>
      </c>
      <c r="C20" s="1">
        <v>1</v>
      </c>
      <c r="D20" s="1"/>
      <c r="E20" s="4">
        <v>25</v>
      </c>
      <c r="H20" s="19">
        <v>12.5</v>
      </c>
      <c r="I20">
        <v>62454</v>
      </c>
      <c r="J20">
        <v>841</v>
      </c>
      <c r="K20">
        <f t="shared" si="0"/>
        <v>9.6892952943604005E-2</v>
      </c>
    </row>
    <row r="21" spans="1:11">
      <c r="A21" s="3">
        <v>13</v>
      </c>
      <c r="B21" s="1">
        <v>18</v>
      </c>
      <c r="C21" s="1">
        <v>2</v>
      </c>
      <c r="D21" s="1"/>
      <c r="E21" s="4">
        <v>20</v>
      </c>
      <c r="H21" s="19">
        <v>13</v>
      </c>
      <c r="I21">
        <v>47565</v>
      </c>
      <c r="J21">
        <v>730</v>
      </c>
      <c r="K21">
        <f t="shared" si="0"/>
        <v>7.3793725089866535E-2</v>
      </c>
    </row>
    <row r="22" spans="1:11">
      <c r="A22" s="3">
        <v>13.5</v>
      </c>
      <c r="B22" s="1">
        <v>15</v>
      </c>
      <c r="C22" s="1">
        <v>4</v>
      </c>
      <c r="D22" s="1"/>
      <c r="E22" s="4">
        <v>19</v>
      </c>
      <c r="H22" s="19">
        <v>13.5</v>
      </c>
      <c r="I22">
        <v>45374</v>
      </c>
      <c r="J22">
        <v>791</v>
      </c>
      <c r="K22">
        <f t="shared" si="0"/>
        <v>7.0394543934144932E-2</v>
      </c>
    </row>
    <row r="23" spans="1:11">
      <c r="A23" s="3">
        <v>14</v>
      </c>
      <c r="B23" s="1">
        <v>17</v>
      </c>
      <c r="C23" s="1">
        <v>3</v>
      </c>
      <c r="D23" s="1"/>
      <c r="E23" s="4">
        <v>20</v>
      </c>
      <c r="H23" s="19">
        <v>14</v>
      </c>
      <c r="I23">
        <v>35015</v>
      </c>
      <c r="J23">
        <v>688</v>
      </c>
      <c r="K23">
        <f t="shared" si="0"/>
        <v>5.4323289898489995E-2</v>
      </c>
    </row>
    <row r="24" spans="1:11">
      <c r="A24" s="3">
        <v>14.5</v>
      </c>
      <c r="B24" s="1">
        <v>17</v>
      </c>
      <c r="C24" s="1">
        <v>1</v>
      </c>
      <c r="D24" s="1"/>
      <c r="E24" s="4">
        <v>18</v>
      </c>
      <c r="H24" s="19">
        <v>14.5</v>
      </c>
      <c r="I24">
        <v>18464</v>
      </c>
      <c r="J24">
        <v>409</v>
      </c>
      <c r="K24">
        <f t="shared" si="0"/>
        <v>2.8645586882356681E-2</v>
      </c>
    </row>
    <row r="25" spans="1:11">
      <c r="A25" s="3">
        <v>15</v>
      </c>
      <c r="B25" s="1">
        <v>5</v>
      </c>
      <c r="C25" s="1">
        <v>9</v>
      </c>
      <c r="D25" s="1">
        <v>1</v>
      </c>
      <c r="E25" s="4">
        <v>15</v>
      </c>
      <c r="H25" s="19">
        <v>15</v>
      </c>
      <c r="I25">
        <v>13337</v>
      </c>
      <c r="J25">
        <v>330</v>
      </c>
      <c r="K25">
        <f t="shared" si="0"/>
        <v>2.0691409892222221E-2</v>
      </c>
    </row>
    <row r="26" spans="1:11">
      <c r="A26" s="3">
        <v>15.5</v>
      </c>
      <c r="B26" s="1">
        <v>1</v>
      </c>
      <c r="C26" s="1">
        <v>9</v>
      </c>
      <c r="D26" s="1">
        <v>3</v>
      </c>
      <c r="E26" s="4">
        <v>13</v>
      </c>
      <c r="H26" s="19">
        <v>15.5</v>
      </c>
      <c r="I26">
        <v>11525</v>
      </c>
      <c r="J26">
        <v>319</v>
      </c>
      <c r="K26">
        <f t="shared" si="0"/>
        <v>1.7880220364989211E-2</v>
      </c>
    </row>
    <row r="27" spans="1:11">
      <c r="A27" s="3">
        <v>16</v>
      </c>
      <c r="B27" s="1">
        <v>3</v>
      </c>
      <c r="C27" s="1">
        <v>8</v>
      </c>
      <c r="D27" s="1">
        <v>2</v>
      </c>
      <c r="E27" s="4">
        <v>13</v>
      </c>
      <c r="H27" s="19">
        <v>16</v>
      </c>
      <c r="I27">
        <v>6803</v>
      </c>
      <c r="J27">
        <v>210</v>
      </c>
      <c r="K27">
        <f t="shared" si="0"/>
        <v>1.0554372159915107E-2</v>
      </c>
    </row>
    <row r="28" spans="1:11">
      <c r="A28" s="3">
        <v>16.5</v>
      </c>
      <c r="B28" s="1">
        <v>1</v>
      </c>
      <c r="C28" s="1">
        <v>7</v>
      </c>
      <c r="D28" s="1">
        <v>5</v>
      </c>
      <c r="E28" s="4">
        <v>13</v>
      </c>
      <c r="H28" s="19">
        <v>16.5</v>
      </c>
      <c r="I28">
        <v>1912</v>
      </c>
      <c r="J28">
        <v>66</v>
      </c>
      <c r="K28">
        <f t="shared" si="0"/>
        <v>2.9663324371244572E-3</v>
      </c>
    </row>
    <row r="29" spans="1:11">
      <c r="A29" s="3">
        <v>17</v>
      </c>
      <c r="B29" s="1">
        <v>2</v>
      </c>
      <c r="C29" s="1">
        <v>7</v>
      </c>
      <c r="D29" s="1">
        <v>2</v>
      </c>
      <c r="E29" s="4">
        <v>11</v>
      </c>
      <c r="H29" s="19">
        <v>17</v>
      </c>
      <c r="I29">
        <v>2180</v>
      </c>
      <c r="J29">
        <v>82</v>
      </c>
      <c r="K29">
        <f t="shared" si="0"/>
        <v>3.3821154356335338E-3</v>
      </c>
    </row>
    <row r="30" spans="1:11">
      <c r="A30" s="3">
        <v>17.5</v>
      </c>
      <c r="B30" s="1">
        <v>1</v>
      </c>
      <c r="C30" s="1">
        <v>5</v>
      </c>
      <c r="D30" s="1">
        <v>4</v>
      </c>
      <c r="E30" s="4">
        <v>10</v>
      </c>
      <c r="H30" s="19">
        <v>17.5</v>
      </c>
      <c r="I30">
        <v>269</v>
      </c>
      <c r="J30">
        <v>11</v>
      </c>
      <c r="K30">
        <f t="shared" si="0"/>
        <v>4.1733442760799112E-4</v>
      </c>
    </row>
    <row r="31" spans="1:11">
      <c r="A31" s="3">
        <v>18</v>
      </c>
      <c r="B31" s="1"/>
      <c r="C31" s="1">
        <v>4</v>
      </c>
      <c r="D31" s="1">
        <v>6</v>
      </c>
      <c r="E31" s="4">
        <v>10</v>
      </c>
      <c r="H31" s="19">
        <v>18</v>
      </c>
      <c r="I31">
        <v>323</v>
      </c>
      <c r="J31">
        <v>15</v>
      </c>
      <c r="K31">
        <f t="shared" si="0"/>
        <v>5.0111159894937224E-4</v>
      </c>
    </row>
    <row r="32" spans="1:11">
      <c r="A32" s="16" t="s">
        <v>8</v>
      </c>
      <c r="B32" s="17">
        <f>SUM(B5:B31)</f>
        <v>286</v>
      </c>
      <c r="C32" s="5">
        <f>SUM(C5:C31)</f>
        <v>60</v>
      </c>
      <c r="D32" s="5">
        <f>SUM(D5:D31)</f>
        <v>23</v>
      </c>
      <c r="E32" s="18">
        <f>SUM(E5:E31)</f>
        <v>369</v>
      </c>
      <c r="I32">
        <v>644567</v>
      </c>
      <c r="J32">
        <v>8237</v>
      </c>
    </row>
    <row r="35" spans="1:11" ht="21">
      <c r="A35" s="97" t="s">
        <v>9</v>
      </c>
      <c r="B35" s="97"/>
      <c r="C35" s="97"/>
      <c r="D35" s="97"/>
      <c r="E35" s="97"/>
    </row>
    <row r="37" spans="1:11">
      <c r="A37" s="95" t="s">
        <v>6</v>
      </c>
      <c r="B37" s="103" t="s">
        <v>7</v>
      </c>
      <c r="C37" s="100"/>
      <c r="D37" s="100"/>
      <c r="E37" s="95" t="s">
        <v>8</v>
      </c>
      <c r="H37" s="104" t="s">
        <v>18</v>
      </c>
      <c r="I37" s="104"/>
      <c r="J37" s="104"/>
      <c r="K37" s="104"/>
    </row>
    <row r="38" spans="1:11">
      <c r="A38" s="96"/>
      <c r="B38" s="7">
        <v>1</v>
      </c>
      <c r="C38" s="7">
        <v>2</v>
      </c>
      <c r="D38" s="7">
        <v>3</v>
      </c>
      <c r="E38" s="96"/>
      <c r="H38" s="20" t="s">
        <v>0</v>
      </c>
      <c r="I38" s="20" t="s">
        <v>1</v>
      </c>
      <c r="J38" s="20" t="s">
        <v>2</v>
      </c>
      <c r="K38" s="20" t="s">
        <v>14</v>
      </c>
    </row>
    <row r="39" spans="1:11">
      <c r="A39" s="8">
        <v>5</v>
      </c>
      <c r="B39" s="9"/>
      <c r="C39" s="9"/>
      <c r="D39" s="9"/>
      <c r="E39" s="10"/>
      <c r="H39">
        <v>5</v>
      </c>
      <c r="I39">
        <v>0</v>
      </c>
      <c r="J39">
        <v>0</v>
      </c>
      <c r="K39">
        <f>I39/157668</f>
        <v>0</v>
      </c>
    </row>
    <row r="40" spans="1:11">
      <c r="A40" s="8">
        <v>5.5</v>
      </c>
      <c r="E40" s="11"/>
      <c r="H40">
        <v>5.5</v>
      </c>
      <c r="I40">
        <v>0</v>
      </c>
      <c r="J40">
        <v>0</v>
      </c>
      <c r="K40">
        <f t="shared" ref="K40:K65" si="1">I40/157668</f>
        <v>0</v>
      </c>
    </row>
    <row r="41" spans="1:11">
      <c r="A41" s="8">
        <v>6</v>
      </c>
      <c r="E41" s="11"/>
      <c r="H41">
        <v>6</v>
      </c>
      <c r="I41">
        <v>0</v>
      </c>
      <c r="J41">
        <v>0</v>
      </c>
      <c r="K41">
        <f t="shared" si="1"/>
        <v>0</v>
      </c>
    </row>
    <row r="42" spans="1:11">
      <c r="A42" s="8">
        <v>6.5</v>
      </c>
      <c r="E42" s="11"/>
      <c r="H42">
        <v>6.5</v>
      </c>
      <c r="I42">
        <v>0</v>
      </c>
      <c r="J42">
        <v>0</v>
      </c>
      <c r="K42">
        <f t="shared" si="1"/>
        <v>0</v>
      </c>
    </row>
    <row r="43" spans="1:11">
      <c r="A43" s="8">
        <v>7</v>
      </c>
      <c r="E43" s="11"/>
      <c r="H43">
        <v>7</v>
      </c>
      <c r="I43">
        <v>0</v>
      </c>
      <c r="J43">
        <v>0</v>
      </c>
      <c r="K43">
        <f t="shared" si="1"/>
        <v>0</v>
      </c>
    </row>
    <row r="44" spans="1:11">
      <c r="A44" s="8">
        <v>7.5</v>
      </c>
      <c r="E44" s="11"/>
      <c r="H44">
        <v>7.5</v>
      </c>
      <c r="I44">
        <v>0</v>
      </c>
      <c r="J44">
        <v>0</v>
      </c>
      <c r="K44">
        <f t="shared" si="1"/>
        <v>0</v>
      </c>
    </row>
    <row r="45" spans="1:11">
      <c r="A45" s="8">
        <v>8</v>
      </c>
      <c r="E45" s="11"/>
      <c r="H45">
        <v>8</v>
      </c>
      <c r="I45">
        <v>0</v>
      </c>
      <c r="J45">
        <v>0</v>
      </c>
      <c r="K45">
        <f t="shared" si="1"/>
        <v>0</v>
      </c>
    </row>
    <row r="46" spans="1:11">
      <c r="A46" s="8">
        <v>8.5</v>
      </c>
      <c r="E46" s="11"/>
      <c r="H46">
        <v>8.5</v>
      </c>
      <c r="I46">
        <v>0</v>
      </c>
      <c r="J46">
        <v>0</v>
      </c>
      <c r="K46">
        <f t="shared" si="1"/>
        <v>0</v>
      </c>
    </row>
    <row r="47" spans="1:11">
      <c r="A47" s="8">
        <v>9</v>
      </c>
      <c r="E47" s="11"/>
      <c r="H47">
        <v>9</v>
      </c>
      <c r="I47">
        <v>0</v>
      </c>
      <c r="J47">
        <v>0</v>
      </c>
      <c r="K47">
        <f t="shared" si="1"/>
        <v>0</v>
      </c>
    </row>
    <row r="48" spans="1:11">
      <c r="A48" s="8">
        <v>9.5</v>
      </c>
      <c r="E48" s="11"/>
      <c r="H48">
        <v>9.5</v>
      </c>
      <c r="I48">
        <v>0</v>
      </c>
      <c r="J48">
        <v>0</v>
      </c>
      <c r="K48">
        <f t="shared" si="1"/>
        <v>0</v>
      </c>
    </row>
    <row r="49" spans="1:11">
      <c r="A49" s="8">
        <v>10</v>
      </c>
      <c r="E49" s="11"/>
      <c r="H49">
        <v>10</v>
      </c>
      <c r="I49">
        <v>0</v>
      </c>
      <c r="J49">
        <v>0</v>
      </c>
      <c r="K49">
        <f t="shared" si="1"/>
        <v>0</v>
      </c>
    </row>
    <row r="50" spans="1:11">
      <c r="A50" s="8">
        <v>10.5</v>
      </c>
      <c r="E50" s="11"/>
      <c r="H50">
        <v>10.5</v>
      </c>
      <c r="I50">
        <v>0</v>
      </c>
      <c r="J50">
        <v>0</v>
      </c>
      <c r="K50">
        <f t="shared" si="1"/>
        <v>0</v>
      </c>
    </row>
    <row r="51" spans="1:11">
      <c r="A51" s="8">
        <v>11</v>
      </c>
      <c r="B51">
        <v>5</v>
      </c>
      <c r="E51" s="11">
        <v>5</v>
      </c>
      <c r="H51">
        <v>11</v>
      </c>
      <c r="I51">
        <v>3122</v>
      </c>
      <c r="J51">
        <v>27</v>
      </c>
      <c r="K51">
        <f t="shared" si="1"/>
        <v>1.9801101047771268E-2</v>
      </c>
    </row>
    <row r="52" spans="1:11">
      <c r="A52" s="8">
        <v>11.5</v>
      </c>
      <c r="B52">
        <v>20</v>
      </c>
      <c r="E52" s="11">
        <v>20</v>
      </c>
      <c r="H52">
        <v>11.5</v>
      </c>
      <c r="I52">
        <v>19519</v>
      </c>
      <c r="J52">
        <v>199</v>
      </c>
      <c r="K52">
        <f t="shared" si="1"/>
        <v>0.12379810741558211</v>
      </c>
    </row>
    <row r="53" spans="1:11">
      <c r="A53" s="8">
        <v>12</v>
      </c>
      <c r="B53">
        <v>20</v>
      </c>
      <c r="E53" s="11">
        <v>20</v>
      </c>
      <c r="H53">
        <v>12</v>
      </c>
      <c r="I53">
        <v>49996</v>
      </c>
      <c r="J53">
        <v>587</v>
      </c>
      <c r="K53">
        <f t="shared" si="1"/>
        <v>0.31709668417180403</v>
      </c>
    </row>
    <row r="54" spans="1:11">
      <c r="A54" s="8">
        <v>12.5</v>
      </c>
      <c r="B54">
        <v>20</v>
      </c>
      <c r="E54" s="11">
        <v>20</v>
      </c>
      <c r="H54">
        <v>12.5</v>
      </c>
      <c r="I54">
        <v>41325</v>
      </c>
      <c r="J54">
        <v>556</v>
      </c>
      <c r="K54">
        <f t="shared" si="1"/>
        <v>0.26210137757820229</v>
      </c>
    </row>
    <row r="55" spans="1:11">
      <c r="A55" s="8">
        <v>13</v>
      </c>
      <c r="B55">
        <v>8</v>
      </c>
      <c r="C55">
        <v>2</v>
      </c>
      <c r="E55" s="11">
        <v>10</v>
      </c>
      <c r="H55">
        <v>13</v>
      </c>
      <c r="I55">
        <v>12661</v>
      </c>
      <c r="J55">
        <v>194</v>
      </c>
      <c r="K55">
        <f t="shared" si="1"/>
        <v>8.0301646497704035E-2</v>
      </c>
    </row>
    <row r="56" spans="1:11">
      <c r="A56" s="8">
        <v>13.5</v>
      </c>
      <c r="B56">
        <v>6</v>
      </c>
      <c r="C56">
        <v>4</v>
      </c>
      <c r="E56" s="11">
        <v>10</v>
      </c>
      <c r="H56">
        <v>13.5</v>
      </c>
      <c r="I56">
        <v>16744</v>
      </c>
      <c r="J56">
        <v>292</v>
      </c>
      <c r="K56">
        <f t="shared" si="1"/>
        <v>0.1061978334221275</v>
      </c>
    </row>
    <row r="57" spans="1:11">
      <c r="A57" s="8">
        <v>14</v>
      </c>
      <c r="B57">
        <v>3</v>
      </c>
      <c r="C57">
        <v>7</v>
      </c>
      <c r="E57" s="11">
        <v>10</v>
      </c>
      <c r="H57">
        <v>14</v>
      </c>
      <c r="I57">
        <v>8987</v>
      </c>
      <c r="J57">
        <v>177</v>
      </c>
      <c r="K57">
        <f t="shared" si="1"/>
        <v>5.6999517974478019E-2</v>
      </c>
    </row>
    <row r="58" spans="1:11">
      <c r="A58" s="8">
        <v>14.5</v>
      </c>
      <c r="B58">
        <v>2</v>
      </c>
      <c r="C58">
        <v>6</v>
      </c>
      <c r="E58" s="11">
        <v>8</v>
      </c>
      <c r="H58">
        <v>14.5</v>
      </c>
      <c r="I58">
        <v>3264</v>
      </c>
      <c r="J58">
        <v>72</v>
      </c>
      <c r="K58">
        <f t="shared" si="1"/>
        <v>2.0701727680949845E-2</v>
      </c>
    </row>
    <row r="59" spans="1:11">
      <c r="A59" s="8">
        <v>15</v>
      </c>
      <c r="C59">
        <v>4</v>
      </c>
      <c r="E59" s="11">
        <v>4</v>
      </c>
      <c r="H59">
        <v>15</v>
      </c>
      <c r="I59">
        <v>1640</v>
      </c>
      <c r="J59">
        <v>41</v>
      </c>
      <c r="K59">
        <f t="shared" si="1"/>
        <v>1.0401603369104701E-2</v>
      </c>
    </row>
    <row r="60" spans="1:11">
      <c r="A60" s="8">
        <v>15.5</v>
      </c>
      <c r="C60" s="54">
        <v>1</v>
      </c>
      <c r="D60" s="54"/>
      <c r="E60" s="55">
        <v>1</v>
      </c>
      <c r="H60">
        <v>15.5</v>
      </c>
      <c r="I60">
        <v>410</v>
      </c>
      <c r="J60">
        <v>11</v>
      </c>
      <c r="K60">
        <f t="shared" si="1"/>
        <v>2.6004008422761751E-3</v>
      </c>
    </row>
    <row r="61" spans="1:11">
      <c r="A61" s="8">
        <v>16</v>
      </c>
      <c r="E61" s="11"/>
      <c r="H61">
        <v>16</v>
      </c>
      <c r="I61">
        <v>0</v>
      </c>
      <c r="J61">
        <v>0</v>
      </c>
      <c r="K61">
        <f t="shared" si="1"/>
        <v>0</v>
      </c>
    </row>
    <row r="62" spans="1:11">
      <c r="A62" s="8">
        <v>16.5</v>
      </c>
      <c r="E62" s="11"/>
      <c r="H62">
        <v>16.5</v>
      </c>
      <c r="I62">
        <v>0</v>
      </c>
      <c r="J62">
        <v>0</v>
      </c>
      <c r="K62">
        <f t="shared" si="1"/>
        <v>0</v>
      </c>
    </row>
    <row r="63" spans="1:11">
      <c r="A63" s="8">
        <v>17</v>
      </c>
      <c r="E63" s="11"/>
      <c r="H63">
        <v>17</v>
      </c>
      <c r="I63">
        <v>0</v>
      </c>
      <c r="J63">
        <v>0</v>
      </c>
      <c r="K63">
        <f t="shared" si="1"/>
        <v>0</v>
      </c>
    </row>
    <row r="64" spans="1:11">
      <c r="A64" s="8">
        <v>17.5</v>
      </c>
      <c r="E64" s="11"/>
      <c r="H64">
        <v>17.5</v>
      </c>
      <c r="I64">
        <v>0</v>
      </c>
      <c r="J64">
        <v>0</v>
      </c>
      <c r="K64">
        <f t="shared" si="1"/>
        <v>0</v>
      </c>
    </row>
    <row r="65" spans="1:11">
      <c r="A65" s="8">
        <v>18</v>
      </c>
      <c r="E65" s="11"/>
      <c r="H65">
        <v>18</v>
      </c>
      <c r="I65">
        <v>0</v>
      </c>
      <c r="J65">
        <v>0</v>
      </c>
      <c r="K65">
        <f t="shared" si="1"/>
        <v>0</v>
      </c>
    </row>
    <row r="66" spans="1:11">
      <c r="A66" s="12" t="s">
        <v>8</v>
      </c>
      <c r="B66" s="17">
        <f>SUM(B39:B65)</f>
        <v>84</v>
      </c>
      <c r="C66" s="5">
        <f>SUM(C39:C65)</f>
        <v>24</v>
      </c>
      <c r="D66" s="5">
        <f>SUM(D39:D65)</f>
        <v>0</v>
      </c>
      <c r="E66" s="6">
        <f>SUM(E39:E65)</f>
        <v>108</v>
      </c>
      <c r="I66">
        <f>SUM(I39:I65)</f>
        <v>157668</v>
      </c>
      <c r="J66">
        <f>SUM(J39:J65)</f>
        <v>2156</v>
      </c>
    </row>
    <row r="69" spans="1:11" ht="21">
      <c r="A69" s="97" t="s">
        <v>10</v>
      </c>
      <c r="B69" s="97"/>
      <c r="C69" s="97"/>
      <c r="D69" s="97"/>
      <c r="E69" s="97"/>
    </row>
    <row r="71" spans="1:11">
      <c r="A71" s="95" t="s">
        <v>6</v>
      </c>
      <c r="B71" s="103" t="s">
        <v>7</v>
      </c>
      <c r="C71" s="100"/>
      <c r="D71" s="100"/>
      <c r="E71" s="95" t="s">
        <v>8</v>
      </c>
    </row>
    <row r="72" spans="1:11">
      <c r="A72" s="96"/>
      <c r="B72" s="7">
        <v>1</v>
      </c>
      <c r="C72" s="7">
        <v>2</v>
      </c>
      <c r="D72" s="7">
        <v>3</v>
      </c>
      <c r="E72" s="96"/>
      <c r="H72" t="s">
        <v>0</v>
      </c>
      <c r="I72" t="s">
        <v>1</v>
      </c>
      <c r="J72" t="s">
        <v>2</v>
      </c>
    </row>
    <row r="73" spans="1:11">
      <c r="A73" s="8">
        <v>5</v>
      </c>
      <c r="E73" s="11"/>
      <c r="H73">
        <v>5</v>
      </c>
      <c r="I73">
        <v>0</v>
      </c>
      <c r="J73">
        <v>0</v>
      </c>
      <c r="K73">
        <f>I73/3531352</f>
        <v>0</v>
      </c>
    </row>
    <row r="74" spans="1:11">
      <c r="A74" s="8">
        <v>5.5</v>
      </c>
      <c r="E74" s="11"/>
      <c r="H74">
        <v>5.5</v>
      </c>
      <c r="I74">
        <v>0</v>
      </c>
      <c r="J74">
        <v>0</v>
      </c>
      <c r="K74">
        <f t="shared" ref="K74:K99" si="2">I74/3531352</f>
        <v>0</v>
      </c>
    </row>
    <row r="75" spans="1:11">
      <c r="A75" s="8">
        <v>6</v>
      </c>
      <c r="E75" s="11"/>
      <c r="H75">
        <v>6</v>
      </c>
      <c r="I75">
        <v>0</v>
      </c>
      <c r="J75">
        <v>0</v>
      </c>
      <c r="K75">
        <f t="shared" si="2"/>
        <v>0</v>
      </c>
    </row>
    <row r="76" spans="1:11">
      <c r="A76" s="8">
        <v>6.5</v>
      </c>
      <c r="E76" s="11"/>
      <c r="H76">
        <v>6.5</v>
      </c>
      <c r="I76">
        <v>0</v>
      </c>
      <c r="J76">
        <v>0</v>
      </c>
      <c r="K76">
        <f t="shared" si="2"/>
        <v>0</v>
      </c>
    </row>
    <row r="77" spans="1:11">
      <c r="A77" s="8">
        <v>7</v>
      </c>
      <c r="E77" s="11"/>
      <c r="H77">
        <v>7</v>
      </c>
      <c r="I77">
        <v>0</v>
      </c>
      <c r="J77">
        <v>0</v>
      </c>
      <c r="K77">
        <f t="shared" si="2"/>
        <v>0</v>
      </c>
    </row>
    <row r="78" spans="1:11">
      <c r="A78" s="8">
        <v>7.5</v>
      </c>
      <c r="E78" s="11"/>
      <c r="H78">
        <v>7.5</v>
      </c>
      <c r="I78">
        <v>0</v>
      </c>
      <c r="J78">
        <v>0</v>
      </c>
      <c r="K78">
        <f t="shared" si="2"/>
        <v>0</v>
      </c>
    </row>
    <row r="79" spans="1:11">
      <c r="A79" s="8">
        <v>8</v>
      </c>
      <c r="E79" s="11"/>
      <c r="H79">
        <v>8</v>
      </c>
      <c r="I79">
        <v>0</v>
      </c>
      <c r="J79">
        <v>0</v>
      </c>
      <c r="K79">
        <f t="shared" si="2"/>
        <v>0</v>
      </c>
    </row>
    <row r="80" spans="1:11">
      <c r="A80" s="8">
        <v>8.5</v>
      </c>
      <c r="E80" s="11"/>
      <c r="H80">
        <v>8.5</v>
      </c>
      <c r="I80">
        <v>0</v>
      </c>
      <c r="J80">
        <v>0</v>
      </c>
      <c r="K80">
        <f t="shared" si="2"/>
        <v>0</v>
      </c>
    </row>
    <row r="81" spans="1:11">
      <c r="A81" s="8">
        <v>9</v>
      </c>
      <c r="E81" s="11"/>
      <c r="H81">
        <v>9</v>
      </c>
      <c r="I81">
        <v>0</v>
      </c>
      <c r="J81">
        <v>0</v>
      </c>
      <c r="K81">
        <f t="shared" si="2"/>
        <v>0</v>
      </c>
    </row>
    <row r="82" spans="1:11">
      <c r="A82" s="8">
        <v>9.5</v>
      </c>
      <c r="B82">
        <v>15</v>
      </c>
      <c r="C82">
        <v>1</v>
      </c>
      <c r="E82" s="11">
        <v>16</v>
      </c>
      <c r="H82">
        <v>9.5</v>
      </c>
      <c r="I82">
        <v>221253</v>
      </c>
      <c r="J82">
        <v>1193</v>
      </c>
      <c r="K82">
        <f t="shared" si="2"/>
        <v>6.2653907058826189E-2</v>
      </c>
    </row>
    <row r="83" spans="1:11">
      <c r="A83" s="8">
        <v>10</v>
      </c>
      <c r="B83">
        <v>23</v>
      </c>
      <c r="E83" s="11">
        <v>23</v>
      </c>
      <c r="H83">
        <v>10</v>
      </c>
      <c r="I83">
        <v>507208</v>
      </c>
      <c r="J83">
        <v>3245</v>
      </c>
      <c r="K83">
        <f t="shared" si="2"/>
        <v>0.14362997514832845</v>
      </c>
    </row>
    <row r="84" spans="1:11">
      <c r="A84" s="8">
        <v>10.5</v>
      </c>
      <c r="B84">
        <v>22</v>
      </c>
      <c r="C84">
        <v>1</v>
      </c>
      <c r="E84" s="11">
        <v>23</v>
      </c>
      <c r="H84">
        <v>10.5</v>
      </c>
      <c r="I84">
        <v>982579</v>
      </c>
      <c r="J84">
        <v>7393</v>
      </c>
      <c r="K84">
        <f t="shared" si="2"/>
        <v>0.27824442309914166</v>
      </c>
    </row>
    <row r="85" spans="1:11">
      <c r="A85" s="8">
        <v>11</v>
      </c>
      <c r="B85">
        <v>17</v>
      </c>
      <c r="C85">
        <v>4</v>
      </c>
      <c r="E85" s="11">
        <v>21</v>
      </c>
      <c r="H85">
        <v>11</v>
      </c>
      <c r="I85">
        <v>698212</v>
      </c>
      <c r="J85">
        <v>6135</v>
      </c>
      <c r="K85">
        <f t="shared" si="2"/>
        <v>0.19771804113551977</v>
      </c>
    </row>
    <row r="86" spans="1:11">
      <c r="A86" s="8">
        <v>11.5</v>
      </c>
      <c r="B86">
        <v>24</v>
      </c>
      <c r="E86" s="11">
        <v>24</v>
      </c>
      <c r="H86">
        <v>11.5</v>
      </c>
      <c r="I86">
        <v>506405</v>
      </c>
      <c r="J86">
        <v>5160</v>
      </c>
      <c r="K86">
        <f t="shared" si="2"/>
        <v>0.14340258348643806</v>
      </c>
    </row>
    <row r="87" spans="1:11">
      <c r="A87" s="8">
        <v>12</v>
      </c>
      <c r="B87">
        <v>24</v>
      </c>
      <c r="E87" s="11">
        <v>24</v>
      </c>
      <c r="H87">
        <v>12</v>
      </c>
      <c r="I87">
        <v>325938</v>
      </c>
      <c r="J87">
        <v>3828</v>
      </c>
      <c r="K87">
        <f t="shared" si="2"/>
        <v>9.2298360514613098E-2</v>
      </c>
    </row>
    <row r="88" spans="1:11">
      <c r="A88" s="8">
        <v>12.5</v>
      </c>
      <c r="B88">
        <v>16</v>
      </c>
      <c r="C88">
        <v>6</v>
      </c>
      <c r="E88" s="11">
        <v>22</v>
      </c>
      <c r="H88">
        <v>12.5</v>
      </c>
      <c r="I88">
        <v>242287</v>
      </c>
      <c r="J88">
        <v>3261</v>
      </c>
      <c r="K88">
        <f t="shared" si="2"/>
        <v>6.8610265983113553E-2</v>
      </c>
    </row>
    <row r="89" spans="1:11">
      <c r="A89" s="8">
        <v>13</v>
      </c>
      <c r="B89">
        <v>10</v>
      </c>
      <c r="C89">
        <v>6</v>
      </c>
      <c r="E89" s="11">
        <v>16</v>
      </c>
      <c r="H89">
        <v>13</v>
      </c>
      <c r="I89">
        <v>47470</v>
      </c>
      <c r="J89">
        <v>729</v>
      </c>
      <c r="K89">
        <f t="shared" si="2"/>
        <v>1.3442443574019242E-2</v>
      </c>
    </row>
    <row r="90" spans="1:11">
      <c r="A90" s="8">
        <v>13.5</v>
      </c>
      <c r="E90" s="11"/>
      <c r="H90">
        <v>13.5</v>
      </c>
      <c r="I90">
        <v>0</v>
      </c>
      <c r="J90">
        <v>0</v>
      </c>
      <c r="K90">
        <f t="shared" si="2"/>
        <v>0</v>
      </c>
    </row>
    <row r="91" spans="1:11">
      <c r="A91" s="8">
        <v>14</v>
      </c>
      <c r="E91" s="11"/>
      <c r="H91">
        <v>14</v>
      </c>
      <c r="I91">
        <v>0</v>
      </c>
      <c r="J91">
        <v>0</v>
      </c>
      <c r="K91">
        <f t="shared" si="2"/>
        <v>0</v>
      </c>
    </row>
    <row r="92" spans="1:11">
      <c r="A92" s="8">
        <v>14.5</v>
      </c>
      <c r="E92" s="11"/>
      <c r="H92">
        <v>14.5</v>
      </c>
      <c r="I92">
        <v>0</v>
      </c>
      <c r="J92">
        <v>0</v>
      </c>
      <c r="K92">
        <f t="shared" si="2"/>
        <v>0</v>
      </c>
    </row>
    <row r="93" spans="1:11">
      <c r="A93" s="8">
        <v>15</v>
      </c>
      <c r="E93" s="11"/>
      <c r="H93">
        <v>15</v>
      </c>
      <c r="I93">
        <v>0</v>
      </c>
      <c r="J93">
        <v>0</v>
      </c>
      <c r="K93">
        <f t="shared" si="2"/>
        <v>0</v>
      </c>
    </row>
    <row r="94" spans="1:11">
      <c r="A94" s="8">
        <v>15.5</v>
      </c>
      <c r="E94" s="11"/>
      <c r="H94">
        <v>15.5</v>
      </c>
      <c r="I94">
        <v>0</v>
      </c>
      <c r="J94">
        <v>0</v>
      </c>
      <c r="K94">
        <f t="shared" si="2"/>
        <v>0</v>
      </c>
    </row>
    <row r="95" spans="1:11">
      <c r="A95" s="8">
        <v>16</v>
      </c>
      <c r="E95" s="11"/>
      <c r="H95">
        <v>16</v>
      </c>
      <c r="I95">
        <v>0</v>
      </c>
      <c r="J95">
        <v>0</v>
      </c>
      <c r="K95">
        <f t="shared" si="2"/>
        <v>0</v>
      </c>
    </row>
    <row r="96" spans="1:11">
      <c r="A96" s="8">
        <v>16.5</v>
      </c>
      <c r="E96" s="11"/>
      <c r="H96">
        <v>16.5</v>
      </c>
      <c r="I96">
        <v>0</v>
      </c>
      <c r="J96">
        <v>0</v>
      </c>
      <c r="K96">
        <f t="shared" si="2"/>
        <v>0</v>
      </c>
    </row>
    <row r="97" spans="1:11">
      <c r="A97" s="8">
        <v>17</v>
      </c>
      <c r="E97" s="11"/>
      <c r="H97">
        <v>17</v>
      </c>
      <c r="I97">
        <v>0</v>
      </c>
      <c r="J97">
        <v>0</v>
      </c>
      <c r="K97">
        <f t="shared" si="2"/>
        <v>0</v>
      </c>
    </row>
    <row r="98" spans="1:11">
      <c r="A98" s="8">
        <v>17.5</v>
      </c>
      <c r="E98" s="11"/>
      <c r="H98">
        <v>17.5</v>
      </c>
      <c r="I98">
        <v>0</v>
      </c>
      <c r="J98">
        <v>0</v>
      </c>
      <c r="K98">
        <f t="shared" si="2"/>
        <v>0</v>
      </c>
    </row>
    <row r="99" spans="1:11">
      <c r="A99" s="8">
        <v>18</v>
      </c>
      <c r="E99" s="11"/>
      <c r="H99">
        <v>18</v>
      </c>
      <c r="I99">
        <v>0</v>
      </c>
      <c r="J99">
        <v>0</v>
      </c>
      <c r="K99">
        <f t="shared" si="2"/>
        <v>0</v>
      </c>
    </row>
    <row r="100" spans="1:11">
      <c r="A100" s="12" t="s">
        <v>8</v>
      </c>
      <c r="B100" s="13">
        <v>151</v>
      </c>
      <c r="C100" s="13">
        <v>18</v>
      </c>
      <c r="D100" s="13"/>
      <c r="E100" s="14">
        <v>169</v>
      </c>
      <c r="I100">
        <f>SUM(I73:I99)</f>
        <v>3531352</v>
      </c>
      <c r="J100">
        <f>SUM(J73:J99)</f>
        <v>30944</v>
      </c>
    </row>
    <row r="103" spans="1:11" ht="21">
      <c r="A103" s="97" t="s">
        <v>11</v>
      </c>
      <c r="B103" s="97"/>
      <c r="C103" s="97"/>
      <c r="D103" s="97"/>
      <c r="E103" s="97"/>
    </row>
    <row r="105" spans="1:11">
      <c r="A105" s="95" t="s">
        <v>6</v>
      </c>
      <c r="B105" s="103" t="s">
        <v>7</v>
      </c>
      <c r="C105" s="100"/>
      <c r="D105" s="100"/>
      <c r="E105" s="95" t="s">
        <v>8</v>
      </c>
    </row>
    <row r="106" spans="1:11">
      <c r="A106" s="96"/>
      <c r="B106" s="7">
        <v>1</v>
      </c>
      <c r="C106" s="7">
        <v>2</v>
      </c>
      <c r="D106" s="7">
        <v>3</v>
      </c>
      <c r="E106" s="96"/>
    </row>
    <row r="107" spans="1:11">
      <c r="A107" s="8">
        <v>5</v>
      </c>
      <c r="B107">
        <f>+B39+B5</f>
        <v>0</v>
      </c>
      <c r="C107">
        <f t="shared" ref="C107:D107" si="3">+C39+C5</f>
        <v>0</v>
      </c>
      <c r="D107">
        <f t="shared" si="3"/>
        <v>0</v>
      </c>
      <c r="E107" s="11">
        <f>SUM(B107:D107)</f>
        <v>0</v>
      </c>
    </row>
    <row r="108" spans="1:11">
      <c r="A108" s="8">
        <v>5.5</v>
      </c>
      <c r="B108">
        <f t="shared" ref="B108:D133" si="4">+B40+B6</f>
        <v>1</v>
      </c>
      <c r="C108">
        <f t="shared" si="4"/>
        <v>0</v>
      </c>
      <c r="D108">
        <f t="shared" si="4"/>
        <v>0</v>
      </c>
      <c r="E108" s="11">
        <f t="shared" ref="E108:E133" si="5">SUM(B108:D108)</f>
        <v>1</v>
      </c>
    </row>
    <row r="109" spans="1:11">
      <c r="A109" s="8">
        <v>6</v>
      </c>
      <c r="B109">
        <f t="shared" si="4"/>
        <v>1</v>
      </c>
      <c r="C109">
        <f t="shared" si="4"/>
        <v>0</v>
      </c>
      <c r="D109">
        <f t="shared" si="4"/>
        <v>0</v>
      </c>
      <c r="E109" s="11">
        <f t="shared" si="5"/>
        <v>1</v>
      </c>
    </row>
    <row r="110" spans="1:11">
      <c r="A110" s="8">
        <v>6.5</v>
      </c>
      <c r="B110">
        <f t="shared" si="4"/>
        <v>8</v>
      </c>
      <c r="C110">
        <f t="shared" si="4"/>
        <v>0</v>
      </c>
      <c r="D110">
        <f t="shared" si="4"/>
        <v>0</v>
      </c>
      <c r="E110" s="11">
        <f t="shared" si="5"/>
        <v>8</v>
      </c>
    </row>
    <row r="111" spans="1:11">
      <c r="A111" s="8">
        <v>7</v>
      </c>
      <c r="B111">
        <f t="shared" si="4"/>
        <v>8</v>
      </c>
      <c r="C111">
        <f t="shared" si="4"/>
        <v>0</v>
      </c>
      <c r="D111">
        <f t="shared" si="4"/>
        <v>0</v>
      </c>
      <c r="E111" s="11">
        <f t="shared" si="5"/>
        <v>8</v>
      </c>
    </row>
    <row r="112" spans="1:11">
      <c r="A112" s="8">
        <v>7.5</v>
      </c>
      <c r="B112">
        <f t="shared" si="4"/>
        <v>7</v>
      </c>
      <c r="C112">
        <f t="shared" si="4"/>
        <v>0</v>
      </c>
      <c r="D112">
        <f t="shared" si="4"/>
        <v>0</v>
      </c>
      <c r="E112" s="11">
        <f t="shared" si="5"/>
        <v>7</v>
      </c>
    </row>
    <row r="113" spans="1:5">
      <c r="A113" s="8">
        <v>8</v>
      </c>
      <c r="B113">
        <f t="shared" si="4"/>
        <v>8</v>
      </c>
      <c r="C113">
        <f t="shared" si="4"/>
        <v>0</v>
      </c>
      <c r="D113">
        <f t="shared" si="4"/>
        <v>0</v>
      </c>
      <c r="E113" s="11">
        <f t="shared" si="5"/>
        <v>8</v>
      </c>
    </row>
    <row r="114" spans="1:5">
      <c r="A114" s="8">
        <v>8.5</v>
      </c>
      <c r="B114">
        <f t="shared" si="4"/>
        <v>10</v>
      </c>
      <c r="C114">
        <f t="shared" si="4"/>
        <v>0</v>
      </c>
      <c r="D114">
        <f t="shared" si="4"/>
        <v>0</v>
      </c>
      <c r="E114" s="11">
        <f t="shared" si="5"/>
        <v>10</v>
      </c>
    </row>
    <row r="115" spans="1:5">
      <c r="A115" s="8">
        <v>9</v>
      </c>
      <c r="B115">
        <f t="shared" si="4"/>
        <v>10</v>
      </c>
      <c r="C115">
        <f t="shared" si="4"/>
        <v>0</v>
      </c>
      <c r="D115">
        <f t="shared" si="4"/>
        <v>0</v>
      </c>
      <c r="E115" s="11">
        <f t="shared" si="5"/>
        <v>10</v>
      </c>
    </row>
    <row r="116" spans="1:5">
      <c r="A116" s="8">
        <v>9.5</v>
      </c>
      <c r="B116">
        <f t="shared" si="4"/>
        <v>17</v>
      </c>
      <c r="C116">
        <f t="shared" si="4"/>
        <v>0</v>
      </c>
      <c r="D116">
        <f t="shared" si="4"/>
        <v>0</v>
      </c>
      <c r="E116" s="11">
        <f t="shared" si="5"/>
        <v>17</v>
      </c>
    </row>
    <row r="117" spans="1:5">
      <c r="A117" s="8">
        <v>10</v>
      </c>
      <c r="B117">
        <f t="shared" si="4"/>
        <v>20</v>
      </c>
      <c r="C117">
        <f t="shared" si="4"/>
        <v>0</v>
      </c>
      <c r="D117">
        <f t="shared" si="4"/>
        <v>0</v>
      </c>
      <c r="E117" s="11">
        <f t="shared" si="5"/>
        <v>20</v>
      </c>
    </row>
    <row r="118" spans="1:5">
      <c r="A118" s="8">
        <v>10.5</v>
      </c>
      <c r="B118">
        <f t="shared" si="4"/>
        <v>29</v>
      </c>
      <c r="C118">
        <f t="shared" si="4"/>
        <v>0</v>
      </c>
      <c r="D118">
        <f t="shared" si="4"/>
        <v>0</v>
      </c>
      <c r="E118" s="11">
        <f t="shared" si="5"/>
        <v>29</v>
      </c>
    </row>
    <row r="119" spans="1:5">
      <c r="A119" s="8">
        <v>11</v>
      </c>
      <c r="B119">
        <f t="shared" si="4"/>
        <v>26</v>
      </c>
      <c r="C119">
        <f t="shared" si="4"/>
        <v>0</v>
      </c>
      <c r="D119">
        <f t="shared" si="4"/>
        <v>0</v>
      </c>
      <c r="E119" s="11">
        <f t="shared" si="5"/>
        <v>26</v>
      </c>
    </row>
    <row r="120" spans="1:5">
      <c r="A120" s="8">
        <v>11.5</v>
      </c>
      <c r="B120">
        <f t="shared" si="4"/>
        <v>41</v>
      </c>
      <c r="C120">
        <f t="shared" si="4"/>
        <v>0</v>
      </c>
      <c r="D120">
        <f t="shared" si="4"/>
        <v>0</v>
      </c>
      <c r="E120" s="11">
        <f t="shared" si="5"/>
        <v>41</v>
      </c>
    </row>
    <row r="121" spans="1:5">
      <c r="A121" s="8">
        <v>12</v>
      </c>
      <c r="B121">
        <f t="shared" si="4"/>
        <v>41</v>
      </c>
      <c r="C121">
        <f t="shared" si="4"/>
        <v>0</v>
      </c>
      <c r="D121">
        <f t="shared" si="4"/>
        <v>0</v>
      </c>
      <c r="E121" s="11">
        <f t="shared" si="5"/>
        <v>41</v>
      </c>
    </row>
    <row r="122" spans="1:5">
      <c r="A122" s="8">
        <v>12.5</v>
      </c>
      <c r="B122">
        <f t="shared" si="4"/>
        <v>44</v>
      </c>
      <c r="C122">
        <f t="shared" si="4"/>
        <v>1</v>
      </c>
      <c r="D122">
        <f t="shared" si="4"/>
        <v>0</v>
      </c>
      <c r="E122" s="11">
        <f t="shared" si="5"/>
        <v>45</v>
      </c>
    </row>
    <row r="123" spans="1:5">
      <c r="A123" s="8">
        <v>13</v>
      </c>
      <c r="B123">
        <f t="shared" si="4"/>
        <v>26</v>
      </c>
      <c r="C123">
        <f t="shared" si="4"/>
        <v>4</v>
      </c>
      <c r="D123">
        <f t="shared" si="4"/>
        <v>0</v>
      </c>
      <c r="E123" s="11">
        <f t="shared" si="5"/>
        <v>30</v>
      </c>
    </row>
    <row r="124" spans="1:5">
      <c r="A124" s="8">
        <v>13.5</v>
      </c>
      <c r="B124">
        <f t="shared" si="4"/>
        <v>21</v>
      </c>
      <c r="C124">
        <f t="shared" si="4"/>
        <v>8</v>
      </c>
      <c r="D124">
        <f t="shared" si="4"/>
        <v>0</v>
      </c>
      <c r="E124" s="11">
        <f t="shared" si="5"/>
        <v>29</v>
      </c>
    </row>
    <row r="125" spans="1:5">
      <c r="A125" s="8">
        <v>14</v>
      </c>
      <c r="B125">
        <f t="shared" si="4"/>
        <v>20</v>
      </c>
      <c r="C125">
        <f t="shared" si="4"/>
        <v>10</v>
      </c>
      <c r="D125">
        <f t="shared" si="4"/>
        <v>0</v>
      </c>
      <c r="E125" s="11">
        <f t="shared" si="5"/>
        <v>30</v>
      </c>
    </row>
    <row r="126" spans="1:5">
      <c r="A126" s="8">
        <v>14.5</v>
      </c>
      <c r="B126">
        <f t="shared" si="4"/>
        <v>19</v>
      </c>
      <c r="C126">
        <f t="shared" si="4"/>
        <v>7</v>
      </c>
      <c r="D126">
        <f t="shared" si="4"/>
        <v>0</v>
      </c>
      <c r="E126" s="11">
        <f t="shared" si="5"/>
        <v>26</v>
      </c>
    </row>
    <row r="127" spans="1:5">
      <c r="A127" s="8">
        <v>15</v>
      </c>
      <c r="B127">
        <f t="shared" si="4"/>
        <v>5</v>
      </c>
      <c r="C127">
        <f t="shared" si="4"/>
        <v>13</v>
      </c>
      <c r="D127">
        <f t="shared" si="4"/>
        <v>1</v>
      </c>
      <c r="E127" s="11">
        <f t="shared" si="5"/>
        <v>19</v>
      </c>
    </row>
    <row r="128" spans="1:5">
      <c r="A128" s="8">
        <v>15.5</v>
      </c>
      <c r="B128">
        <f t="shared" si="4"/>
        <v>1</v>
      </c>
      <c r="C128">
        <f t="shared" si="4"/>
        <v>10</v>
      </c>
      <c r="D128">
        <f t="shared" si="4"/>
        <v>3</v>
      </c>
      <c r="E128" s="11">
        <f t="shared" si="5"/>
        <v>14</v>
      </c>
    </row>
    <row r="129" spans="1:10">
      <c r="A129" s="8">
        <v>16</v>
      </c>
      <c r="B129">
        <f t="shared" si="4"/>
        <v>3</v>
      </c>
      <c r="C129">
        <f t="shared" si="4"/>
        <v>8</v>
      </c>
      <c r="D129">
        <f t="shared" si="4"/>
        <v>2</v>
      </c>
      <c r="E129" s="11">
        <f t="shared" si="5"/>
        <v>13</v>
      </c>
    </row>
    <row r="130" spans="1:10">
      <c r="A130" s="8">
        <v>16.5</v>
      </c>
      <c r="B130">
        <f t="shared" si="4"/>
        <v>1</v>
      </c>
      <c r="C130">
        <f t="shared" si="4"/>
        <v>7</v>
      </c>
      <c r="D130">
        <f t="shared" si="4"/>
        <v>5</v>
      </c>
      <c r="E130" s="11">
        <f t="shared" si="5"/>
        <v>13</v>
      </c>
    </row>
    <row r="131" spans="1:10">
      <c r="A131" s="8">
        <v>17</v>
      </c>
      <c r="B131">
        <f t="shared" si="4"/>
        <v>2</v>
      </c>
      <c r="C131">
        <f t="shared" si="4"/>
        <v>7</v>
      </c>
      <c r="D131">
        <f t="shared" si="4"/>
        <v>2</v>
      </c>
      <c r="E131" s="11">
        <f t="shared" si="5"/>
        <v>11</v>
      </c>
    </row>
    <row r="132" spans="1:10">
      <c r="A132" s="8">
        <v>17.5</v>
      </c>
      <c r="B132">
        <f t="shared" si="4"/>
        <v>1</v>
      </c>
      <c r="C132">
        <f t="shared" si="4"/>
        <v>5</v>
      </c>
      <c r="D132">
        <f t="shared" si="4"/>
        <v>4</v>
      </c>
      <c r="E132" s="11">
        <f t="shared" si="5"/>
        <v>10</v>
      </c>
    </row>
    <row r="133" spans="1:10">
      <c r="A133" s="8">
        <v>18</v>
      </c>
      <c r="B133">
        <f t="shared" si="4"/>
        <v>0</v>
      </c>
      <c r="C133">
        <f t="shared" si="4"/>
        <v>4</v>
      </c>
      <c r="D133">
        <f t="shared" si="4"/>
        <v>6</v>
      </c>
      <c r="E133" s="11">
        <f t="shared" si="5"/>
        <v>10</v>
      </c>
    </row>
    <row r="134" spans="1:10">
      <c r="A134" s="15" t="s">
        <v>8</v>
      </c>
      <c r="B134" s="26">
        <f>SUM(B107:B133)</f>
        <v>370</v>
      </c>
      <c r="C134" s="13">
        <f t="shared" ref="C134:D134" si="6">SUM(C107:C133)</f>
        <v>84</v>
      </c>
      <c r="D134" s="27">
        <f t="shared" si="6"/>
        <v>23</v>
      </c>
      <c r="E134" s="27">
        <f>SUM(E107:E133)</f>
        <v>477</v>
      </c>
    </row>
    <row r="137" spans="1:10" ht="21">
      <c r="A137" s="97" t="s">
        <v>12</v>
      </c>
      <c r="B137" s="97"/>
      <c r="C137" s="97"/>
      <c r="D137" s="97"/>
      <c r="E137" s="97"/>
    </row>
    <row r="139" spans="1:10">
      <c r="A139" s="95" t="s">
        <v>6</v>
      </c>
      <c r="B139" s="103" t="s">
        <v>7</v>
      </c>
      <c r="C139" s="100"/>
      <c r="D139" s="100"/>
      <c r="E139" s="95" t="s">
        <v>8</v>
      </c>
    </row>
    <row r="140" spans="1:10">
      <c r="A140" s="96"/>
      <c r="B140" s="7">
        <v>1</v>
      </c>
      <c r="C140" s="7">
        <v>2</v>
      </c>
      <c r="D140" s="7">
        <v>3</v>
      </c>
      <c r="E140" s="96"/>
      <c r="H140" t="s">
        <v>0</v>
      </c>
      <c r="I140" t="s">
        <v>3</v>
      </c>
      <c r="J140" t="s">
        <v>4</v>
      </c>
    </row>
    <row r="141" spans="1:10">
      <c r="A141" s="8">
        <v>5</v>
      </c>
      <c r="B141">
        <f>+B107+B73</f>
        <v>0</v>
      </c>
      <c r="C141">
        <f t="shared" ref="C141:D141" si="7">+C107+C73</f>
        <v>0</v>
      </c>
      <c r="D141">
        <f t="shared" si="7"/>
        <v>0</v>
      </c>
      <c r="E141" s="11">
        <f>SUM(B141:D141)</f>
        <v>0</v>
      </c>
      <c r="H141">
        <v>5</v>
      </c>
      <c r="I141">
        <v>0</v>
      </c>
      <c r="J141">
        <v>0</v>
      </c>
    </row>
    <row r="142" spans="1:10">
      <c r="A142" s="8">
        <v>5.5</v>
      </c>
      <c r="B142">
        <f t="shared" ref="B142:D167" si="8">+B108+B74</f>
        <v>1</v>
      </c>
      <c r="C142">
        <f t="shared" si="8"/>
        <v>0</v>
      </c>
      <c r="D142">
        <f t="shared" si="8"/>
        <v>0</v>
      </c>
      <c r="E142" s="11">
        <f t="shared" ref="E142:E167" si="9">SUM(B142:D142)</f>
        <v>1</v>
      </c>
      <c r="H142">
        <v>5.5</v>
      </c>
      <c r="I142">
        <v>90</v>
      </c>
      <c r="J142">
        <v>0</v>
      </c>
    </row>
    <row r="143" spans="1:10">
      <c r="A143" s="8">
        <v>6</v>
      </c>
      <c r="B143">
        <f t="shared" si="8"/>
        <v>1</v>
      </c>
      <c r="C143">
        <f t="shared" si="8"/>
        <v>0</v>
      </c>
      <c r="D143">
        <f t="shared" si="8"/>
        <v>0</v>
      </c>
      <c r="E143" s="11">
        <f t="shared" si="9"/>
        <v>1</v>
      </c>
      <c r="H143">
        <v>6</v>
      </c>
      <c r="I143">
        <v>90</v>
      </c>
      <c r="J143">
        <v>0</v>
      </c>
    </row>
    <row r="144" spans="1:10">
      <c r="A144" s="8">
        <v>6.5</v>
      </c>
      <c r="B144">
        <f t="shared" si="8"/>
        <v>8</v>
      </c>
      <c r="C144">
        <f t="shared" si="8"/>
        <v>0</v>
      </c>
      <c r="D144">
        <f t="shared" si="8"/>
        <v>0</v>
      </c>
      <c r="E144" s="11">
        <f t="shared" si="9"/>
        <v>8</v>
      </c>
      <c r="H144">
        <v>6.5</v>
      </c>
      <c r="I144">
        <v>494</v>
      </c>
      <c r="J144">
        <v>1</v>
      </c>
    </row>
    <row r="145" spans="1:10">
      <c r="A145" s="8">
        <v>7</v>
      </c>
      <c r="B145">
        <f t="shared" si="8"/>
        <v>8</v>
      </c>
      <c r="C145">
        <f t="shared" si="8"/>
        <v>0</v>
      </c>
      <c r="D145">
        <f t="shared" si="8"/>
        <v>0</v>
      </c>
      <c r="E145" s="11">
        <f t="shared" si="9"/>
        <v>8</v>
      </c>
      <c r="H145">
        <v>7</v>
      </c>
      <c r="I145">
        <v>763</v>
      </c>
      <c r="J145">
        <v>2</v>
      </c>
    </row>
    <row r="146" spans="1:10">
      <c r="A146" s="8">
        <v>7.5</v>
      </c>
      <c r="B146">
        <f t="shared" si="8"/>
        <v>7</v>
      </c>
      <c r="C146">
        <f t="shared" si="8"/>
        <v>0</v>
      </c>
      <c r="D146">
        <f t="shared" si="8"/>
        <v>0</v>
      </c>
      <c r="E146" s="11">
        <f t="shared" si="9"/>
        <v>7</v>
      </c>
      <c r="H146">
        <v>7.5</v>
      </c>
      <c r="I146">
        <v>1079</v>
      </c>
      <c r="J146">
        <v>3</v>
      </c>
    </row>
    <row r="147" spans="1:10">
      <c r="A147" s="8">
        <v>8</v>
      </c>
      <c r="B147">
        <f t="shared" si="8"/>
        <v>8</v>
      </c>
      <c r="C147">
        <f t="shared" si="8"/>
        <v>0</v>
      </c>
      <c r="D147">
        <f t="shared" si="8"/>
        <v>0</v>
      </c>
      <c r="E147" s="11">
        <f t="shared" si="9"/>
        <v>8</v>
      </c>
      <c r="H147">
        <v>8</v>
      </c>
      <c r="I147">
        <v>1168</v>
      </c>
      <c r="J147">
        <v>4</v>
      </c>
    </row>
    <row r="148" spans="1:10">
      <c r="A148" s="8">
        <v>8.5</v>
      </c>
      <c r="B148">
        <f t="shared" si="8"/>
        <v>10</v>
      </c>
      <c r="C148">
        <f t="shared" si="8"/>
        <v>0</v>
      </c>
      <c r="D148">
        <f t="shared" si="8"/>
        <v>0</v>
      </c>
      <c r="E148" s="11">
        <f t="shared" si="9"/>
        <v>10</v>
      </c>
      <c r="H148">
        <v>8.5</v>
      </c>
      <c r="I148">
        <v>1438</v>
      </c>
      <c r="J148">
        <v>5</v>
      </c>
    </row>
    <row r="149" spans="1:10">
      <c r="A149" s="8">
        <v>9</v>
      </c>
      <c r="B149">
        <f t="shared" si="8"/>
        <v>10</v>
      </c>
      <c r="C149">
        <f t="shared" si="8"/>
        <v>0</v>
      </c>
      <c r="D149">
        <f t="shared" si="8"/>
        <v>0</v>
      </c>
      <c r="E149" s="11">
        <f t="shared" si="9"/>
        <v>10</v>
      </c>
      <c r="H149">
        <v>9</v>
      </c>
      <c r="I149">
        <v>2561</v>
      </c>
      <c r="J149">
        <v>12</v>
      </c>
    </row>
    <row r="150" spans="1:10">
      <c r="A150" s="8">
        <v>9.5</v>
      </c>
      <c r="B150">
        <f t="shared" si="8"/>
        <v>32</v>
      </c>
      <c r="C150">
        <f t="shared" si="8"/>
        <v>1</v>
      </c>
      <c r="D150">
        <f t="shared" si="8"/>
        <v>0</v>
      </c>
      <c r="E150" s="11">
        <f t="shared" si="9"/>
        <v>33</v>
      </c>
      <c r="H150">
        <v>9.5</v>
      </c>
      <c r="I150">
        <v>225378</v>
      </c>
      <c r="J150">
        <v>1215</v>
      </c>
    </row>
    <row r="151" spans="1:10">
      <c r="A151" s="8">
        <v>10</v>
      </c>
      <c r="B151">
        <f t="shared" si="8"/>
        <v>43</v>
      </c>
      <c r="C151">
        <f t="shared" si="8"/>
        <v>0</v>
      </c>
      <c r="D151">
        <f t="shared" si="8"/>
        <v>0</v>
      </c>
      <c r="E151" s="11">
        <f t="shared" si="9"/>
        <v>43</v>
      </c>
      <c r="H151">
        <v>10</v>
      </c>
      <c r="I151">
        <v>514908</v>
      </c>
      <c r="J151">
        <v>3294</v>
      </c>
    </row>
    <row r="152" spans="1:10">
      <c r="A152" s="8">
        <v>10.5</v>
      </c>
      <c r="B152">
        <f t="shared" si="8"/>
        <v>51</v>
      </c>
      <c r="C152">
        <f t="shared" si="8"/>
        <v>1</v>
      </c>
      <c r="D152">
        <f t="shared" si="8"/>
        <v>0</v>
      </c>
      <c r="E152" s="11">
        <f t="shared" si="9"/>
        <v>52</v>
      </c>
      <c r="H152">
        <v>10.5</v>
      </c>
      <c r="I152">
        <v>1060504</v>
      </c>
      <c r="J152">
        <v>7979</v>
      </c>
    </row>
    <row r="153" spans="1:10">
      <c r="A153" s="8">
        <v>11</v>
      </c>
      <c r="B153">
        <f t="shared" si="8"/>
        <v>43</v>
      </c>
      <c r="C153">
        <f t="shared" si="8"/>
        <v>4</v>
      </c>
      <c r="D153">
        <f t="shared" si="8"/>
        <v>0</v>
      </c>
      <c r="E153" s="11">
        <f t="shared" si="9"/>
        <v>47</v>
      </c>
      <c r="H153">
        <v>11</v>
      </c>
      <c r="I153">
        <v>815782</v>
      </c>
      <c r="J153">
        <v>7168</v>
      </c>
    </row>
    <row r="154" spans="1:10">
      <c r="A154" s="8">
        <v>11.5</v>
      </c>
      <c r="B154">
        <f t="shared" si="8"/>
        <v>65</v>
      </c>
      <c r="C154">
        <f t="shared" si="8"/>
        <v>0</v>
      </c>
      <c r="D154">
        <f t="shared" si="8"/>
        <v>0</v>
      </c>
      <c r="E154" s="11">
        <f t="shared" si="9"/>
        <v>65</v>
      </c>
      <c r="H154">
        <v>11.5</v>
      </c>
      <c r="I154">
        <v>621182</v>
      </c>
      <c r="J154">
        <v>6330</v>
      </c>
    </row>
    <row r="155" spans="1:10">
      <c r="A155" s="8">
        <v>12</v>
      </c>
      <c r="B155">
        <f t="shared" si="8"/>
        <v>65</v>
      </c>
      <c r="C155">
        <f t="shared" si="8"/>
        <v>0</v>
      </c>
      <c r="D155">
        <f t="shared" si="8"/>
        <v>0</v>
      </c>
      <c r="E155" s="11">
        <f t="shared" si="9"/>
        <v>65</v>
      </c>
      <c r="H155">
        <v>12</v>
      </c>
      <c r="I155">
        <v>468141</v>
      </c>
      <c r="J155">
        <v>5499</v>
      </c>
    </row>
    <row r="156" spans="1:10">
      <c r="A156" s="8">
        <v>12.5</v>
      </c>
      <c r="B156">
        <f t="shared" si="8"/>
        <v>60</v>
      </c>
      <c r="C156">
        <f t="shared" si="8"/>
        <v>7</v>
      </c>
      <c r="D156">
        <f t="shared" si="8"/>
        <v>0</v>
      </c>
      <c r="E156" s="11">
        <f t="shared" si="9"/>
        <v>67</v>
      </c>
      <c r="H156">
        <v>12.5</v>
      </c>
      <c r="I156">
        <v>346066</v>
      </c>
      <c r="J156">
        <v>4658</v>
      </c>
    </row>
    <row r="157" spans="1:10">
      <c r="A157" s="8">
        <v>13</v>
      </c>
      <c r="B157">
        <f t="shared" si="8"/>
        <v>36</v>
      </c>
      <c r="C157">
        <f t="shared" si="8"/>
        <v>10</v>
      </c>
      <c r="D157">
        <f t="shared" si="8"/>
        <v>0</v>
      </c>
      <c r="E157" s="11">
        <f t="shared" si="9"/>
        <v>46</v>
      </c>
      <c r="H157">
        <v>13</v>
      </c>
      <c r="I157">
        <v>107696</v>
      </c>
      <c r="J157">
        <v>1653</v>
      </c>
    </row>
    <row r="158" spans="1:10">
      <c r="A158" s="8">
        <v>13.5</v>
      </c>
      <c r="B158">
        <f t="shared" si="8"/>
        <v>21</v>
      </c>
      <c r="C158">
        <f t="shared" si="8"/>
        <v>8</v>
      </c>
      <c r="D158">
        <f t="shared" si="8"/>
        <v>0</v>
      </c>
      <c r="E158" s="11">
        <f t="shared" si="9"/>
        <v>29</v>
      </c>
      <c r="H158">
        <v>13.5</v>
      </c>
      <c r="I158">
        <v>62118</v>
      </c>
      <c r="J158">
        <v>1083</v>
      </c>
    </row>
    <row r="159" spans="1:10">
      <c r="A159" s="8">
        <v>14</v>
      </c>
      <c r="B159">
        <f t="shared" si="8"/>
        <v>20</v>
      </c>
      <c r="C159">
        <f t="shared" si="8"/>
        <v>10</v>
      </c>
      <c r="D159">
        <f t="shared" si="8"/>
        <v>0</v>
      </c>
      <c r="E159" s="11">
        <f t="shared" si="9"/>
        <v>30</v>
      </c>
      <c r="H159">
        <v>14</v>
      </c>
      <c r="I159">
        <v>44002</v>
      </c>
      <c r="J159">
        <v>865</v>
      </c>
    </row>
    <row r="160" spans="1:10">
      <c r="A160" s="8">
        <v>14.5</v>
      </c>
      <c r="B160">
        <f t="shared" si="8"/>
        <v>19</v>
      </c>
      <c r="C160">
        <f t="shared" si="8"/>
        <v>7</v>
      </c>
      <c r="D160">
        <f t="shared" si="8"/>
        <v>0</v>
      </c>
      <c r="E160" s="11">
        <f t="shared" si="9"/>
        <v>26</v>
      </c>
      <c r="H160">
        <v>14.5</v>
      </c>
      <c r="I160">
        <v>21728</v>
      </c>
      <c r="J160">
        <v>481</v>
      </c>
    </row>
    <row r="161" spans="1:10">
      <c r="A161" s="8">
        <v>15</v>
      </c>
      <c r="B161">
        <f t="shared" si="8"/>
        <v>5</v>
      </c>
      <c r="C161">
        <f t="shared" si="8"/>
        <v>13</v>
      </c>
      <c r="D161">
        <f t="shared" si="8"/>
        <v>1</v>
      </c>
      <c r="E161" s="11">
        <f t="shared" si="9"/>
        <v>19</v>
      </c>
      <c r="H161">
        <v>15</v>
      </c>
      <c r="I161">
        <v>14977</v>
      </c>
      <c r="J161">
        <v>371</v>
      </c>
    </row>
    <row r="162" spans="1:10">
      <c r="A162" s="8">
        <v>15.5</v>
      </c>
      <c r="B162">
        <f t="shared" si="8"/>
        <v>1</v>
      </c>
      <c r="C162">
        <f t="shared" si="8"/>
        <v>10</v>
      </c>
      <c r="D162">
        <f t="shared" si="8"/>
        <v>3</v>
      </c>
      <c r="E162" s="11">
        <f t="shared" si="9"/>
        <v>14</v>
      </c>
      <c r="H162">
        <v>15.5</v>
      </c>
      <c r="I162">
        <v>11935</v>
      </c>
      <c r="J162">
        <v>330</v>
      </c>
    </row>
    <row r="163" spans="1:10">
      <c r="A163" s="8">
        <v>16</v>
      </c>
      <c r="B163">
        <f t="shared" si="8"/>
        <v>3</v>
      </c>
      <c r="C163">
        <f t="shared" si="8"/>
        <v>8</v>
      </c>
      <c r="D163">
        <f t="shared" si="8"/>
        <v>2</v>
      </c>
      <c r="E163" s="11">
        <f t="shared" si="9"/>
        <v>13</v>
      </c>
      <c r="H163">
        <v>16</v>
      </c>
      <c r="I163">
        <v>6803</v>
      </c>
      <c r="J163">
        <v>210</v>
      </c>
    </row>
    <row r="164" spans="1:10">
      <c r="A164" s="8">
        <v>16.5</v>
      </c>
      <c r="B164">
        <f t="shared" si="8"/>
        <v>1</v>
      </c>
      <c r="C164">
        <f t="shared" si="8"/>
        <v>7</v>
      </c>
      <c r="D164">
        <f t="shared" si="8"/>
        <v>5</v>
      </c>
      <c r="E164" s="11">
        <f t="shared" si="9"/>
        <v>13</v>
      </c>
      <c r="H164">
        <v>16.5</v>
      </c>
      <c r="I164">
        <v>1912</v>
      </c>
      <c r="J164">
        <v>66</v>
      </c>
    </row>
    <row r="165" spans="1:10">
      <c r="A165" s="8">
        <v>17</v>
      </c>
      <c r="B165">
        <f t="shared" si="8"/>
        <v>2</v>
      </c>
      <c r="C165">
        <f t="shared" si="8"/>
        <v>7</v>
      </c>
      <c r="D165">
        <f t="shared" si="8"/>
        <v>2</v>
      </c>
      <c r="E165" s="11">
        <f t="shared" si="9"/>
        <v>11</v>
      </c>
      <c r="H165">
        <v>17</v>
      </c>
      <c r="I165">
        <v>2180</v>
      </c>
      <c r="J165">
        <v>82</v>
      </c>
    </row>
    <row r="166" spans="1:10">
      <c r="A166" s="8">
        <v>17.5</v>
      </c>
      <c r="B166">
        <f t="shared" si="8"/>
        <v>1</v>
      </c>
      <c r="C166">
        <f t="shared" si="8"/>
        <v>5</v>
      </c>
      <c r="D166">
        <f t="shared" si="8"/>
        <v>4</v>
      </c>
      <c r="E166" s="11">
        <f t="shared" si="9"/>
        <v>10</v>
      </c>
      <c r="H166">
        <v>17.5</v>
      </c>
      <c r="I166">
        <v>269</v>
      </c>
      <c r="J166">
        <v>11</v>
      </c>
    </row>
    <row r="167" spans="1:10">
      <c r="A167" s="8">
        <v>18</v>
      </c>
      <c r="B167">
        <f t="shared" si="8"/>
        <v>0</v>
      </c>
      <c r="C167">
        <f t="shared" si="8"/>
        <v>4</v>
      </c>
      <c r="D167">
        <f t="shared" si="8"/>
        <v>6</v>
      </c>
      <c r="E167" s="11">
        <f t="shared" si="9"/>
        <v>10</v>
      </c>
      <c r="H167">
        <v>18</v>
      </c>
      <c r="I167">
        <v>323</v>
      </c>
      <c r="J167">
        <v>15</v>
      </c>
    </row>
    <row r="168" spans="1:10">
      <c r="A168" s="12" t="s">
        <v>8</v>
      </c>
      <c r="B168" s="13">
        <f>SUM(B141:B167)</f>
        <v>521</v>
      </c>
      <c r="C168" s="13">
        <f t="shared" ref="C168" si="10">SUM(C141:C167)</f>
        <v>102</v>
      </c>
      <c r="D168" s="13">
        <f>SUM(D141:D167)</f>
        <v>23</v>
      </c>
      <c r="E168" s="14">
        <f>SUM(E141:E167)</f>
        <v>646</v>
      </c>
      <c r="G168" s="20"/>
      <c r="I168">
        <v>4333587</v>
      </c>
      <c r="J168">
        <v>41337</v>
      </c>
    </row>
  </sheetData>
  <mergeCells count="22">
    <mergeCell ref="E37:E38"/>
    <mergeCell ref="A1:E1"/>
    <mergeCell ref="A3:A4"/>
    <mergeCell ref="B3:D3"/>
    <mergeCell ref="E3:E4"/>
    <mergeCell ref="A35:E35"/>
    <mergeCell ref="A137:E137"/>
    <mergeCell ref="A139:A140"/>
    <mergeCell ref="B139:D139"/>
    <mergeCell ref="E139:E140"/>
    <mergeCell ref="H3:K3"/>
    <mergeCell ref="H37:K37"/>
    <mergeCell ref="A69:E69"/>
    <mergeCell ref="A71:A72"/>
    <mergeCell ref="B71:D71"/>
    <mergeCell ref="E71:E72"/>
    <mergeCell ref="A103:E103"/>
    <mergeCell ref="A105:A106"/>
    <mergeCell ref="B105:D105"/>
    <mergeCell ref="E105:E106"/>
    <mergeCell ref="A37:A38"/>
    <mergeCell ref="B37:D37"/>
  </mergeCells>
  <pageMargins left="0.7" right="0.7" top="0.75" bottom="0.75" header="0.3" footer="0.3"/>
  <ignoredErrors>
    <ignoredError sqref="B32:E32 B66:D6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West</vt:lpstr>
      <vt:lpstr>Algarve</vt:lpstr>
      <vt:lpstr>CADIZ</vt:lpstr>
      <vt:lpstr>9a S</vt:lpstr>
      <vt:lpstr>Hoja1</vt:lpstr>
      <vt:lpstr>Portugal</vt:lpstr>
      <vt:lpstr>Total (Portugal_Cadiz)</vt:lpstr>
      <vt:lpstr>PELAGO15_ALKs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Marques</dc:creator>
  <cp:lastModifiedBy>Maria Zuñiga Basualto</cp:lastModifiedBy>
  <dcterms:created xsi:type="dcterms:W3CDTF">2015-06-15T09:43:43Z</dcterms:created>
  <dcterms:modified xsi:type="dcterms:W3CDTF">2024-02-01T11:24:54Z</dcterms:modified>
</cp:coreProperties>
</file>