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surveys_consistency/DATOS/PELAGO/"/>
    </mc:Choice>
  </mc:AlternateContent>
  <xr:revisionPtr revIDLastSave="0" documentId="13_ncr:1_{92DE9C2E-5DB2-0149-869E-BC4F493F5CEE}" xr6:coauthVersionLast="47" xr6:coauthVersionMax="47" xr10:uidLastSave="{00000000-0000-0000-0000-000000000000}"/>
  <bookViews>
    <workbookView xWindow="24120" yWindow="500" windowWidth="26660" windowHeight="22500" activeTab="4" xr2:uid="{00000000-000D-0000-FFFF-FFFF00000000}"/>
  </bookViews>
  <sheets>
    <sheet name="9aCN" sheetId="4" r:id="rId1"/>
    <sheet name="9aCS" sheetId="16" r:id="rId2"/>
    <sheet name="9a-Algarve" sheetId="7" r:id="rId3"/>
    <sheet name="9a-Cadiz" sheetId="8" r:id="rId4"/>
    <sheet name="algarve+cadiz" sheetId="17" r:id="rId5"/>
  </sheets>
  <definedNames>
    <definedName name="SHARED_FORMULA_13_5_13_5_1">"[.L6]/[.I6]"</definedName>
    <definedName name="SHARED_FORMULA_14_5_14_5_1">"[.M6]/[.I6]"</definedName>
    <definedName name="SHARED_FORMULA_3_9_3_9_2" localSheetId="0">"[.B10]/((([.A10]+0.25)^(-[.$D$2]/10))*(10^([.$D$3]/10))/(4*PI()))"</definedName>
    <definedName name="SHARED_FORMULA_3_9_3_9_2">"[.B10]/((([.A10]+0.25)^(-[.$D$2]/10))*(10^([.$D$3]/10))/(4*PI()))"</definedName>
    <definedName name="SHARED_FORMULA_3_9_3_9_3" localSheetId="2">"[.B10]/((([.A10]+0.25)^(-[.$D$2]/10))*(10^([.$D$3]/10))/(4*PI()))"</definedName>
    <definedName name="SHARED_FORMULA_3_9_3_9_3">"#REF!/(((#REF!+0.25)^(-#REF!/10))*(10^(#REF!/10))/(4*PI()))"</definedName>
    <definedName name="SHARED_FORMULA_3_9_3_9_4">"[.B10]/((([.A10]+0.25)^(-[.$D$2]/10))*(10^([.$D$3]/10))/(4*PI()))"</definedName>
    <definedName name="SHARED_FORMULA_3_9_3_9_5">"#REF!/(((#REF!+0.25)^(-#REF!/10))*(10^(#REF!/10))/(4*PI()))"</definedName>
    <definedName name="SHARED_FORMULA_3_9_3_9_6">"#REF!/(((#REF!+0.25)^(-#REF!/10))*(10^(#REF!/10))/(4*PI()))"</definedName>
    <definedName name="SHARED_FORMULA_3_9_3_9_7">"#REF!/(((#REF!+0.25)^(-#REF!/10))*(10^(#REF!/10))/(4*PI()))"</definedName>
    <definedName name="SHARED_FORMULA_5_9_5_9_2" localSheetId="0">"[.$D$5]*[.B10]/[.$D$46]"</definedName>
    <definedName name="SHARED_FORMULA_5_9_5_9_2">"[.$D$5]*[.B10]/[.$D$46]"</definedName>
    <definedName name="SHARED_FORMULA_5_9_5_9_3" localSheetId="2">"[.$D$5]*[.B10]/[.$D$46]"</definedName>
    <definedName name="SHARED_FORMULA_5_9_5_9_3">"#REF!*#REF!/#REF!"</definedName>
    <definedName name="SHARED_FORMULA_5_9_5_9_4">"[.$D$5]*[.B10]/[.$D$46]"</definedName>
    <definedName name="SHARED_FORMULA_5_9_5_9_5">"#REF!*#REF!/#REF!"</definedName>
    <definedName name="SHARED_FORMULA_5_9_5_9_6">"#REF!*#REF!/#REF!"</definedName>
    <definedName name="SHARED_FORMULA_5_9_5_9_7">"#REF!*#REF!/#REF!"</definedName>
    <definedName name="SHARED_FORMULA_7_9_7_9_2" localSheetId="0">"[.$F$5]*[.F10]"</definedName>
    <definedName name="SHARED_FORMULA_7_9_7_9_2">"[.$F$5]*[.F10]"</definedName>
    <definedName name="SHARED_FORMULA_7_9_7_9_3" localSheetId="2">"[.$F$5]*[.F10]"</definedName>
    <definedName name="SHARED_FORMULA_7_9_7_9_3">"#REF!*#REF!"</definedName>
    <definedName name="SHARED_FORMULA_7_9_7_9_4">"[.$F$5]*[.F10]"</definedName>
    <definedName name="SHARED_FORMULA_7_9_7_9_5">"#REF!*#REF!"</definedName>
    <definedName name="SHARED_FORMULA_7_9_7_9_6">"#REF!*#REF!"</definedName>
    <definedName name="SHARED_FORMULA_7_9_7_9_7">"#REF!*#REF!"</definedName>
    <definedName name="SHARED_FORMULA_8_9_8_9_2" localSheetId="0">"(10^-6)*[.H10]*([.$F$2]*([.A10]+0.25)^[.$F$3])"</definedName>
    <definedName name="SHARED_FORMULA_8_9_8_9_2">"(10^-6)*[.H10]*([.$F$2]*([.A10]+0.25)^[.$F$3])"</definedName>
    <definedName name="SHARED_FORMULA_8_9_8_9_3" localSheetId="2">"(10^-6)*[.H10]*([.$F$2]*([.A10]+0.25)^[.$F$3])"</definedName>
    <definedName name="SHARED_FORMULA_8_9_8_9_3">"(10^-6)*#REF!*(#REF!*(#REF!+0.25)^#REF!)"</definedName>
    <definedName name="SHARED_FORMULA_8_9_8_9_4">"(10^-6)*[.H10]*([.$F$2]*([.A10]+0.25)^[.$F$3])"</definedName>
    <definedName name="SHARED_FORMULA_8_9_8_9_5">"(10^-6)*#REF!*(#REF!*(#REF!+0.25)^#REF!)"</definedName>
    <definedName name="SHARED_FORMULA_8_9_8_9_6">"(10^-6)*#REF!*(#REF!*(#REF!+0.25)^#REF!)"</definedName>
    <definedName name="SHARED_FORMULA_8_9_8_9_7">"(10^-6)*#REF!*(#REF!*(#REF!+0.25)^#REF!)"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2" i="17"/>
  <c r="J3" i="17" l="1"/>
  <c r="O32" i="8" l="1"/>
  <c r="P32" i="8"/>
  <c r="Q32" i="8"/>
  <c r="N32" i="8"/>
  <c r="Q34" i="7"/>
  <c r="O34" i="7"/>
  <c r="P34" i="7"/>
  <c r="N34" i="7"/>
  <c r="H3" i="17"/>
  <c r="I3" i="17"/>
  <c r="H4" i="17"/>
  <c r="I4" i="17"/>
  <c r="J4" i="17" s="1"/>
  <c r="H5" i="17"/>
  <c r="J5" i="17" s="1"/>
  <c r="I5" i="17"/>
  <c r="H6" i="17"/>
  <c r="I6" i="17"/>
  <c r="H7" i="17"/>
  <c r="I7" i="17"/>
  <c r="J7" i="17" s="1"/>
  <c r="O7" i="17" s="1"/>
  <c r="H8" i="17"/>
  <c r="I8" i="17"/>
  <c r="H9" i="17"/>
  <c r="I9" i="17"/>
  <c r="H10" i="17"/>
  <c r="I10" i="17"/>
  <c r="H11" i="17"/>
  <c r="J11" i="17" s="1"/>
  <c r="I11" i="17"/>
  <c r="H12" i="17"/>
  <c r="I12" i="17"/>
  <c r="H13" i="17"/>
  <c r="I13" i="17"/>
  <c r="J13" i="17" s="1"/>
  <c r="P13" i="17" s="1"/>
  <c r="H14" i="17"/>
  <c r="J14" i="17" s="1"/>
  <c r="O14" i="17" s="1"/>
  <c r="I14" i="17"/>
  <c r="H15" i="17"/>
  <c r="I15" i="17"/>
  <c r="H16" i="17"/>
  <c r="J16" i="17" s="1"/>
  <c r="I16" i="17"/>
  <c r="H17" i="17"/>
  <c r="J17" i="17" s="1"/>
  <c r="I17" i="17"/>
  <c r="H18" i="17"/>
  <c r="I18" i="17"/>
  <c r="H19" i="17"/>
  <c r="I19" i="17"/>
  <c r="J19" i="17" s="1"/>
  <c r="H20" i="17"/>
  <c r="I20" i="17"/>
  <c r="H21" i="17"/>
  <c r="I21" i="17"/>
  <c r="H22" i="17"/>
  <c r="I22" i="17"/>
  <c r="J22" i="17" s="1"/>
  <c r="O22" i="17" s="1"/>
  <c r="H23" i="17"/>
  <c r="I23" i="17"/>
  <c r="H24" i="17"/>
  <c r="I24" i="17"/>
  <c r="H25" i="17"/>
  <c r="I25" i="17"/>
  <c r="H26" i="17"/>
  <c r="I26" i="17"/>
  <c r="H27" i="17"/>
  <c r="I27" i="17"/>
  <c r="H28" i="17"/>
  <c r="I28" i="17"/>
  <c r="H29" i="17"/>
  <c r="J29" i="17" s="1"/>
  <c r="P29" i="17" s="1"/>
  <c r="I29" i="17"/>
  <c r="J40" i="17"/>
  <c r="M40" i="17" s="1"/>
  <c r="S40" i="17" s="1"/>
  <c r="G4" i="17"/>
  <c r="G5" i="17"/>
  <c r="G6" i="17"/>
  <c r="G7" i="17"/>
  <c r="G8" i="17"/>
  <c r="G9" i="17"/>
  <c r="J9" i="17" s="1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J23" i="17" s="1"/>
  <c r="P23" i="17" s="1"/>
  <c r="G24" i="17"/>
  <c r="G25" i="17"/>
  <c r="G26" i="17"/>
  <c r="G27" i="17"/>
  <c r="J27" i="17" s="1"/>
  <c r="G28" i="17"/>
  <c r="G29" i="17"/>
  <c r="J33" i="17"/>
  <c r="J35" i="17"/>
  <c r="J39" i="17"/>
  <c r="G3" i="17"/>
  <c r="J45" i="7"/>
  <c r="J46" i="8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44" i="17"/>
  <c r="B44" i="17"/>
  <c r="C2" i="17"/>
  <c r="X40" i="17"/>
  <c r="X39" i="17"/>
  <c r="X38" i="17"/>
  <c r="X37" i="17"/>
  <c r="X36" i="17"/>
  <c r="J36" i="17"/>
  <c r="P36" i="17" s="1"/>
  <c r="X35" i="17"/>
  <c r="X34" i="17"/>
  <c r="Q34" i="17"/>
  <c r="J34" i="17"/>
  <c r="O34" i="17" s="1"/>
  <c r="X33" i="17"/>
  <c r="X32" i="17"/>
  <c r="Q32" i="17"/>
  <c r="X31" i="17"/>
  <c r="X30" i="17"/>
  <c r="Q30" i="17"/>
  <c r="X29" i="17"/>
  <c r="X28" i="17"/>
  <c r="Q28" i="17"/>
  <c r="J28" i="17"/>
  <c r="P28" i="17" s="1"/>
  <c r="V28" i="17" s="1"/>
  <c r="X27" i="17"/>
  <c r="X26" i="17"/>
  <c r="Q26" i="17"/>
  <c r="X25" i="17"/>
  <c r="X24" i="17"/>
  <c r="Q24" i="17"/>
  <c r="J24" i="17"/>
  <c r="P24" i="17" s="1"/>
  <c r="V24" i="17" s="1"/>
  <c r="X23" i="17"/>
  <c r="X22" i="17"/>
  <c r="Q22" i="17"/>
  <c r="X21" i="17"/>
  <c r="J21" i="17"/>
  <c r="P21" i="17" s="1"/>
  <c r="X20" i="17"/>
  <c r="Q20" i="17"/>
  <c r="X19" i="17"/>
  <c r="X18" i="17"/>
  <c r="Q18" i="17"/>
  <c r="X17" i="17"/>
  <c r="X16" i="17"/>
  <c r="Q16" i="17"/>
  <c r="X15" i="17"/>
  <c r="J15" i="17"/>
  <c r="P15" i="17" s="1"/>
  <c r="X14" i="17"/>
  <c r="Q14" i="17"/>
  <c r="X13" i="17"/>
  <c r="X12" i="17"/>
  <c r="Q12" i="17"/>
  <c r="X11" i="17"/>
  <c r="X10" i="17"/>
  <c r="Q10" i="17"/>
  <c r="J10" i="17"/>
  <c r="X9" i="17"/>
  <c r="X8" i="17"/>
  <c r="Q8" i="17"/>
  <c r="X7" i="17"/>
  <c r="X6" i="17"/>
  <c r="Q6" i="17"/>
  <c r="J6" i="17"/>
  <c r="N6" i="17" s="1"/>
  <c r="X5" i="17"/>
  <c r="X4" i="17"/>
  <c r="Q4" i="17"/>
  <c r="X3" i="17"/>
  <c r="O3" i="17"/>
  <c r="U3" i="17" s="1"/>
  <c r="I46" i="4"/>
  <c r="I46" i="8"/>
  <c r="I45" i="7"/>
  <c r="V21" i="7"/>
  <c r="T22" i="7"/>
  <c r="V24" i="7"/>
  <c r="T25" i="7"/>
  <c r="V26" i="7"/>
  <c r="T27" i="7"/>
  <c r="V30" i="7"/>
  <c r="U19" i="7"/>
  <c r="Q19" i="7"/>
  <c r="V19" i="7" s="1"/>
  <c r="Q20" i="7"/>
  <c r="Q21" i="7"/>
  <c r="T21" i="7" s="1"/>
  <c r="Q22" i="7"/>
  <c r="U22" i="7" s="1"/>
  <c r="Q23" i="7"/>
  <c r="Q24" i="7"/>
  <c r="T24" i="7" s="1"/>
  <c r="Q25" i="7"/>
  <c r="U25" i="7" s="1"/>
  <c r="Q26" i="7"/>
  <c r="T26" i="7" s="1"/>
  <c r="Q27" i="7"/>
  <c r="U27" i="7" s="1"/>
  <c r="Q28" i="7"/>
  <c r="T28" i="7" s="1"/>
  <c r="Q29" i="7"/>
  <c r="U29" i="7" s="1"/>
  <c r="Q30" i="7"/>
  <c r="T30" i="7" s="1"/>
  <c r="Q31" i="7"/>
  <c r="U31" i="7" s="1"/>
  <c r="Q32" i="7"/>
  <c r="Q33" i="7"/>
  <c r="U33" i="7" s="1"/>
  <c r="J46" i="4"/>
  <c r="AD33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40" i="17" l="1"/>
  <c r="AC24" i="17"/>
  <c r="AC28" i="17"/>
  <c r="J30" i="17"/>
  <c r="P30" i="17" s="1"/>
  <c r="G41" i="17"/>
  <c r="I41" i="17"/>
  <c r="M17" i="17"/>
  <c r="P17" i="17"/>
  <c r="O17" i="17"/>
  <c r="N17" i="17"/>
  <c r="O5" i="17"/>
  <c r="U5" i="17" s="1"/>
  <c r="AB5" i="17" s="1"/>
  <c r="P5" i="17"/>
  <c r="V5" i="17" s="1"/>
  <c r="AC5" i="17" s="1"/>
  <c r="M4" i="17"/>
  <c r="O4" i="17"/>
  <c r="U4" i="17" s="1"/>
  <c r="AB4" i="17" s="1"/>
  <c r="N4" i="17"/>
  <c r="T4" i="17" s="1"/>
  <c r="AA4" i="17" s="1"/>
  <c r="P4" i="17"/>
  <c r="V4" i="17" s="1"/>
  <c r="AC4" i="17" s="1"/>
  <c r="P16" i="17"/>
  <c r="O16" i="17"/>
  <c r="U16" i="17" s="1"/>
  <c r="AB16" i="17" s="1"/>
  <c r="H41" i="17"/>
  <c r="J32" i="17"/>
  <c r="O32" i="17" s="1"/>
  <c r="U32" i="17" s="1"/>
  <c r="AB32" i="17" s="1"/>
  <c r="J20" i="17"/>
  <c r="P20" i="17" s="1"/>
  <c r="J37" i="17"/>
  <c r="M37" i="17" s="1"/>
  <c r="S37" i="17" s="1"/>
  <c r="Z37" i="17" s="1"/>
  <c r="J25" i="17"/>
  <c r="O25" i="17" s="1"/>
  <c r="U25" i="17" s="1"/>
  <c r="AB25" i="17" s="1"/>
  <c r="J38" i="17"/>
  <c r="P38" i="17" s="1"/>
  <c r="V38" i="17" s="1"/>
  <c r="AC38" i="17" s="1"/>
  <c r="J26" i="17"/>
  <c r="J8" i="17"/>
  <c r="J31" i="17"/>
  <c r="P31" i="17" s="1"/>
  <c r="V31" i="17" s="1"/>
  <c r="AC31" i="17" s="1"/>
  <c r="J18" i="17"/>
  <c r="O18" i="17" s="1"/>
  <c r="U18" i="17" s="1"/>
  <c r="AB18" i="17" s="1"/>
  <c r="J12" i="17"/>
  <c r="P12" i="17" s="1"/>
  <c r="V12" i="17" s="1"/>
  <c r="AC12" i="17" s="1"/>
  <c r="P39" i="17"/>
  <c r="V39" i="17" s="1"/>
  <c r="AC39" i="17" s="1"/>
  <c r="O39" i="17"/>
  <c r="U39" i="17" s="1"/>
  <c r="AB39" i="17" s="1"/>
  <c r="N39" i="17"/>
  <c r="T39" i="17" s="1"/>
  <c r="AA39" i="17" s="1"/>
  <c r="M39" i="17"/>
  <c r="S39" i="17" s="1"/>
  <c r="Z39" i="17" s="1"/>
  <c r="O33" i="17"/>
  <c r="U33" i="17" s="1"/>
  <c r="AB33" i="17" s="1"/>
  <c r="N33" i="17"/>
  <c r="T33" i="17" s="1"/>
  <c r="AA33" i="17" s="1"/>
  <c r="M33" i="17"/>
  <c r="S33" i="17" s="1"/>
  <c r="Z33" i="17" s="1"/>
  <c r="P33" i="17"/>
  <c r="V33" i="17" s="1"/>
  <c r="AC33" i="17" s="1"/>
  <c r="O9" i="17"/>
  <c r="U9" i="17" s="1"/>
  <c r="AB9" i="17" s="1"/>
  <c r="N9" i="17"/>
  <c r="M9" i="17"/>
  <c r="S9" i="17" s="1"/>
  <c r="Z9" i="17" s="1"/>
  <c r="P9" i="17"/>
  <c r="V9" i="17" s="1"/>
  <c r="AC9" i="17" s="1"/>
  <c r="N8" i="17"/>
  <c r="T8" i="17" s="1"/>
  <c r="AA8" i="17" s="1"/>
  <c r="P8" i="17"/>
  <c r="V8" i="17" s="1"/>
  <c r="AC8" i="17" s="1"/>
  <c r="O8" i="17"/>
  <c r="U8" i="17" s="1"/>
  <c r="AB8" i="17" s="1"/>
  <c r="P37" i="17"/>
  <c r="V37" i="17" s="1"/>
  <c r="AC37" i="17" s="1"/>
  <c r="M25" i="17"/>
  <c r="S25" i="17" s="1"/>
  <c r="Z25" i="17" s="1"/>
  <c r="P25" i="17"/>
  <c r="V25" i="17" s="1"/>
  <c r="AC25" i="17" s="1"/>
  <c r="M21" i="17"/>
  <c r="S21" i="17" s="1"/>
  <c r="Z21" i="17" s="1"/>
  <c r="O30" i="17"/>
  <c r="U30" i="17" s="1"/>
  <c r="AB30" i="17" s="1"/>
  <c r="M13" i="17"/>
  <c r="S13" i="17" s="1"/>
  <c r="Z13" i="17" s="1"/>
  <c r="P22" i="17"/>
  <c r="V36" i="17"/>
  <c r="AC36" i="17" s="1"/>
  <c r="P14" i="17"/>
  <c r="V14" i="17" s="1"/>
  <c r="AC14" i="17" s="1"/>
  <c r="M16" i="17"/>
  <c r="S16" i="17" s="1"/>
  <c r="Z16" i="17" s="1"/>
  <c r="N24" i="17"/>
  <c r="V16" i="17"/>
  <c r="AC16" i="17" s="1"/>
  <c r="M29" i="17"/>
  <c r="N21" i="17"/>
  <c r="T21" i="17" s="1"/>
  <c r="AA21" i="17" s="1"/>
  <c r="N29" i="17"/>
  <c r="T29" i="17" s="1"/>
  <c r="AA29" i="17" s="1"/>
  <c r="M5" i="17"/>
  <c r="O6" i="17"/>
  <c r="U6" i="17" s="1"/>
  <c r="AB6" i="17" s="1"/>
  <c r="N13" i="17"/>
  <c r="O21" i="17"/>
  <c r="M24" i="17"/>
  <c r="S24" i="17" s="1"/>
  <c r="Z24" i="17" s="1"/>
  <c r="O29" i="17"/>
  <c r="U29" i="17" s="1"/>
  <c r="AB29" i="17" s="1"/>
  <c r="N5" i="17"/>
  <c r="T5" i="17" s="1"/>
  <c r="AA5" i="17" s="1"/>
  <c r="P6" i="17"/>
  <c r="V6" i="17" s="1"/>
  <c r="AC6" i="17" s="1"/>
  <c r="O13" i="17"/>
  <c r="U13" i="17" s="1"/>
  <c r="AB13" i="17" s="1"/>
  <c r="N16" i="17"/>
  <c r="T16" i="17" s="1"/>
  <c r="AA16" i="17" s="1"/>
  <c r="O24" i="17"/>
  <c r="U24" i="17" s="1"/>
  <c r="AB24" i="17" s="1"/>
  <c r="U7" i="17"/>
  <c r="AB7" i="17" s="1"/>
  <c r="T24" i="17"/>
  <c r="AA24" i="17" s="1"/>
  <c r="V20" i="17"/>
  <c r="AC20" i="17" s="1"/>
  <c r="AB3" i="17"/>
  <c r="T17" i="17"/>
  <c r="AA17" i="17" s="1"/>
  <c r="S17" i="17"/>
  <c r="Z17" i="17" s="1"/>
  <c r="U34" i="17"/>
  <c r="AB34" i="17" s="1"/>
  <c r="O40" i="17"/>
  <c r="U40" i="17" s="1"/>
  <c r="AB40" i="17" s="1"/>
  <c r="N40" i="17"/>
  <c r="T40" i="17" s="1"/>
  <c r="AA40" i="17" s="1"/>
  <c r="S5" i="17"/>
  <c r="Z5" i="17" s="1"/>
  <c r="M7" i="17"/>
  <c r="S7" i="17" s="1"/>
  <c r="Z7" i="17" s="1"/>
  <c r="O11" i="17"/>
  <c r="U11" i="17" s="1"/>
  <c r="AB11" i="17" s="1"/>
  <c r="N11" i="17"/>
  <c r="O19" i="17"/>
  <c r="U19" i="17" s="1"/>
  <c r="AB19" i="17" s="1"/>
  <c r="N19" i="17"/>
  <c r="T19" i="17" s="1"/>
  <c r="AA19" i="17" s="1"/>
  <c r="O27" i="17"/>
  <c r="U27" i="17" s="1"/>
  <c r="AB27" i="17" s="1"/>
  <c r="N27" i="17"/>
  <c r="O35" i="17"/>
  <c r="U35" i="17" s="1"/>
  <c r="AB35" i="17" s="1"/>
  <c r="N35" i="17"/>
  <c r="T35" i="17" s="1"/>
  <c r="AA35" i="17" s="1"/>
  <c r="O38" i="17"/>
  <c r="U38" i="17" s="1"/>
  <c r="AB38" i="17" s="1"/>
  <c r="N38" i="17"/>
  <c r="T38" i="17" s="1"/>
  <c r="AA38" i="17" s="1"/>
  <c r="N7" i="17"/>
  <c r="T7" i="17" s="1"/>
  <c r="AA7" i="17" s="1"/>
  <c r="V15" i="17"/>
  <c r="AC15" i="17" s="1"/>
  <c r="U17" i="17"/>
  <c r="AB17" i="17" s="1"/>
  <c r="V23" i="17"/>
  <c r="AC23" i="17" s="1"/>
  <c r="N26" i="17"/>
  <c r="T26" i="17" s="1"/>
  <c r="AA26" i="17" s="1"/>
  <c r="M26" i="17"/>
  <c r="S26" i="17" s="1"/>
  <c r="Z26" i="17" s="1"/>
  <c r="M27" i="17"/>
  <c r="S27" i="17" s="1"/>
  <c r="Z27" i="17" s="1"/>
  <c r="W41" i="17"/>
  <c r="U22" i="17"/>
  <c r="AB22" i="17" s="1"/>
  <c r="O26" i="17"/>
  <c r="U26" i="17" s="1"/>
  <c r="AB26" i="17" s="1"/>
  <c r="P27" i="17"/>
  <c r="V27" i="17" s="1"/>
  <c r="AC27" i="17" s="1"/>
  <c r="M28" i="17"/>
  <c r="S28" i="17" s="1"/>
  <c r="Z28" i="17" s="1"/>
  <c r="S29" i="17"/>
  <c r="Z29" i="17" s="1"/>
  <c r="P35" i="17"/>
  <c r="V35" i="17" s="1"/>
  <c r="AC35" i="17" s="1"/>
  <c r="M36" i="17"/>
  <c r="S36" i="17" s="1"/>
  <c r="Z36" i="17" s="1"/>
  <c r="M8" i="17"/>
  <c r="S8" i="17" s="1"/>
  <c r="Z8" i="17" s="1"/>
  <c r="N28" i="17"/>
  <c r="T28" i="17" s="1"/>
  <c r="AA28" i="17" s="1"/>
  <c r="M3" i="17"/>
  <c r="S3" i="17" s="1"/>
  <c r="N10" i="17"/>
  <c r="T10" i="17" s="1"/>
  <c r="AA10" i="17" s="1"/>
  <c r="M10" i="17"/>
  <c r="S10" i="17" s="1"/>
  <c r="Z10" i="17" s="1"/>
  <c r="M11" i="17"/>
  <c r="S11" i="17" s="1"/>
  <c r="Z11" i="17" s="1"/>
  <c r="V17" i="17"/>
  <c r="AC17" i="17" s="1"/>
  <c r="M18" i="17"/>
  <c r="S18" i="17" s="1"/>
  <c r="Z18" i="17" s="1"/>
  <c r="M19" i="17"/>
  <c r="S19" i="17" s="1"/>
  <c r="Z19" i="17" s="1"/>
  <c r="N34" i="17"/>
  <c r="T34" i="17" s="1"/>
  <c r="AA34" i="17" s="1"/>
  <c r="M34" i="17"/>
  <c r="S34" i="17" s="1"/>
  <c r="Z34" i="17" s="1"/>
  <c r="M35" i="17"/>
  <c r="S35" i="17" s="1"/>
  <c r="Z35" i="17" s="1"/>
  <c r="P40" i="17"/>
  <c r="V40" i="17" s="1"/>
  <c r="AC40" i="17" s="1"/>
  <c r="N3" i="17"/>
  <c r="T3" i="17" s="1"/>
  <c r="S6" i="17"/>
  <c r="Z6" i="17" s="1"/>
  <c r="P7" i="17"/>
  <c r="V7" i="17" s="1"/>
  <c r="AC7" i="17" s="1"/>
  <c r="O10" i="17"/>
  <c r="U10" i="17" s="1"/>
  <c r="AB10" i="17" s="1"/>
  <c r="P11" i="17"/>
  <c r="V11" i="17" s="1"/>
  <c r="AC11" i="17" s="1"/>
  <c r="M12" i="17"/>
  <c r="S12" i="17" s="1"/>
  <c r="Z12" i="17" s="1"/>
  <c r="T13" i="17"/>
  <c r="AA13" i="17" s="1"/>
  <c r="U14" i="17"/>
  <c r="AB14" i="17" s="1"/>
  <c r="P19" i="17"/>
  <c r="V19" i="17" s="1"/>
  <c r="AC19" i="17" s="1"/>
  <c r="M20" i="17"/>
  <c r="S20" i="17" s="1"/>
  <c r="Z20" i="17" s="1"/>
  <c r="AD41" i="17"/>
  <c r="P3" i="17"/>
  <c r="V3" i="17" s="1"/>
  <c r="S4" i="17"/>
  <c r="Z4" i="17" s="1"/>
  <c r="T6" i="17"/>
  <c r="AA6" i="17" s="1"/>
  <c r="P10" i="17"/>
  <c r="V10" i="17" s="1"/>
  <c r="AC10" i="17" s="1"/>
  <c r="N12" i="17"/>
  <c r="T12" i="17" s="1"/>
  <c r="AA12" i="17" s="1"/>
  <c r="O15" i="17"/>
  <c r="U15" i="17" s="1"/>
  <c r="AB15" i="17" s="1"/>
  <c r="N15" i="17"/>
  <c r="T15" i="17" s="1"/>
  <c r="AA15" i="17" s="1"/>
  <c r="N20" i="17"/>
  <c r="T20" i="17" s="1"/>
  <c r="AA20" i="17" s="1"/>
  <c r="U21" i="17"/>
  <c r="AB21" i="17" s="1"/>
  <c r="V22" i="17"/>
  <c r="AC22" i="17" s="1"/>
  <c r="O23" i="17"/>
  <c r="U23" i="17" s="1"/>
  <c r="AB23" i="17" s="1"/>
  <c r="N23" i="17"/>
  <c r="T23" i="17" s="1"/>
  <c r="AA23" i="17" s="1"/>
  <c r="P26" i="17"/>
  <c r="V26" i="17" s="1"/>
  <c r="AC26" i="17" s="1"/>
  <c r="V30" i="17"/>
  <c r="AC30" i="17" s="1"/>
  <c r="P34" i="17"/>
  <c r="V34" i="17" s="1"/>
  <c r="AC34" i="17" s="1"/>
  <c r="N36" i="17"/>
  <c r="T36" i="17" s="1"/>
  <c r="AA36" i="17" s="1"/>
  <c r="M6" i="17"/>
  <c r="T9" i="17"/>
  <c r="AA9" i="17" s="1"/>
  <c r="T11" i="17"/>
  <c r="AA11" i="17" s="1"/>
  <c r="O12" i="17"/>
  <c r="U12" i="17" s="1"/>
  <c r="AB12" i="17" s="1"/>
  <c r="V13" i="17"/>
  <c r="AC13" i="17" s="1"/>
  <c r="N14" i="17"/>
  <c r="T14" i="17" s="1"/>
  <c r="AA14" i="17" s="1"/>
  <c r="M14" i="17"/>
  <c r="S14" i="17" s="1"/>
  <c r="Z14" i="17" s="1"/>
  <c r="M15" i="17"/>
  <c r="S15" i="17" s="1"/>
  <c r="Z15" i="17" s="1"/>
  <c r="O20" i="17"/>
  <c r="U20" i="17" s="1"/>
  <c r="AB20" i="17" s="1"/>
  <c r="V21" i="17"/>
  <c r="AC21" i="17" s="1"/>
  <c r="N22" i="17"/>
  <c r="T22" i="17" s="1"/>
  <c r="AA22" i="17" s="1"/>
  <c r="M22" i="17"/>
  <c r="S22" i="17" s="1"/>
  <c r="Z22" i="17" s="1"/>
  <c r="M23" i="17"/>
  <c r="S23" i="17" s="1"/>
  <c r="Z23" i="17" s="1"/>
  <c r="T27" i="17"/>
  <c r="AA27" i="17" s="1"/>
  <c r="O28" i="17"/>
  <c r="U28" i="17" s="1"/>
  <c r="AB28" i="17" s="1"/>
  <c r="V29" i="17"/>
  <c r="AC29" i="17" s="1"/>
  <c r="N30" i="17"/>
  <c r="T30" i="17" s="1"/>
  <c r="AA30" i="17" s="1"/>
  <c r="M30" i="17"/>
  <c r="S30" i="17" s="1"/>
  <c r="Z30" i="17" s="1"/>
  <c r="O36" i="17"/>
  <c r="U36" i="17" s="1"/>
  <c r="AB36" i="17" s="1"/>
  <c r="V28" i="7"/>
  <c r="U30" i="7"/>
  <c r="U28" i="7"/>
  <c r="U26" i="7"/>
  <c r="U24" i="7"/>
  <c r="U21" i="7"/>
  <c r="T29" i="7"/>
  <c r="V29" i="7"/>
  <c r="V27" i="7"/>
  <c r="V25" i="7"/>
  <c r="V22" i="7"/>
  <c r="W22" i="7" s="1"/>
  <c r="T33" i="7"/>
  <c r="V33" i="7"/>
  <c r="T31" i="7"/>
  <c r="V31" i="7"/>
  <c r="S17" i="4"/>
  <c r="Q31" i="8"/>
  <c r="V31" i="8" s="1"/>
  <c r="Q29" i="8"/>
  <c r="T29" i="8" s="1"/>
  <c r="Q23" i="8"/>
  <c r="Q12" i="8"/>
  <c r="Q13" i="8"/>
  <c r="Q14" i="8"/>
  <c r="Q15" i="8"/>
  <c r="Q16" i="8"/>
  <c r="Q17" i="8"/>
  <c r="Q18" i="8"/>
  <c r="Q19" i="8"/>
  <c r="Q20" i="8"/>
  <c r="Q21" i="8"/>
  <c r="Q22" i="8"/>
  <c r="Q11" i="8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T19" i="7"/>
  <c r="Q5" i="7"/>
  <c r="W16" i="7"/>
  <c r="W17" i="7"/>
  <c r="W18" i="7"/>
  <c r="W5" i="7"/>
  <c r="W6" i="7"/>
  <c r="W7" i="7"/>
  <c r="W8" i="7"/>
  <c r="W9" i="7"/>
  <c r="W10" i="7"/>
  <c r="W11" i="7"/>
  <c r="W12" i="7"/>
  <c r="W13" i="7"/>
  <c r="W14" i="7"/>
  <c r="W15" i="7"/>
  <c r="Z45" i="16"/>
  <c r="W46" i="16"/>
  <c r="X46" i="16"/>
  <c r="AA46" i="16" s="1"/>
  <c r="Y46" i="16"/>
  <c r="Z46" i="16"/>
  <c r="W47" i="16"/>
  <c r="X47" i="16"/>
  <c r="Y47" i="16"/>
  <c r="Z47" i="16"/>
  <c r="AA47" i="16" s="1"/>
  <c r="W48" i="16"/>
  <c r="X48" i="16"/>
  <c r="Y48" i="16"/>
  <c r="Z48" i="16"/>
  <c r="W49" i="16"/>
  <c r="X49" i="16"/>
  <c r="Y49" i="16"/>
  <c r="Z49" i="16"/>
  <c r="W50" i="16"/>
  <c r="AA50" i="16" s="1"/>
  <c r="X50" i="16"/>
  <c r="Y50" i="16"/>
  <c r="Z50" i="16"/>
  <c r="W51" i="16"/>
  <c r="X51" i="16"/>
  <c r="Y51" i="16"/>
  <c r="Z51" i="16"/>
  <c r="W52" i="16"/>
  <c r="X52" i="16"/>
  <c r="AA52" i="16" s="1"/>
  <c r="Y52" i="16"/>
  <c r="Z52" i="16"/>
  <c r="W53" i="16"/>
  <c r="X53" i="16"/>
  <c r="Y53" i="16"/>
  <c r="Z53" i="16"/>
  <c r="AA53" i="16" s="1"/>
  <c r="W54" i="16"/>
  <c r="X54" i="16"/>
  <c r="Y54" i="16"/>
  <c r="Z54" i="16"/>
  <c r="W55" i="16"/>
  <c r="X55" i="16"/>
  <c r="Y55" i="16"/>
  <c r="Z55" i="16"/>
  <c r="W56" i="16"/>
  <c r="X56" i="16"/>
  <c r="Y56" i="16"/>
  <c r="Z56" i="16"/>
  <c r="W57" i="16"/>
  <c r="X57" i="16"/>
  <c r="Y57" i="16"/>
  <c r="Z57" i="16"/>
  <c r="W58" i="16"/>
  <c r="X58" i="16"/>
  <c r="Y58" i="16"/>
  <c r="Z58" i="16"/>
  <c r="W59" i="16"/>
  <c r="X59" i="16"/>
  <c r="Y59" i="16"/>
  <c r="Z59" i="16"/>
  <c r="W60" i="16"/>
  <c r="X60" i="16"/>
  <c r="Y60" i="16"/>
  <c r="Z60" i="16"/>
  <c r="W61" i="16"/>
  <c r="X61" i="16"/>
  <c r="Y61" i="16"/>
  <c r="Z61" i="16"/>
  <c r="W62" i="16"/>
  <c r="X62" i="16"/>
  <c r="Y62" i="16"/>
  <c r="Z62" i="16"/>
  <c r="W63" i="16"/>
  <c r="X63" i="16"/>
  <c r="Y63" i="16"/>
  <c r="Z63" i="16"/>
  <c r="W64" i="16"/>
  <c r="X64" i="16"/>
  <c r="Y64" i="16"/>
  <c r="Z64" i="16"/>
  <c r="W65" i="16"/>
  <c r="X65" i="16"/>
  <c r="Y65" i="16"/>
  <c r="Z65" i="16"/>
  <c r="X45" i="16"/>
  <c r="Y45" i="16"/>
  <c r="W45" i="16"/>
  <c r="AA45" i="16" s="1"/>
  <c r="AA49" i="16"/>
  <c r="W6" i="16"/>
  <c r="AA6" i="16" s="1"/>
  <c r="X6" i="16"/>
  <c r="Y6" i="16"/>
  <c r="Z6" i="16"/>
  <c r="W7" i="16"/>
  <c r="AA7" i="16" s="1"/>
  <c r="X7" i="16"/>
  <c r="Y7" i="16"/>
  <c r="Z7" i="16"/>
  <c r="W8" i="16"/>
  <c r="AA8" i="16" s="1"/>
  <c r="X8" i="16"/>
  <c r="Y8" i="16"/>
  <c r="Z8" i="16"/>
  <c r="W9" i="16"/>
  <c r="AA9" i="16" s="1"/>
  <c r="X9" i="16"/>
  <c r="Y9" i="16"/>
  <c r="Z9" i="16"/>
  <c r="W10" i="16"/>
  <c r="AA10" i="16" s="1"/>
  <c r="X10" i="16"/>
  <c r="Y10" i="16"/>
  <c r="Z10" i="16"/>
  <c r="W11" i="16"/>
  <c r="AA11" i="16" s="1"/>
  <c r="X11" i="16"/>
  <c r="Y11" i="16"/>
  <c r="Z11" i="16"/>
  <c r="W12" i="16"/>
  <c r="AA12" i="16" s="1"/>
  <c r="X12" i="16"/>
  <c r="Y12" i="16"/>
  <c r="Z12" i="16"/>
  <c r="W13" i="16"/>
  <c r="AA13" i="16" s="1"/>
  <c r="X13" i="16"/>
  <c r="Y13" i="16"/>
  <c r="Z13" i="16"/>
  <c r="W14" i="16"/>
  <c r="AA14" i="16" s="1"/>
  <c r="X14" i="16"/>
  <c r="Y14" i="16"/>
  <c r="Z14" i="16"/>
  <c r="W15" i="16"/>
  <c r="AA15" i="16" s="1"/>
  <c r="X15" i="16"/>
  <c r="Y15" i="16"/>
  <c r="Z15" i="16"/>
  <c r="W16" i="16"/>
  <c r="AA16" i="16" s="1"/>
  <c r="X16" i="16"/>
  <c r="Y16" i="16"/>
  <c r="Z16" i="16"/>
  <c r="W17" i="16"/>
  <c r="AA17" i="16" s="1"/>
  <c r="X17" i="16"/>
  <c r="Y17" i="16"/>
  <c r="Z17" i="16"/>
  <c r="W18" i="16"/>
  <c r="X18" i="16"/>
  <c r="Y18" i="16"/>
  <c r="Z18" i="16"/>
  <c r="W19" i="16"/>
  <c r="X19" i="16"/>
  <c r="Y19" i="16"/>
  <c r="Z19" i="16"/>
  <c r="W20" i="16"/>
  <c r="X20" i="16"/>
  <c r="Y20" i="16"/>
  <c r="Z20" i="16"/>
  <c r="W21" i="16"/>
  <c r="AA21" i="16" s="1"/>
  <c r="X21" i="16"/>
  <c r="Y21" i="16"/>
  <c r="Z21" i="16"/>
  <c r="W22" i="16"/>
  <c r="X22" i="16"/>
  <c r="Y22" i="16"/>
  <c r="Z22" i="16"/>
  <c r="W23" i="16"/>
  <c r="X23" i="16"/>
  <c r="Y23" i="16"/>
  <c r="Z23" i="16"/>
  <c r="W24" i="16"/>
  <c r="X24" i="16"/>
  <c r="Y24" i="16"/>
  <c r="Z24" i="16"/>
  <c r="W25" i="16"/>
  <c r="X25" i="16"/>
  <c r="Y25" i="16"/>
  <c r="Z25" i="16"/>
  <c r="X5" i="16"/>
  <c r="Y5" i="16"/>
  <c r="Z5" i="16"/>
  <c r="W5" i="16"/>
  <c r="AA5" i="16" s="1"/>
  <c r="Q29" i="16"/>
  <c r="Y69" i="16" s="1"/>
  <c r="O26" i="16"/>
  <c r="W26" i="16" s="1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P26" i="16" s="1"/>
  <c r="L27" i="16"/>
  <c r="P27" i="16" s="1"/>
  <c r="L28" i="16"/>
  <c r="P28" i="16" s="1"/>
  <c r="L29" i="16"/>
  <c r="R29" i="16" s="1"/>
  <c r="L30" i="16"/>
  <c r="Q30" i="16" s="1"/>
  <c r="L31" i="16"/>
  <c r="O31" i="16" s="1"/>
  <c r="L32" i="16"/>
  <c r="Q32" i="16" s="1"/>
  <c r="L33" i="16"/>
  <c r="O33" i="16" s="1"/>
  <c r="L5" i="16"/>
  <c r="M31" i="17" l="1"/>
  <c r="S31" i="17" s="1"/>
  <c r="Z31" i="17" s="1"/>
  <c r="N31" i="17"/>
  <c r="T31" i="17" s="1"/>
  <c r="AA31" i="17" s="1"/>
  <c r="O31" i="17"/>
  <c r="U31" i="17" s="1"/>
  <c r="AB31" i="17" s="1"/>
  <c r="N32" i="17"/>
  <c r="T32" i="17" s="1"/>
  <c r="AA32" i="17" s="1"/>
  <c r="M32" i="17"/>
  <c r="S32" i="17" s="1"/>
  <c r="Z32" i="17" s="1"/>
  <c r="J41" i="17"/>
  <c r="M41" i="17" s="1"/>
  <c r="P32" i="17"/>
  <c r="V32" i="17" s="1"/>
  <c r="AC32" i="17" s="1"/>
  <c r="M38" i="17"/>
  <c r="S38" i="17" s="1"/>
  <c r="Z38" i="17" s="1"/>
  <c r="N18" i="17"/>
  <c r="T18" i="17" s="1"/>
  <c r="AA18" i="17" s="1"/>
  <c r="N37" i="17"/>
  <c r="T37" i="17" s="1"/>
  <c r="AA37" i="17" s="1"/>
  <c r="N25" i="17"/>
  <c r="T25" i="17" s="1"/>
  <c r="AA25" i="17" s="1"/>
  <c r="O37" i="17"/>
  <c r="U37" i="17" s="1"/>
  <c r="AB37" i="17" s="1"/>
  <c r="P18" i="17"/>
  <c r="V18" i="17" s="1"/>
  <c r="AC18" i="17" s="1"/>
  <c r="Z3" i="17"/>
  <c r="AA3" i="17"/>
  <c r="AC3" i="17"/>
  <c r="Q31" i="16"/>
  <c r="Y71" i="16" s="1"/>
  <c r="AA55" i="16"/>
  <c r="AA54" i="16"/>
  <c r="P30" i="16"/>
  <c r="X30" i="16" s="1"/>
  <c r="O30" i="16"/>
  <c r="W30" i="16" s="1"/>
  <c r="R28" i="16"/>
  <c r="Z28" i="16" s="1"/>
  <c r="O28" i="16"/>
  <c r="Q27" i="16"/>
  <c r="Y67" i="16" s="1"/>
  <c r="AA57" i="16"/>
  <c r="AA56" i="16"/>
  <c r="AA51" i="16"/>
  <c r="AA48" i="16"/>
  <c r="W73" i="16"/>
  <c r="W33" i="16"/>
  <c r="Q33" i="16"/>
  <c r="R33" i="16"/>
  <c r="P33" i="16"/>
  <c r="Y32" i="16"/>
  <c r="Y72" i="16"/>
  <c r="X67" i="16"/>
  <c r="X27" i="16"/>
  <c r="X28" i="16"/>
  <c r="X68" i="16"/>
  <c r="X26" i="16"/>
  <c r="X66" i="16"/>
  <c r="W31" i="16"/>
  <c r="W71" i="16"/>
  <c r="Y30" i="16"/>
  <c r="Y70" i="16"/>
  <c r="Z29" i="16"/>
  <c r="Z69" i="16"/>
  <c r="P32" i="16"/>
  <c r="R26" i="16"/>
  <c r="Y31" i="16"/>
  <c r="Y29" i="16"/>
  <c r="Y27" i="16"/>
  <c r="O27" i="16"/>
  <c r="R31" i="16"/>
  <c r="P29" i="16"/>
  <c r="Q26" i="16"/>
  <c r="P31" i="16"/>
  <c r="Q28" i="16"/>
  <c r="O32" i="16"/>
  <c r="R30" i="16"/>
  <c r="W66" i="16"/>
  <c r="R27" i="16"/>
  <c r="R32" i="16"/>
  <c r="O29" i="16"/>
  <c r="V29" i="8"/>
  <c r="U29" i="8"/>
  <c r="U31" i="8"/>
  <c r="T31" i="8"/>
  <c r="T20" i="8"/>
  <c r="V20" i="8"/>
  <c r="U20" i="8"/>
  <c r="V12" i="8"/>
  <c r="T12" i="8"/>
  <c r="U12" i="8"/>
  <c r="T19" i="8"/>
  <c r="V19" i="8"/>
  <c r="U19" i="8"/>
  <c r="V23" i="8"/>
  <c r="T23" i="8"/>
  <c r="U18" i="8"/>
  <c r="V18" i="8"/>
  <c r="T18" i="8"/>
  <c r="U23" i="8"/>
  <c r="U21" i="8"/>
  <c r="V21" i="8"/>
  <c r="T21" i="8"/>
  <c r="V17" i="8"/>
  <c r="T17" i="8"/>
  <c r="U17" i="8"/>
  <c r="U13" i="8"/>
  <c r="V13" i="8"/>
  <c r="T13" i="8"/>
  <c r="V16" i="8"/>
  <c r="T16" i="8"/>
  <c r="U16" i="8"/>
  <c r="T11" i="8"/>
  <c r="V11" i="8"/>
  <c r="U11" i="8"/>
  <c r="V15" i="8"/>
  <c r="T15" i="8"/>
  <c r="U15" i="8"/>
  <c r="U14" i="8"/>
  <c r="T14" i="8"/>
  <c r="V14" i="8"/>
  <c r="W28" i="7"/>
  <c r="W30" i="7"/>
  <c r="AA25" i="16"/>
  <c r="AA19" i="16"/>
  <c r="AA63" i="16"/>
  <c r="AA61" i="16"/>
  <c r="AA23" i="16"/>
  <c r="AA24" i="16"/>
  <c r="AA22" i="16"/>
  <c r="AA20" i="16"/>
  <c r="AA18" i="16"/>
  <c r="AA64" i="16"/>
  <c r="AA62" i="16"/>
  <c r="AA60" i="16"/>
  <c r="AA58" i="16"/>
  <c r="AA65" i="16"/>
  <c r="AA59" i="16"/>
  <c r="T41" i="17" l="1"/>
  <c r="AB41" i="17"/>
  <c r="V41" i="17"/>
  <c r="S41" i="17"/>
  <c r="Z41" i="17"/>
  <c r="P41" i="17"/>
  <c r="N41" i="17"/>
  <c r="O41" i="17"/>
  <c r="AC41" i="17"/>
  <c r="AE41" i="17" s="1"/>
  <c r="AA41" i="17"/>
  <c r="AA42" i="17" s="1"/>
  <c r="U41" i="17"/>
  <c r="T42" i="17"/>
  <c r="Z68" i="16"/>
  <c r="W21" i="8"/>
  <c r="W70" i="16"/>
  <c r="X70" i="16"/>
  <c r="W13" i="8"/>
  <c r="W31" i="8"/>
  <c r="W68" i="16"/>
  <c r="W28" i="16"/>
  <c r="Y33" i="16"/>
  <c r="Y73" i="16"/>
  <c r="X73" i="16"/>
  <c r="X33" i="16"/>
  <c r="Z33" i="16"/>
  <c r="Z73" i="16"/>
  <c r="AA30" i="16"/>
  <c r="W32" i="16"/>
  <c r="W72" i="16"/>
  <c r="AA70" i="16"/>
  <c r="W29" i="16"/>
  <c r="W69" i="16"/>
  <c r="Y68" i="16"/>
  <c r="AA68" i="16" s="1"/>
  <c r="Y28" i="16"/>
  <c r="AA28" i="16" s="1"/>
  <c r="W27" i="16"/>
  <c r="W67" i="16"/>
  <c r="Z32" i="16"/>
  <c r="Z72" i="16"/>
  <c r="Z27" i="16"/>
  <c r="Z67" i="16"/>
  <c r="Z26" i="16"/>
  <c r="Z66" i="16"/>
  <c r="Y26" i="16"/>
  <c r="Y66" i="16"/>
  <c r="X32" i="16"/>
  <c r="X72" i="16"/>
  <c r="X71" i="16"/>
  <c r="X74" i="16" s="1"/>
  <c r="X31" i="16"/>
  <c r="AA31" i="16" s="1"/>
  <c r="X69" i="16"/>
  <c r="X29" i="16"/>
  <c r="AA69" i="16"/>
  <c r="AA66" i="16"/>
  <c r="Z30" i="16"/>
  <c r="Z70" i="16"/>
  <c r="Z31" i="16"/>
  <c r="Z71" i="16"/>
  <c r="W29" i="8"/>
  <c r="W11" i="8"/>
  <c r="W14" i="8"/>
  <c r="W12" i="8"/>
  <c r="W18" i="8"/>
  <c r="W19" i="8"/>
  <c r="W23" i="8"/>
  <c r="W16" i="8"/>
  <c r="W17" i="8"/>
  <c r="W15" i="8"/>
  <c r="W20" i="8"/>
  <c r="W21" i="7"/>
  <c r="W24" i="7"/>
  <c r="W19" i="7"/>
  <c r="W27" i="7"/>
  <c r="W26" i="7"/>
  <c r="W23" i="7"/>
  <c r="W25" i="7"/>
  <c r="W29" i="7"/>
  <c r="W20" i="7"/>
  <c r="AC42" i="17" l="1"/>
  <c r="Z42" i="17"/>
  <c r="S42" i="17"/>
  <c r="AB42" i="17"/>
  <c r="V42" i="17"/>
  <c r="U42" i="17"/>
  <c r="AA71" i="16"/>
  <c r="X34" i="16"/>
  <c r="Y74" i="16"/>
  <c r="Z74" i="16"/>
  <c r="AA29" i="16"/>
  <c r="Y76" i="16"/>
  <c r="AA73" i="16"/>
  <c r="Y34" i="16"/>
  <c r="AA33" i="16"/>
  <c r="X36" i="16"/>
  <c r="AA32" i="16"/>
  <c r="Z34" i="16"/>
  <c r="Z76" i="16" s="1"/>
  <c r="AA27" i="16"/>
  <c r="W34" i="16"/>
  <c r="AA67" i="16"/>
  <c r="W74" i="16"/>
  <c r="Y36" i="16"/>
  <c r="X76" i="16"/>
  <c r="AA72" i="16"/>
  <c r="AA26" i="16"/>
  <c r="W25" i="4"/>
  <c r="X27" i="4"/>
  <c r="Y27" i="4"/>
  <c r="V28" i="4"/>
  <c r="W28" i="4"/>
  <c r="AE28" i="4" s="1"/>
  <c r="V32" i="4"/>
  <c r="W32" i="4"/>
  <c r="S18" i="4"/>
  <c r="V18" i="4" s="1"/>
  <c r="AD18" i="4" s="1"/>
  <c r="S19" i="4"/>
  <c r="V19" i="4" s="1"/>
  <c r="S20" i="4"/>
  <c r="V20" i="4" s="1"/>
  <c r="S21" i="4"/>
  <c r="V21" i="4" s="1"/>
  <c r="S22" i="4"/>
  <c r="V22" i="4" s="1"/>
  <c r="S23" i="4"/>
  <c r="V23" i="4" s="1"/>
  <c r="S24" i="4"/>
  <c r="V24" i="4" s="1"/>
  <c r="S25" i="4"/>
  <c r="V25" i="4" s="1"/>
  <c r="S26" i="4"/>
  <c r="X26" i="4" s="1"/>
  <c r="S27" i="4"/>
  <c r="V27" i="4" s="1"/>
  <c r="S28" i="4"/>
  <c r="X28" i="4" s="1"/>
  <c r="S29" i="4"/>
  <c r="V29" i="4" s="1"/>
  <c r="S30" i="4"/>
  <c r="V30" i="4" s="1"/>
  <c r="S31" i="4"/>
  <c r="V31" i="4" s="1"/>
  <c r="S32" i="4"/>
  <c r="X32" i="4" s="1"/>
  <c r="S33" i="4"/>
  <c r="Y33" i="4" s="1"/>
  <c r="Z25" i="4" l="1"/>
  <c r="Y25" i="4"/>
  <c r="Y24" i="4"/>
  <c r="X24" i="4"/>
  <c r="X19" i="4"/>
  <c r="W30" i="4"/>
  <c r="W26" i="4"/>
  <c r="W19" i="4"/>
  <c r="Z19" i="4" s="1"/>
  <c r="W24" i="4"/>
  <c r="Z24" i="4" s="1"/>
  <c r="Y19" i="4"/>
  <c r="X25" i="4"/>
  <c r="Y29" i="4"/>
  <c r="V26" i="4"/>
  <c r="AA34" i="16"/>
  <c r="W35" i="16" s="1"/>
  <c r="Z36" i="16"/>
  <c r="W76" i="16"/>
  <c r="AA74" i="16"/>
  <c r="W36" i="16"/>
  <c r="X23" i="4"/>
  <c r="X29" i="4"/>
  <c r="Z29" i="4" s="1"/>
  <c r="W31" i="4"/>
  <c r="Z31" i="4" s="1"/>
  <c r="W29" i="4"/>
  <c r="W27" i="4"/>
  <c r="Z27" i="4" s="1"/>
  <c r="Y23" i="4"/>
  <c r="Y18" i="4"/>
  <c r="W23" i="4"/>
  <c r="Z23" i="4" s="1"/>
  <c r="X21" i="4"/>
  <c r="Y31" i="4"/>
  <c r="X31" i="4"/>
  <c r="Y22" i="4"/>
  <c r="X18" i="4"/>
  <c r="W22" i="4"/>
  <c r="X20" i="4"/>
  <c r="X22" i="4"/>
  <c r="Y32" i="4"/>
  <c r="Z32" i="4" s="1"/>
  <c r="Y30" i="4"/>
  <c r="Y28" i="4"/>
  <c r="Z28" i="4" s="1"/>
  <c r="Y26" i="4"/>
  <c r="Z26" i="4" s="1"/>
  <c r="Y21" i="4"/>
  <c r="W18" i="4"/>
  <c r="W21" i="4"/>
  <c r="X30" i="4"/>
  <c r="Y20" i="4"/>
  <c r="W20" i="4"/>
  <c r="X33" i="4"/>
  <c r="Z33" i="4" s="1"/>
  <c r="AD37" i="8"/>
  <c r="AB37" i="8"/>
  <c r="AA37" i="8"/>
  <c r="H11" i="8"/>
  <c r="H12" i="8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10" i="7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AA39" i="16"/>
  <c r="X39" i="16"/>
  <c r="W39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Z20" i="4" l="1"/>
  <c r="Z30" i="4"/>
  <c r="Z21" i="4"/>
  <c r="Z18" i="4"/>
  <c r="Z22" i="4"/>
  <c r="Z35" i="16"/>
  <c r="AA76" i="16"/>
  <c r="AA75" i="16"/>
  <c r="Z75" i="16"/>
  <c r="Y75" i="16"/>
  <c r="X75" i="16"/>
  <c r="W75" i="16"/>
  <c r="AA35" i="16"/>
  <c r="AA36" i="16"/>
  <c r="Y35" i="16"/>
  <c r="X35" i="16"/>
  <c r="H11" i="4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D5" i="8"/>
  <c r="F5" i="8"/>
  <c r="D10" i="8"/>
  <c r="A11" i="8"/>
  <c r="D11" i="8"/>
  <c r="A12" i="8"/>
  <c r="D12" i="8" s="1"/>
  <c r="B46" i="8"/>
  <c r="D5" i="7"/>
  <c r="F5" i="7"/>
  <c r="D10" i="7"/>
  <c r="A11" i="7"/>
  <c r="D11" i="7"/>
  <c r="A12" i="7"/>
  <c r="D12" i="7" s="1"/>
  <c r="B46" i="7"/>
  <c r="B2" i="16"/>
  <c r="C2" i="16"/>
  <c r="E29" i="16"/>
  <c r="E30" i="16"/>
  <c r="E31" i="16"/>
  <c r="E32" i="16"/>
  <c r="E33" i="16"/>
  <c r="E34" i="16"/>
  <c r="E36" i="16"/>
  <c r="E37" i="16"/>
  <c r="E38" i="16"/>
  <c r="E39" i="16"/>
  <c r="D5" i="4"/>
  <c r="F5" i="4"/>
  <c r="D10" i="4"/>
  <c r="A11" i="4"/>
  <c r="D11" i="4" s="1"/>
  <c r="A12" i="4"/>
  <c r="D12" i="4"/>
  <c r="A13" i="4"/>
  <c r="D13" i="4" s="1"/>
  <c r="A14" i="4"/>
  <c r="D14" i="4" s="1"/>
  <c r="B46" i="4"/>
  <c r="A13" i="7" l="1"/>
  <c r="A13" i="8"/>
  <c r="A15" i="4"/>
  <c r="E15" i="16"/>
  <c r="E28" i="16"/>
  <c r="E22" i="16"/>
  <c r="E7" i="16"/>
  <c r="E17" i="16"/>
  <c r="E14" i="16"/>
  <c r="E12" i="16"/>
  <c r="E25" i="16"/>
  <c r="E21" i="16"/>
  <c r="E9" i="16"/>
  <c r="E6" i="16"/>
  <c r="E13" i="16"/>
  <c r="E24" i="16"/>
  <c r="E20" i="16"/>
  <c r="E5" i="16"/>
  <c r="E16" i="16"/>
  <c r="E23" i="16"/>
  <c r="E8" i="16"/>
  <c r="E35" i="16"/>
  <c r="E27" i="16"/>
  <c r="E19" i="16"/>
  <c r="E11" i="16"/>
  <c r="E26" i="16"/>
  <c r="E18" i="16"/>
  <c r="E10" i="16"/>
  <c r="A14" i="7" l="1"/>
  <c r="D13" i="7"/>
  <c r="D13" i="8"/>
  <c r="A14" i="8"/>
  <c r="AC25" i="8"/>
  <c r="AA25" i="8"/>
  <c r="AB25" i="8"/>
  <c r="AA6" i="8"/>
  <c r="AB6" i="8"/>
  <c r="AC6" i="8"/>
  <c r="AC17" i="8"/>
  <c r="AA17" i="8"/>
  <c r="AB17" i="8"/>
  <c r="AB12" i="8"/>
  <c r="AC12" i="8"/>
  <c r="AA12" i="8"/>
  <c r="AB20" i="8"/>
  <c r="AC20" i="8"/>
  <c r="AA20" i="8"/>
  <c r="AB28" i="8"/>
  <c r="AC28" i="8"/>
  <c r="AA28" i="8"/>
  <c r="AA30" i="8"/>
  <c r="AB30" i="8"/>
  <c r="AC30" i="8"/>
  <c r="AB27" i="8"/>
  <c r="AA27" i="8"/>
  <c r="AC27" i="8"/>
  <c r="AA7" i="8"/>
  <c r="AB7" i="8"/>
  <c r="AC7" i="8"/>
  <c r="AC24" i="8"/>
  <c r="AA24" i="8"/>
  <c r="AB24" i="8"/>
  <c r="AB11" i="8"/>
  <c r="AA11" i="8"/>
  <c r="AC11" i="8"/>
  <c r="AA31" i="8"/>
  <c r="AB31" i="8"/>
  <c r="AC31" i="8"/>
  <c r="AA8" i="8"/>
  <c r="AB8" i="8"/>
  <c r="AC8" i="8"/>
  <c r="AB5" i="8"/>
  <c r="AC5" i="8"/>
  <c r="AA5" i="8"/>
  <c r="AA23" i="8"/>
  <c r="AB23" i="8"/>
  <c r="AC23" i="8"/>
  <c r="AA26" i="8"/>
  <c r="AB26" i="8"/>
  <c r="AC26" i="8"/>
  <c r="AA21" i="8"/>
  <c r="AB21" i="8"/>
  <c r="AC21" i="8"/>
  <c r="AB19" i="8"/>
  <c r="AA19" i="8"/>
  <c r="AC19" i="8"/>
  <c r="AA22" i="8"/>
  <c r="AB22" i="8"/>
  <c r="AC22" i="8"/>
  <c r="AA14" i="8"/>
  <c r="AB14" i="8"/>
  <c r="AC14" i="8"/>
  <c r="AC9" i="8"/>
  <c r="AA9" i="8"/>
  <c r="AB9" i="8"/>
  <c r="AA29" i="8"/>
  <c r="AB29" i="8"/>
  <c r="AC29" i="8"/>
  <c r="AC16" i="8"/>
  <c r="AA16" i="8"/>
  <c r="AB16" i="8"/>
  <c r="AA18" i="8"/>
  <c r="AB18" i="8"/>
  <c r="AC18" i="8"/>
  <c r="AA15" i="8"/>
  <c r="AB15" i="8"/>
  <c r="AC15" i="8"/>
  <c r="AA13" i="8"/>
  <c r="AB13" i="8"/>
  <c r="AC13" i="8"/>
  <c r="AA10" i="8"/>
  <c r="AB10" i="8"/>
  <c r="AC10" i="8"/>
  <c r="D15" i="4"/>
  <c r="A16" i="4"/>
  <c r="D14" i="7" l="1"/>
  <c r="A15" i="7"/>
  <c r="A15" i="8"/>
  <c r="D14" i="8"/>
  <c r="AC44" i="8"/>
  <c r="AA44" i="8"/>
  <c r="AB44" i="8"/>
  <c r="AB67" i="8"/>
  <c r="AA67" i="8"/>
  <c r="AC67" i="8"/>
  <c r="AC43" i="8"/>
  <c r="AB43" i="8"/>
  <c r="AA43" i="8"/>
  <c r="J2" i="8"/>
  <c r="AB54" i="8"/>
  <c r="AA54" i="8"/>
  <c r="AC54" i="8"/>
  <c r="AA61" i="8"/>
  <c r="AC61" i="8"/>
  <c r="AB61" i="8"/>
  <c r="AC45" i="8"/>
  <c r="AA45" i="8"/>
  <c r="AB45" i="8"/>
  <c r="AB66" i="8"/>
  <c r="AA66" i="8"/>
  <c r="AC66" i="8"/>
  <c r="AC68" i="8"/>
  <c r="AB68" i="8"/>
  <c r="AA68" i="8"/>
  <c r="AA55" i="8"/>
  <c r="AC55" i="8"/>
  <c r="AB55" i="8"/>
  <c r="AA63" i="8"/>
  <c r="AC63" i="8"/>
  <c r="AB63" i="8"/>
  <c r="AB57" i="8"/>
  <c r="AC57" i="8"/>
  <c r="AA57" i="8"/>
  <c r="AC47" i="8"/>
  <c r="AA47" i="8"/>
  <c r="AB47" i="8"/>
  <c r="AB65" i="8"/>
  <c r="AC65" i="8"/>
  <c r="AA65" i="8"/>
  <c r="AD65" i="8" s="1"/>
  <c r="AB51" i="8"/>
  <c r="AC51" i="8"/>
  <c r="AA51" i="8"/>
  <c r="AB59" i="8"/>
  <c r="AA59" i="8"/>
  <c r="AC59" i="8"/>
  <c r="AB46" i="8"/>
  <c r="AC46" i="8"/>
  <c r="AA46" i="8"/>
  <c r="AB49" i="8"/>
  <c r="AA49" i="8"/>
  <c r="AC49" i="8"/>
  <c r="AA56" i="8"/>
  <c r="AC56" i="8"/>
  <c r="AB56" i="8"/>
  <c r="AA64" i="8"/>
  <c r="AC64" i="8"/>
  <c r="AB64" i="8"/>
  <c r="AA53" i="8"/>
  <c r="AC53" i="8"/>
  <c r="AB53" i="8"/>
  <c r="AC60" i="8"/>
  <c r="AB60" i="8"/>
  <c r="AA60" i="8"/>
  <c r="AD60" i="8" s="1"/>
  <c r="AB50" i="8"/>
  <c r="AC50" i="8"/>
  <c r="AA50" i="8"/>
  <c r="AC48" i="8"/>
  <c r="AA48" i="8"/>
  <c r="AB48" i="8"/>
  <c r="AC52" i="8"/>
  <c r="AA52" i="8"/>
  <c r="AB52" i="8"/>
  <c r="AA32" i="8"/>
  <c r="AA34" i="8"/>
  <c r="AD5" i="8"/>
  <c r="AA69" i="8"/>
  <c r="AC69" i="8"/>
  <c r="AB69" i="8"/>
  <c r="AA62" i="8"/>
  <c r="AC62" i="8"/>
  <c r="AB62" i="8"/>
  <c r="AB58" i="8"/>
  <c r="AA58" i="8"/>
  <c r="AC58" i="8"/>
  <c r="A17" i="4"/>
  <c r="D16" i="4"/>
  <c r="I2" i="8"/>
  <c r="D15" i="8" l="1"/>
  <c r="A16" i="8"/>
  <c r="D15" i="7"/>
  <c r="A16" i="7"/>
  <c r="AD62" i="8"/>
  <c r="AD64" i="8"/>
  <c r="AD45" i="8"/>
  <c r="AD44" i="8"/>
  <c r="AC70" i="8"/>
  <c r="AD48" i="8"/>
  <c r="AD66" i="8"/>
  <c r="AD67" i="8"/>
  <c r="AD69" i="8"/>
  <c r="AD47" i="8"/>
  <c r="AD50" i="8"/>
  <c r="AD49" i="8"/>
  <c r="AD51" i="8"/>
  <c r="AD61" i="8"/>
  <c r="AD63" i="8"/>
  <c r="AD46" i="8"/>
  <c r="AD68" i="8"/>
  <c r="D17" i="4"/>
  <c r="A18" i="4"/>
  <c r="A17" i="7" l="1"/>
  <c r="D16" i="7"/>
  <c r="D16" i="8"/>
  <c r="A17" i="8"/>
  <c r="D18" i="4"/>
  <c r="A19" i="4"/>
  <c r="D17" i="8" l="1"/>
  <c r="A18" i="8"/>
  <c r="D17" i="7"/>
  <c r="A18" i="7"/>
  <c r="D19" i="4"/>
  <c r="A20" i="4"/>
  <c r="D18" i="7" l="1"/>
  <c r="A19" i="7"/>
  <c r="D18" i="8"/>
  <c r="A19" i="8"/>
  <c r="A21" i="4"/>
  <c r="D20" i="4"/>
  <c r="A20" i="8" l="1"/>
  <c r="D19" i="8"/>
  <c r="D19" i="7"/>
  <c r="A20" i="7"/>
  <c r="A22" i="4"/>
  <c r="D21" i="4"/>
  <c r="A21" i="7" l="1"/>
  <c r="D20" i="7"/>
  <c r="D20" i="8"/>
  <c r="A21" i="8"/>
  <c r="D22" i="4"/>
  <c r="A23" i="4"/>
  <c r="A22" i="8" l="1"/>
  <c r="D21" i="8"/>
  <c r="D21" i="7"/>
  <c r="A22" i="7"/>
  <c r="D23" i="4"/>
  <c r="A24" i="4"/>
  <c r="D22" i="7" l="1"/>
  <c r="A23" i="7"/>
  <c r="D22" i="8"/>
  <c r="A23" i="8"/>
  <c r="A25" i="4"/>
  <c r="D24" i="4"/>
  <c r="D23" i="8" l="1"/>
  <c r="A24" i="8"/>
  <c r="D23" i="7"/>
  <c r="A24" i="7"/>
  <c r="A26" i="4"/>
  <c r="D25" i="4"/>
  <c r="A25" i="7" l="1"/>
  <c r="D24" i="7"/>
  <c r="D24" i="8"/>
  <c r="A25" i="8"/>
  <c r="D26" i="4"/>
  <c r="A27" i="4"/>
  <c r="D25" i="8" l="1"/>
  <c r="A26" i="8"/>
  <c r="A26" i="7"/>
  <c r="D25" i="7"/>
  <c r="D27" i="4"/>
  <c r="A28" i="4"/>
  <c r="A27" i="7" l="1"/>
  <c r="D26" i="7"/>
  <c r="A27" i="8"/>
  <c r="D26" i="8"/>
  <c r="D28" i="4"/>
  <c r="A29" i="4"/>
  <c r="D27" i="8" l="1"/>
  <c r="A28" i="8"/>
  <c r="A28" i="7"/>
  <c r="D27" i="7"/>
  <c r="A30" i="4"/>
  <c r="D29" i="4"/>
  <c r="A29" i="8" l="1"/>
  <c r="D28" i="8"/>
  <c r="A29" i="7"/>
  <c r="D28" i="7"/>
  <c r="D30" i="4"/>
  <c r="A31" i="4"/>
  <c r="D29" i="7" l="1"/>
  <c r="A30" i="7"/>
  <c r="D29" i="8"/>
  <c r="A30" i="8"/>
  <c r="D31" i="4"/>
  <c r="A32" i="4"/>
  <c r="A31" i="7" l="1"/>
  <c r="D30" i="7"/>
  <c r="A31" i="8"/>
  <c r="D30" i="8"/>
  <c r="A33" i="4"/>
  <c r="D32" i="4"/>
  <c r="D31" i="8" l="1"/>
  <c r="A32" i="8"/>
  <c r="D31" i="7"/>
  <c r="A32" i="7"/>
  <c r="D33" i="4"/>
  <c r="A34" i="4"/>
  <c r="A33" i="7" l="1"/>
  <c r="D32" i="7"/>
  <c r="A33" i="8"/>
  <c r="D32" i="8"/>
  <c r="D34" i="4"/>
  <c r="A35" i="4"/>
  <c r="D33" i="8" l="1"/>
  <c r="A34" i="8"/>
  <c r="A34" i="7"/>
  <c r="D33" i="7"/>
  <c r="D35" i="4"/>
  <c r="A36" i="4"/>
  <c r="A35" i="7" l="1"/>
  <c r="D34" i="7"/>
  <c r="D34" i="8"/>
  <c r="A35" i="8"/>
  <c r="A37" i="4"/>
  <c r="D36" i="4"/>
  <c r="D35" i="8" l="1"/>
  <c r="A36" i="8"/>
  <c r="A36" i="7"/>
  <c r="D35" i="7"/>
  <c r="A38" i="4"/>
  <c r="D37" i="4"/>
  <c r="D36" i="7" l="1"/>
  <c r="A37" i="7"/>
  <c r="D36" i="8"/>
  <c r="A37" i="8"/>
  <c r="D38" i="4"/>
  <c r="A39" i="4"/>
  <c r="D37" i="7" l="1"/>
  <c r="A38" i="7"/>
  <c r="D37" i="8"/>
  <c r="A38" i="8"/>
  <c r="D39" i="4"/>
  <c r="A40" i="4"/>
  <c r="A39" i="7" l="1"/>
  <c r="D38" i="7"/>
  <c r="D38" i="8"/>
  <c r="A39" i="8"/>
  <c r="A41" i="4"/>
  <c r="D40" i="4"/>
  <c r="A40" i="8" l="1"/>
  <c r="D39" i="8"/>
  <c r="A40" i="7"/>
  <c r="D39" i="7"/>
  <c r="D41" i="4"/>
  <c r="A42" i="4"/>
  <c r="D40" i="7" l="1"/>
  <c r="D46" i="7" s="1"/>
  <c r="A41" i="7"/>
  <c r="D40" i="8"/>
  <c r="D46" i="8" s="1"/>
  <c r="A41" i="8"/>
  <c r="AA19" i="7"/>
  <c r="AC19" i="7"/>
  <c r="AB19" i="7"/>
  <c r="AA28" i="7"/>
  <c r="AC28" i="7"/>
  <c r="AB28" i="7"/>
  <c r="AB26" i="7"/>
  <c r="AC26" i="7"/>
  <c r="AA26" i="7"/>
  <c r="AC9" i="7"/>
  <c r="AA9" i="7"/>
  <c r="AB9" i="7"/>
  <c r="AC8" i="7"/>
  <c r="AA8" i="7"/>
  <c r="AD8" i="7" s="1"/>
  <c r="AB8" i="7"/>
  <c r="AA6" i="7"/>
  <c r="AB6" i="7"/>
  <c r="AC6" i="7"/>
  <c r="AB23" i="7"/>
  <c r="AC23" i="7"/>
  <c r="AA23" i="7"/>
  <c r="AA22" i="7"/>
  <c r="AC22" i="7"/>
  <c r="AB22" i="7"/>
  <c r="AB24" i="7"/>
  <c r="AA24" i="7"/>
  <c r="AD24" i="7" s="1"/>
  <c r="AC24" i="7"/>
  <c r="AA29" i="7"/>
  <c r="AB29" i="7"/>
  <c r="AC29" i="7"/>
  <c r="AB12" i="7"/>
  <c r="AC12" i="7"/>
  <c r="AA12" i="7"/>
  <c r="AA72" i="7"/>
  <c r="AB72" i="7"/>
  <c r="AC72" i="7"/>
  <c r="AA16" i="7"/>
  <c r="AB16" i="7"/>
  <c r="AC16" i="7"/>
  <c r="AA10" i="7"/>
  <c r="AB10" i="7"/>
  <c r="AC10" i="7"/>
  <c r="AA13" i="7"/>
  <c r="AB13" i="7"/>
  <c r="AC13" i="7"/>
  <c r="AC14" i="7"/>
  <c r="AA14" i="7"/>
  <c r="AB14" i="7"/>
  <c r="AA15" i="7"/>
  <c r="AB15" i="7"/>
  <c r="AC15" i="7"/>
  <c r="AA27" i="7"/>
  <c r="AC27" i="7"/>
  <c r="AB27" i="7"/>
  <c r="AB11" i="7"/>
  <c r="AA11" i="7"/>
  <c r="AC11" i="7"/>
  <c r="AA25" i="7"/>
  <c r="AB25" i="7"/>
  <c r="AC25" i="7"/>
  <c r="AC30" i="7"/>
  <c r="AB30" i="7"/>
  <c r="AA30" i="7"/>
  <c r="AA5" i="7"/>
  <c r="AB5" i="7"/>
  <c r="AC5" i="7"/>
  <c r="AC20" i="7"/>
  <c r="AA20" i="7"/>
  <c r="AB20" i="7"/>
  <c r="AA18" i="7"/>
  <c r="AB18" i="7"/>
  <c r="AC18" i="7"/>
  <c r="AA21" i="7"/>
  <c r="AC21" i="7"/>
  <c r="AB21" i="7"/>
  <c r="AC17" i="7"/>
  <c r="AB17" i="7"/>
  <c r="AA17" i="7"/>
  <c r="D42" i="4"/>
  <c r="A43" i="4"/>
  <c r="AD13" i="7" l="1"/>
  <c r="A42" i="8"/>
  <c r="D41" i="8"/>
  <c r="F16" i="8"/>
  <c r="F34" i="8"/>
  <c r="F36" i="8"/>
  <c r="F32" i="8"/>
  <c r="F43" i="8"/>
  <c r="F20" i="8"/>
  <c r="F10" i="8"/>
  <c r="F28" i="8"/>
  <c r="F12" i="8"/>
  <c r="F30" i="8"/>
  <c r="F18" i="8"/>
  <c r="F37" i="8"/>
  <c r="F26" i="8"/>
  <c r="F41" i="8"/>
  <c r="F22" i="8"/>
  <c r="F14" i="8"/>
  <c r="F13" i="8"/>
  <c r="F35" i="8"/>
  <c r="F21" i="8"/>
  <c r="F33" i="8"/>
  <c r="F11" i="8"/>
  <c r="F40" i="8"/>
  <c r="F44" i="8"/>
  <c r="F24" i="8"/>
  <c r="F19" i="8"/>
  <c r="F29" i="8"/>
  <c r="F42" i="8"/>
  <c r="F17" i="8"/>
  <c r="F31" i="8"/>
  <c r="F25" i="8"/>
  <c r="F23" i="8"/>
  <c r="F27" i="8"/>
  <c r="F39" i="8"/>
  <c r="F15" i="8"/>
  <c r="F38" i="8"/>
  <c r="AD25" i="7"/>
  <c r="AD72" i="7"/>
  <c r="D41" i="7"/>
  <c r="A42" i="7"/>
  <c r="AD12" i="7"/>
  <c r="AD23" i="7"/>
  <c r="AD26" i="7"/>
  <c r="F16" i="7"/>
  <c r="F22" i="7"/>
  <c r="F29" i="7"/>
  <c r="F17" i="7"/>
  <c r="F20" i="7"/>
  <c r="F25" i="7"/>
  <c r="F44" i="7"/>
  <c r="F39" i="7"/>
  <c r="F41" i="7"/>
  <c r="F10" i="7"/>
  <c r="F46" i="7" s="1"/>
  <c r="F19" i="7"/>
  <c r="F18" i="7"/>
  <c r="F36" i="7"/>
  <c r="F31" i="7"/>
  <c r="F35" i="7"/>
  <c r="F11" i="7"/>
  <c r="F43" i="7"/>
  <c r="F32" i="7"/>
  <c r="F23" i="7"/>
  <c r="F28" i="7"/>
  <c r="F13" i="7"/>
  <c r="F38" i="7"/>
  <c r="F15" i="7"/>
  <c r="F33" i="7"/>
  <c r="F14" i="7"/>
  <c r="F21" i="7"/>
  <c r="F40" i="7"/>
  <c r="F27" i="7"/>
  <c r="F37" i="7"/>
  <c r="F30" i="7"/>
  <c r="F42" i="7"/>
  <c r="F34" i="7"/>
  <c r="F12" i="7"/>
  <c r="F26" i="7"/>
  <c r="F24" i="7"/>
  <c r="AD30" i="7"/>
  <c r="AD11" i="7"/>
  <c r="AD6" i="7"/>
  <c r="AD22" i="7"/>
  <c r="AD27" i="7"/>
  <c r="AD29" i="7"/>
  <c r="AD28" i="7"/>
  <c r="AD10" i="7"/>
  <c r="AD9" i="7"/>
  <c r="AA57" i="7"/>
  <c r="AB57" i="7"/>
  <c r="AC57" i="7"/>
  <c r="AC52" i="7"/>
  <c r="AA52" i="7"/>
  <c r="AB52" i="7"/>
  <c r="AA64" i="7"/>
  <c r="AB64" i="7"/>
  <c r="AC64" i="7"/>
  <c r="AA7" i="7"/>
  <c r="AB7" i="7"/>
  <c r="AC7" i="7"/>
  <c r="AA65" i="7"/>
  <c r="AB65" i="7"/>
  <c r="AC65" i="7"/>
  <c r="AC67" i="7"/>
  <c r="AA67" i="7"/>
  <c r="AB67" i="7"/>
  <c r="AB54" i="7"/>
  <c r="AC54" i="7"/>
  <c r="AA54" i="7"/>
  <c r="AC50" i="7"/>
  <c r="AA50" i="7"/>
  <c r="AB50" i="7"/>
  <c r="AA48" i="7"/>
  <c r="AB48" i="7"/>
  <c r="AC48" i="7"/>
  <c r="AB70" i="7"/>
  <c r="AC70" i="7"/>
  <c r="AA70" i="7"/>
  <c r="AD70" i="7" s="1"/>
  <c r="AB63" i="7"/>
  <c r="AC63" i="7"/>
  <c r="AA63" i="7"/>
  <c r="AC45" i="7"/>
  <c r="AA45" i="7"/>
  <c r="AB45" i="7"/>
  <c r="AB61" i="7"/>
  <c r="AC61" i="7"/>
  <c r="AA61" i="7"/>
  <c r="AC60" i="7"/>
  <c r="AA60" i="7"/>
  <c r="AB60" i="7"/>
  <c r="AB69" i="7"/>
  <c r="AA69" i="7"/>
  <c r="AC69" i="7"/>
  <c r="AB62" i="7"/>
  <c r="AC62" i="7"/>
  <c r="AA62" i="7"/>
  <c r="AB46" i="7"/>
  <c r="AC46" i="7"/>
  <c r="AA46" i="7"/>
  <c r="AA49" i="7"/>
  <c r="AB49" i="7"/>
  <c r="AC49" i="7"/>
  <c r="AC68" i="7"/>
  <c r="AA68" i="7"/>
  <c r="AB68" i="7"/>
  <c r="AC59" i="7"/>
  <c r="AA59" i="7"/>
  <c r="AB59" i="7"/>
  <c r="AB55" i="7"/>
  <c r="AC55" i="7"/>
  <c r="AA55" i="7"/>
  <c r="AA56" i="7"/>
  <c r="AB56" i="7"/>
  <c r="AC56" i="7"/>
  <c r="AC58" i="7"/>
  <c r="AB58" i="7"/>
  <c r="AA58" i="7"/>
  <c r="AC66" i="7"/>
  <c r="AB66" i="7"/>
  <c r="AA66" i="7"/>
  <c r="AC51" i="7"/>
  <c r="AA51" i="7"/>
  <c r="AB51" i="7"/>
  <c r="AB53" i="7"/>
  <c r="AA53" i="7"/>
  <c r="AC53" i="7"/>
  <c r="I2" i="7"/>
  <c r="D43" i="4"/>
  <c r="D46" i="4" s="1"/>
  <c r="A44" i="4"/>
  <c r="D44" i="4" s="1"/>
  <c r="D42" i="7" l="1"/>
  <c r="A43" i="7"/>
  <c r="AD53" i="7"/>
  <c r="F46" i="8"/>
  <c r="AD7" i="7"/>
  <c r="D42" i="8"/>
  <c r="A43" i="8"/>
  <c r="AD51" i="7"/>
  <c r="AD49" i="7"/>
  <c r="AD69" i="7"/>
  <c r="AD65" i="7"/>
  <c r="AD52" i="7"/>
  <c r="AD64" i="7"/>
  <c r="AD46" i="7"/>
  <c r="AD50" i="7"/>
  <c r="AD66" i="7"/>
  <c r="AD63" i="7"/>
  <c r="AD68" i="7"/>
  <c r="AD62" i="7"/>
  <c r="AD48" i="7"/>
  <c r="AD67" i="7"/>
  <c r="AD45" i="7"/>
  <c r="AC47" i="7"/>
  <c r="AB47" i="7"/>
  <c r="AA47" i="7"/>
  <c r="J2" i="7"/>
  <c r="F29" i="4"/>
  <c r="F18" i="4"/>
  <c r="F20" i="4"/>
  <c r="F27" i="4"/>
  <c r="F25" i="4"/>
  <c r="F22" i="4"/>
  <c r="F24" i="4"/>
  <c r="F43" i="4"/>
  <c r="F40" i="4"/>
  <c r="F15" i="4"/>
  <c r="F28" i="4"/>
  <c r="F19" i="4"/>
  <c r="F38" i="4"/>
  <c r="F35" i="4"/>
  <c r="F10" i="4"/>
  <c r="F42" i="4"/>
  <c r="F39" i="4"/>
  <c r="F14" i="4"/>
  <c r="F21" i="4"/>
  <c r="F30" i="4"/>
  <c r="F33" i="4"/>
  <c r="F17" i="4"/>
  <c r="F34" i="4"/>
  <c r="F41" i="4"/>
  <c r="F16" i="4"/>
  <c r="F13" i="4"/>
  <c r="F37" i="4"/>
  <c r="F23" i="4"/>
  <c r="F26" i="4"/>
  <c r="F44" i="4"/>
  <c r="F36" i="4"/>
  <c r="F11" i="4"/>
  <c r="F32" i="4"/>
  <c r="F12" i="4"/>
  <c r="F31" i="4"/>
  <c r="A44" i="7" l="1"/>
  <c r="D44" i="7" s="1"/>
  <c r="D43" i="7"/>
  <c r="A44" i="8"/>
  <c r="D43" i="8"/>
  <c r="AD47" i="7"/>
  <c r="AD32" i="4"/>
  <c r="AE32" i="4"/>
  <c r="AG32" i="4"/>
  <c r="AF32" i="4"/>
  <c r="AF9" i="4"/>
  <c r="AD9" i="4"/>
  <c r="AG9" i="4"/>
  <c r="AE9" i="4"/>
  <c r="AD10" i="4"/>
  <c r="AE10" i="4"/>
  <c r="AF10" i="4"/>
  <c r="AG10" i="4"/>
  <c r="AF13" i="4"/>
  <c r="AD13" i="4"/>
  <c r="AG13" i="4"/>
  <c r="AE13" i="4"/>
  <c r="AG23" i="4"/>
  <c r="AE23" i="4"/>
  <c r="AF23" i="4"/>
  <c r="AD23" i="4"/>
  <c r="AD8" i="4"/>
  <c r="AF8" i="4"/>
  <c r="AE8" i="4"/>
  <c r="AG8" i="4"/>
  <c r="AF11" i="4"/>
  <c r="AD11" i="4"/>
  <c r="AG11" i="4"/>
  <c r="AE11" i="4"/>
  <c r="AD24" i="4"/>
  <c r="AE24" i="4"/>
  <c r="AF24" i="4"/>
  <c r="AG24" i="4"/>
  <c r="AG29" i="4"/>
  <c r="AE29" i="4"/>
  <c r="AF29" i="4"/>
  <c r="AD29" i="4"/>
  <c r="AG19" i="4"/>
  <c r="AD19" i="4"/>
  <c r="AF19" i="4"/>
  <c r="AE19" i="4"/>
  <c r="AD16" i="4"/>
  <c r="AF16" i="4"/>
  <c r="AE16" i="4"/>
  <c r="AG16" i="4"/>
  <c r="AG27" i="4"/>
  <c r="AE27" i="4"/>
  <c r="AF27" i="4"/>
  <c r="AD27" i="4"/>
  <c r="AD12" i="4"/>
  <c r="AF12" i="4"/>
  <c r="AE12" i="4"/>
  <c r="AG12" i="4"/>
  <c r="AD30" i="4"/>
  <c r="AE30" i="4"/>
  <c r="AF30" i="4"/>
  <c r="AG30" i="4"/>
  <c r="AF17" i="4"/>
  <c r="AD17" i="4"/>
  <c r="AG17" i="4"/>
  <c r="AE17" i="4"/>
  <c r="AF15" i="4"/>
  <c r="AD15" i="4"/>
  <c r="AG15" i="4"/>
  <c r="AE15" i="4"/>
  <c r="AD6" i="4"/>
  <c r="AE6" i="4"/>
  <c r="AF6" i="4"/>
  <c r="AG6" i="4"/>
  <c r="AG31" i="4"/>
  <c r="AF31" i="4"/>
  <c r="AD31" i="4"/>
  <c r="AE31" i="4"/>
  <c r="AG21" i="4"/>
  <c r="AE21" i="4"/>
  <c r="AF21" i="4"/>
  <c r="AD21" i="4"/>
  <c r="AD28" i="4"/>
  <c r="AG28" i="4"/>
  <c r="AF28" i="4"/>
  <c r="AG33" i="4"/>
  <c r="AE33" i="4"/>
  <c r="AF33" i="4"/>
  <c r="AD20" i="4"/>
  <c r="AE20" i="4"/>
  <c r="AF20" i="4"/>
  <c r="AG20" i="4"/>
  <c r="AD26" i="4"/>
  <c r="AE26" i="4"/>
  <c r="AF26" i="4"/>
  <c r="AG26" i="4"/>
  <c r="AF7" i="4"/>
  <c r="AD7" i="4"/>
  <c r="AG7" i="4"/>
  <c r="AE7" i="4"/>
  <c r="AE18" i="4"/>
  <c r="AF18" i="4"/>
  <c r="AG18" i="4"/>
  <c r="AG25" i="4"/>
  <c r="AD25" i="4"/>
  <c r="AE25" i="4"/>
  <c r="AF25" i="4"/>
  <c r="AD14" i="4"/>
  <c r="AE14" i="4"/>
  <c r="AF14" i="4"/>
  <c r="AG14" i="4"/>
  <c r="AD22" i="4"/>
  <c r="AE22" i="4"/>
  <c r="AG22" i="4"/>
  <c r="AF22" i="4"/>
  <c r="F46" i="4"/>
  <c r="AH17" i="4" l="1"/>
  <c r="D44" i="8"/>
  <c r="I48" i="8"/>
  <c r="I49" i="8" s="1"/>
  <c r="AH8" i="4"/>
  <c r="AH13" i="4"/>
  <c r="I48" i="7"/>
  <c r="AH32" i="4"/>
  <c r="AH27" i="4"/>
  <c r="AH19" i="4"/>
  <c r="AH24" i="4"/>
  <c r="AH23" i="4"/>
  <c r="AH9" i="4"/>
  <c r="AH10" i="4"/>
  <c r="AH22" i="4"/>
  <c r="AH20" i="4"/>
  <c r="AH14" i="4"/>
  <c r="AH18" i="4"/>
  <c r="AH26" i="4"/>
  <c r="AH6" i="4"/>
  <c r="AH12" i="4"/>
  <c r="AH16" i="4"/>
  <c r="AH11" i="4"/>
  <c r="AH31" i="4"/>
  <c r="AH25" i="4"/>
  <c r="AH7" i="4"/>
  <c r="AH15" i="4"/>
  <c r="AH28" i="4"/>
  <c r="AH30" i="4"/>
  <c r="AH33" i="4"/>
  <c r="AH21" i="4"/>
  <c r="AH29" i="4"/>
  <c r="AF72" i="4"/>
  <c r="AG72" i="4"/>
  <c r="AD72" i="4"/>
  <c r="AE72" i="4"/>
  <c r="AD70" i="4"/>
  <c r="AE70" i="4"/>
  <c r="AF70" i="4"/>
  <c r="AG70" i="4"/>
  <c r="AF64" i="4"/>
  <c r="AG64" i="4"/>
  <c r="AE64" i="4"/>
  <c r="AD64" i="4"/>
  <c r="AE49" i="4"/>
  <c r="AF49" i="4"/>
  <c r="AD49" i="4"/>
  <c r="AG49" i="4"/>
  <c r="AD58" i="4"/>
  <c r="AF58" i="4"/>
  <c r="AG58" i="4"/>
  <c r="AE58" i="4"/>
  <c r="AD46" i="4"/>
  <c r="AE46" i="4"/>
  <c r="AF46" i="4"/>
  <c r="AG46" i="4"/>
  <c r="AD62" i="4"/>
  <c r="AE62" i="4"/>
  <c r="AF62" i="4"/>
  <c r="AG62" i="4"/>
  <c r="AD68" i="4"/>
  <c r="AE68" i="4"/>
  <c r="AF68" i="4"/>
  <c r="AG68" i="4"/>
  <c r="AE67" i="4"/>
  <c r="AF67" i="4"/>
  <c r="AG67" i="4"/>
  <c r="AD67" i="4"/>
  <c r="AG69" i="4"/>
  <c r="AD69" i="4"/>
  <c r="AE69" i="4"/>
  <c r="AF69" i="4"/>
  <c r="AF48" i="4"/>
  <c r="AG48" i="4"/>
  <c r="AD48" i="4"/>
  <c r="AE48" i="4"/>
  <c r="AG61" i="4"/>
  <c r="AD61" i="4"/>
  <c r="AE61" i="4"/>
  <c r="AF61" i="4"/>
  <c r="AD66" i="4"/>
  <c r="AG66" i="4"/>
  <c r="AE66" i="4"/>
  <c r="AF66" i="4"/>
  <c r="AE65" i="4"/>
  <c r="AG65" i="4"/>
  <c r="AF65" i="4"/>
  <c r="AD65" i="4"/>
  <c r="AG71" i="4"/>
  <c r="AD71" i="4"/>
  <c r="AE71" i="4"/>
  <c r="AF71" i="4"/>
  <c r="AD63" i="4"/>
  <c r="AE63" i="4"/>
  <c r="AF63" i="4"/>
  <c r="AG63" i="4"/>
  <c r="AF60" i="4"/>
  <c r="AE60" i="4"/>
  <c r="AG60" i="4"/>
  <c r="AD60" i="4"/>
  <c r="AE57" i="4"/>
  <c r="AF57" i="4"/>
  <c r="AD57" i="4"/>
  <c r="AG57" i="4"/>
  <c r="AG50" i="4"/>
  <c r="AD50" i="4"/>
  <c r="AE50" i="4"/>
  <c r="AF50" i="4"/>
  <c r="AE5" i="4"/>
  <c r="AF5" i="4"/>
  <c r="AG5" i="4"/>
  <c r="AD5" i="4"/>
  <c r="AD34" i="4" s="1"/>
  <c r="AE73" i="4"/>
  <c r="AF73" i="4"/>
  <c r="AD73" i="4"/>
  <c r="AG73" i="4"/>
  <c r="AD52" i="4"/>
  <c r="AE52" i="4"/>
  <c r="AF52" i="4"/>
  <c r="AG52" i="4"/>
  <c r="AE59" i="4"/>
  <c r="AF59" i="4"/>
  <c r="AG59" i="4"/>
  <c r="AD59" i="4"/>
  <c r="AE51" i="4"/>
  <c r="AF51" i="4"/>
  <c r="AG51" i="4"/>
  <c r="AD51" i="4"/>
  <c r="AD54" i="4"/>
  <c r="AE54" i="4"/>
  <c r="AF54" i="4"/>
  <c r="AG54" i="4"/>
  <c r="AF56" i="4"/>
  <c r="AG56" i="4"/>
  <c r="AD56" i="4"/>
  <c r="AE56" i="4"/>
  <c r="AD47" i="4"/>
  <c r="AE47" i="4"/>
  <c r="AF47" i="4"/>
  <c r="AG47" i="4"/>
  <c r="AD55" i="4"/>
  <c r="AE55" i="4"/>
  <c r="AF55" i="4"/>
  <c r="AG55" i="4"/>
  <c r="AG53" i="4"/>
  <c r="AE53" i="4"/>
  <c r="AF53" i="4"/>
  <c r="AD53" i="4"/>
  <c r="AH59" i="4" l="1"/>
  <c r="AH60" i="4"/>
  <c r="AH67" i="4"/>
  <c r="AH64" i="4"/>
  <c r="AH47" i="4"/>
  <c r="AH50" i="4"/>
  <c r="AH65" i="4"/>
  <c r="AH51" i="4"/>
  <c r="AH56" i="4"/>
  <c r="AH57" i="4"/>
  <c r="AH49" i="4"/>
  <c r="AH61" i="4"/>
  <c r="AH69" i="4"/>
  <c r="AH63" i="4"/>
  <c r="AH68" i="4"/>
  <c r="AH46" i="4"/>
  <c r="AH70" i="4"/>
  <c r="AH53" i="4"/>
  <c r="AH55" i="4"/>
  <c r="AH73" i="4"/>
  <c r="AH48" i="4"/>
  <c r="AH72" i="4"/>
  <c r="AH52" i="4"/>
  <c r="AH71" i="4"/>
  <c r="AH54" i="4"/>
  <c r="AH66" i="4"/>
  <c r="AH62" i="4"/>
  <c r="AH58" i="4"/>
  <c r="AH5" i="4"/>
  <c r="AH34" i="4" s="1"/>
  <c r="AD36" i="4"/>
  <c r="AG34" i="4"/>
  <c r="AG36" i="4"/>
  <c r="AF34" i="4"/>
  <c r="AF36" i="4" s="1"/>
  <c r="J2" i="4"/>
  <c r="AD45" i="4"/>
  <c r="AE45" i="4"/>
  <c r="AE74" i="4" s="1"/>
  <c r="AF45" i="4"/>
  <c r="AF74" i="4" s="1"/>
  <c r="AG45" i="4"/>
  <c r="AG74" i="4" s="1"/>
  <c r="AE34" i="4"/>
  <c r="AE36" i="4"/>
  <c r="I2" i="4"/>
  <c r="AG76" i="4" l="1"/>
  <c r="AF76" i="4"/>
  <c r="AE76" i="4"/>
  <c r="AH45" i="4"/>
  <c r="AH74" i="4" s="1"/>
  <c r="AD74" i="4"/>
  <c r="AD76" i="4" s="1"/>
  <c r="AH36" i="4"/>
  <c r="AH35" i="4"/>
  <c r="S33" i="16"/>
  <c r="S27" i="16"/>
  <c r="S26" i="16"/>
  <c r="S29" i="16"/>
  <c r="S28" i="16"/>
  <c r="S30" i="16"/>
  <c r="S31" i="16"/>
  <c r="S32" i="16"/>
  <c r="AG75" i="4" l="1"/>
  <c r="AH76" i="4"/>
  <c r="AE75" i="4"/>
  <c r="AD35" i="4"/>
  <c r="AE35" i="4"/>
  <c r="AD75" i="4"/>
  <c r="AH75" i="4"/>
  <c r="AF75" i="4"/>
  <c r="AG35" i="4"/>
  <c r="AF35" i="4"/>
  <c r="AD54" i="7"/>
  <c r="AD14" i="7"/>
  <c r="AD16" i="7" l="1"/>
  <c r="AD19" i="7"/>
  <c r="AD60" i="7"/>
  <c r="AD17" i="7"/>
  <c r="AD20" i="7"/>
  <c r="AD21" i="7"/>
  <c r="AD57" i="7"/>
  <c r="AD55" i="7"/>
  <c r="AD59" i="7"/>
  <c r="AD56" i="7"/>
  <c r="AD61" i="7"/>
  <c r="AD58" i="7"/>
  <c r="AD18" i="7" l="1"/>
  <c r="AD15" i="7"/>
  <c r="AA32" i="7"/>
  <c r="AA33" i="7"/>
  <c r="AC32" i="7"/>
  <c r="AA31" i="7"/>
  <c r="AA34" i="7" s="1"/>
  <c r="AB32" i="7"/>
  <c r="AB73" i="7"/>
  <c r="AA36" i="7" l="1"/>
  <c r="AD32" i="7"/>
  <c r="W31" i="7"/>
  <c r="AA71" i="7"/>
  <c r="AC31" i="7"/>
  <c r="AC71" i="7"/>
  <c r="AB33" i="7"/>
  <c r="AC33" i="7"/>
  <c r="AC73" i="7"/>
  <c r="W33" i="7"/>
  <c r="AA73" i="7"/>
  <c r="AB31" i="7"/>
  <c r="AB71" i="7"/>
  <c r="AB74" i="7" s="1"/>
  <c r="AD33" i="7" l="1"/>
  <c r="AB34" i="7"/>
  <c r="AB76" i="7" s="1"/>
  <c r="AC74" i="7"/>
  <c r="AC34" i="7"/>
  <c r="AC36" i="7" s="1"/>
  <c r="AD73" i="7"/>
  <c r="AD31" i="7"/>
  <c r="AD34" i="7" s="1"/>
  <c r="AD36" i="7" s="1"/>
  <c r="AD71" i="7"/>
  <c r="AA74" i="7"/>
  <c r="AA76" i="7" s="1"/>
  <c r="AB36" i="7"/>
  <c r="AD18" i="8"/>
  <c r="AD11" i="8"/>
  <c r="AB32" i="8"/>
  <c r="AD20" i="8"/>
  <c r="AD31" i="8"/>
  <c r="AD57" i="8"/>
  <c r="AD12" i="8"/>
  <c r="AD22" i="8"/>
  <c r="AD55" i="8"/>
  <c r="AD28" i="8"/>
  <c r="AD16" i="8"/>
  <c r="AD58" i="8"/>
  <c r="AD30" i="8"/>
  <c r="AD29" i="8"/>
  <c r="AD19" i="8"/>
  <c r="AD15" i="8"/>
  <c r="AD21" i="8"/>
  <c r="AD8" i="8"/>
  <c r="AD10" i="8"/>
  <c r="AD52" i="8"/>
  <c r="AD53" i="8"/>
  <c r="AD17" i="8"/>
  <c r="AD27" i="8"/>
  <c r="AD14" i="8"/>
  <c r="AD59" i="8"/>
  <c r="AD26" i="8"/>
  <c r="AB70" i="8"/>
  <c r="AB72" i="8" s="1"/>
  <c r="AD54" i="8"/>
  <c r="AD25" i="8"/>
  <c r="AD56" i="8"/>
  <c r="AC32" i="8"/>
  <c r="AC72" i="8" s="1"/>
  <c r="AD23" i="8"/>
  <c r="AD13" i="8"/>
  <c r="AC76" i="7" l="1"/>
  <c r="AD74" i="7"/>
  <c r="AD76" i="7" s="1"/>
  <c r="AD35" i="7"/>
  <c r="AA35" i="7"/>
  <c r="AC35" i="7"/>
  <c r="AB35" i="7"/>
  <c r="AB34" i="8"/>
  <c r="AC34" i="8"/>
  <c r="AD70" i="8"/>
  <c r="AD24" i="8"/>
  <c r="AD6" i="8"/>
  <c r="AD9" i="8"/>
  <c r="AD7" i="8"/>
  <c r="AA70" i="8"/>
  <c r="AA72" i="8" s="1"/>
  <c r="AC71" i="8" l="1"/>
  <c r="AD75" i="7"/>
  <c r="AA75" i="7"/>
  <c r="AB75" i="7"/>
  <c r="AC75" i="7"/>
  <c r="AA71" i="8"/>
  <c r="AD32" i="8"/>
  <c r="AD72" i="8" s="1"/>
  <c r="AB71" i="8"/>
  <c r="AD71" i="8"/>
  <c r="AD33" i="8" l="1"/>
  <c r="AD34" i="8"/>
  <c r="AA33" i="8"/>
  <c r="AC33" i="8"/>
  <c r="AB33" i="8"/>
</calcChain>
</file>

<file path=xl/sharedStrings.xml><?xml version="1.0" encoding="utf-8"?>
<sst xmlns="http://schemas.openxmlformats.org/spreadsheetml/2006/main" count="206" uniqueCount="44">
  <si>
    <t>9aCN</t>
  </si>
  <si>
    <t>9aCS</t>
  </si>
  <si>
    <t>PDF</t>
  </si>
  <si>
    <t>Total</t>
  </si>
  <si>
    <t>TS: A*Log(L)-B</t>
  </si>
  <si>
    <t>Relacion talla/peso: p=al^b</t>
  </si>
  <si>
    <t>Nº (10^6):</t>
  </si>
  <si>
    <t>Biomasa</t>
  </si>
  <si>
    <t>Valor A</t>
  </si>
  <si>
    <t>Valor de a:</t>
  </si>
  <si>
    <t>Id. de B:</t>
  </si>
  <si>
    <t>Id. de b:</t>
  </si>
  <si>
    <t>Integración media:</t>
  </si>
  <si>
    <t>Area:</t>
  </si>
  <si>
    <t>Talla</t>
  </si>
  <si>
    <t>Coef. densité</t>
  </si>
  <si>
    <t>Densidad</t>
  </si>
  <si>
    <t>Aver:</t>
  </si>
  <si>
    <t>s.d.:</t>
  </si>
  <si>
    <t>%</t>
  </si>
  <si>
    <t>Length_class</t>
  </si>
  <si>
    <t>Number (10^6)</t>
  </si>
  <si>
    <t>Biomass (tons)</t>
  </si>
  <si>
    <t>(Distribution amplified to the estimated abundance)</t>
  </si>
  <si>
    <t>L_CLASS</t>
  </si>
  <si>
    <t>AGE GROUP</t>
  </si>
  <si>
    <t>TOTAL</t>
  </si>
  <si>
    <t>Lmed</t>
  </si>
  <si>
    <t>(Distribution amplified to the estimated biomass)</t>
  </si>
  <si>
    <t>ALK</t>
  </si>
  <si>
    <t>Length_class (cm)</t>
  </si>
  <si>
    <t>9aS_alg</t>
  </si>
  <si>
    <t>9aS_cad</t>
  </si>
  <si>
    <t>Wmed</t>
  </si>
  <si>
    <t>L</t>
  </si>
  <si>
    <t>mil</t>
  </si>
  <si>
    <t>ton</t>
  </si>
  <si>
    <t>CL_COMP</t>
  </si>
  <si>
    <t>Grupo de Idade</t>
  </si>
  <si>
    <t>a=</t>
  </si>
  <si>
    <t>b=</t>
  </si>
  <si>
    <t>parámetros 2014</t>
  </si>
  <si>
    <t>a*L^b</t>
  </si>
  <si>
    <t>buscar parámetros correctos, son asumidos por 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</si>
</sst>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#,##0.00&quot; &quot;[$€-456];[Red]&quot;-&quot;#,##0.00&quot; &quot;[$€-456]"/>
    <numFmt numFmtId="166" formatCode="0.0"/>
    <numFmt numFmtId="167" formatCode="0.000000"/>
  </numFmts>
  <fonts count="51">
    <font>
      <sz val="10"/>
      <color theme="1"/>
      <name val="Arial1"/>
      <family val="2"/>
    </font>
    <font>
      <sz val="10"/>
      <color theme="1"/>
      <name val="Arial1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Arial1"/>
      <family val="2"/>
    </font>
    <font>
      <sz val="10"/>
      <color rgb="FFFFFFFF"/>
      <name val="Arial1"/>
      <family val="2"/>
    </font>
    <font>
      <sz val="10"/>
      <color rgb="FFCC0000"/>
      <name val="Arial1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Arial1"/>
      <family val="2"/>
    </font>
    <font>
      <i/>
      <sz val="10"/>
      <color rgb="FF808080"/>
      <name val="Arial1"/>
      <family val="2"/>
    </font>
    <font>
      <sz val="10"/>
      <color rgb="FF006600"/>
      <name val="Arial1"/>
      <family val="2"/>
    </font>
    <font>
      <b/>
      <i/>
      <sz val="16"/>
      <color theme="1"/>
      <name val="Arial1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u/>
      <sz val="10"/>
      <color rgb="FF0000EE"/>
      <name val="Arial1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sz val="10"/>
      <color theme="1"/>
      <name val="Times New Roman"/>
      <family val="1"/>
    </font>
    <font>
      <sz val="10"/>
      <color rgb="FF333333"/>
      <name val="Arial1"/>
      <family val="2"/>
    </font>
    <font>
      <b/>
      <sz val="10"/>
      <color theme="1"/>
      <name val="Arial1"/>
      <family val="2"/>
    </font>
    <font>
      <b/>
      <i/>
      <u/>
      <sz val="10"/>
      <color theme="1"/>
      <name val="Arial1"/>
      <family val="2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sz val="10"/>
      <color theme="0" tint="-0.34998626667073579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1"/>
    </font>
    <font>
      <sz val="9"/>
      <color theme="0" tint="-0.34998626667073579"/>
      <name val="Calibri1"/>
    </font>
    <font>
      <sz val="10"/>
      <color rgb="FFFF0000"/>
      <name val="Arial1"/>
      <family val="2"/>
    </font>
    <font>
      <b/>
      <sz val="11"/>
      <name val="Calibri"/>
      <family val="2"/>
      <scheme val="minor"/>
    </font>
    <font>
      <sz val="10"/>
      <color rgb="FFFFC000"/>
      <name val="Arial1"/>
      <family val="2"/>
    </font>
    <font>
      <sz val="10"/>
      <color rgb="FFFF0000"/>
      <name val="Times New Roman"/>
      <family val="1"/>
    </font>
    <font>
      <sz val="10"/>
      <color theme="0" tint="-0.249977111117893"/>
      <name val="Times New Roman"/>
      <family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5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4" fillId="0" borderId="0"/>
    <xf numFmtId="0" fontId="5" fillId="16" borderId="0"/>
    <xf numFmtId="0" fontId="5" fillId="17" borderId="0"/>
    <xf numFmtId="0" fontId="1" fillId="18" borderId="0"/>
    <xf numFmtId="0" fontId="6" fillId="19" borderId="0"/>
    <xf numFmtId="0" fontId="7" fillId="4" borderId="0"/>
    <xf numFmtId="0" fontId="8" fillId="20" borderId="1"/>
    <xf numFmtId="0" fontId="9" fillId="21" borderId="2"/>
    <xf numFmtId="0" fontId="10" fillId="0" borderId="3"/>
    <xf numFmtId="0" fontId="11" fillId="0" borderId="0"/>
    <xf numFmtId="0" fontId="3" fillId="22" borderId="0"/>
    <xf numFmtId="0" fontId="3" fillId="23" borderId="0"/>
    <xf numFmtId="0" fontId="3" fillId="24" borderId="0"/>
    <xf numFmtId="0" fontId="3" fillId="13" borderId="0"/>
    <xf numFmtId="0" fontId="3" fillId="14" borderId="0"/>
    <xf numFmtId="0" fontId="3" fillId="25" borderId="0"/>
    <xf numFmtId="0" fontId="12" fillId="7" borderId="1"/>
    <xf numFmtId="0" fontId="13" fillId="26" borderId="0"/>
    <xf numFmtId="0" fontId="14" fillId="0" borderId="0"/>
    <xf numFmtId="0" fontId="15" fillId="4" borderId="0"/>
    <xf numFmtId="0" fontId="16" fillId="0" borderId="0">
      <alignment horizontal="center"/>
    </xf>
    <xf numFmtId="0" fontId="17" fillId="0" borderId="4"/>
    <xf numFmtId="0" fontId="18" fillId="0" borderId="5"/>
    <xf numFmtId="0" fontId="19" fillId="0" borderId="0"/>
    <xf numFmtId="0" fontId="20" fillId="3" borderId="0"/>
    <xf numFmtId="0" fontId="21" fillId="27" borderId="0"/>
    <xf numFmtId="0" fontId="22" fillId="0" borderId="0"/>
    <xf numFmtId="0" fontId="1" fillId="28" borderId="6"/>
    <xf numFmtId="0" fontId="23" fillId="28" borderId="1"/>
    <xf numFmtId="0" fontId="1" fillId="0" borderId="0">
      <alignment horizontal="left"/>
    </xf>
    <xf numFmtId="0" fontId="1" fillId="0" borderId="0"/>
    <xf numFmtId="0" fontId="1" fillId="0" borderId="0"/>
    <xf numFmtId="0" fontId="24" fillId="0" borderId="0"/>
    <xf numFmtId="0" fontId="24" fillId="0" borderId="0">
      <alignment horizontal="left"/>
    </xf>
    <xf numFmtId="0" fontId="1" fillId="0" borderId="0"/>
    <xf numFmtId="0" fontId="25" fillId="0" borderId="0"/>
    <xf numFmtId="165" fontId="25" fillId="0" borderId="0"/>
    <xf numFmtId="0" fontId="26" fillId="20" borderId="7"/>
    <xf numFmtId="0" fontId="1" fillId="0" borderId="0"/>
    <xf numFmtId="0" fontId="1" fillId="0" borderId="0"/>
    <xf numFmtId="0" fontId="27" fillId="0" borderId="0"/>
    <xf numFmtId="0" fontId="28" fillId="0" borderId="0"/>
    <xf numFmtId="0" fontId="11" fillId="0" borderId="8"/>
    <xf numFmtId="0" fontId="29" fillId="0" borderId="0"/>
    <xf numFmtId="0" fontId="30" fillId="0" borderId="9"/>
    <xf numFmtId="0" fontId="6" fillId="0" borderId="0"/>
  </cellStyleXfs>
  <cellXfs count="148">
    <xf numFmtId="0" fontId="0" fillId="0" borderId="0" xfId="0"/>
    <xf numFmtId="0" fontId="22" fillId="0" borderId="0" xfId="0" applyFont="1"/>
    <xf numFmtId="2" fontId="22" fillId="0" borderId="0" xfId="0" applyNumberFormat="1" applyFont="1"/>
    <xf numFmtId="1" fontId="22" fillId="0" borderId="0" xfId="0" applyNumberFormat="1" applyFont="1"/>
    <xf numFmtId="164" fontId="22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/>
    </xf>
    <xf numFmtId="2" fontId="32" fillId="0" borderId="0" xfId="0" applyNumberFormat="1" applyFont="1"/>
    <xf numFmtId="1" fontId="32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2" xfId="0" applyFont="1" applyBorder="1"/>
    <xf numFmtId="0" fontId="34" fillId="0" borderId="13" xfId="0" applyFont="1" applyBorder="1"/>
    <xf numFmtId="0" fontId="34" fillId="0" borderId="15" xfId="0" applyFont="1" applyBorder="1"/>
    <xf numFmtId="0" fontId="34" fillId="29" borderId="12" xfId="0" applyFont="1" applyFill="1" applyBorder="1"/>
    <xf numFmtId="0" fontId="34" fillId="29" borderId="13" xfId="0" applyFont="1" applyFill="1" applyBorder="1"/>
    <xf numFmtId="0" fontId="34" fillId="29" borderId="15" xfId="0" applyFont="1" applyFill="1" applyBorder="1"/>
    <xf numFmtId="166" fontId="34" fillId="0" borderId="16" xfId="0" applyNumberFormat="1" applyFont="1" applyBorder="1"/>
    <xf numFmtId="0" fontId="34" fillId="0" borderId="16" xfId="0" applyFont="1" applyBorder="1"/>
    <xf numFmtId="166" fontId="34" fillId="0" borderId="17" xfId="0" applyNumberFormat="1" applyFont="1" applyBorder="1"/>
    <xf numFmtId="0" fontId="0" fillId="0" borderId="17" xfId="0" applyBorder="1"/>
    <xf numFmtId="0" fontId="34" fillId="0" borderId="11" xfId="0" applyFont="1" applyBorder="1" applyAlignment="1">
      <alignment horizontal="center"/>
    </xf>
    <xf numFmtId="0" fontId="34" fillId="0" borderId="0" xfId="0" applyFont="1" applyAlignment="1">
      <alignment horizontal="center"/>
    </xf>
    <xf numFmtId="166" fontId="34" fillId="29" borderId="11" xfId="0" applyNumberFormat="1" applyFont="1" applyFill="1" applyBorder="1"/>
    <xf numFmtId="0" fontId="0" fillId="29" borderId="0" xfId="0" applyFill="1"/>
    <xf numFmtId="0" fontId="34" fillId="29" borderId="11" xfId="0" applyFont="1" applyFill="1" applyBorder="1" applyAlignment="1">
      <alignment horizontal="center"/>
    </xf>
    <xf numFmtId="0" fontId="0" fillId="0" borderId="16" xfId="0" applyBorder="1"/>
    <xf numFmtId="166" fontId="34" fillId="29" borderId="16" xfId="0" applyNumberFormat="1" applyFont="1" applyFill="1" applyBorder="1"/>
    <xf numFmtId="0" fontId="0" fillId="29" borderId="16" xfId="0" applyFill="1" applyBorder="1"/>
    <xf numFmtId="0" fontId="34" fillId="0" borderId="18" xfId="0" applyFont="1" applyBorder="1" applyAlignment="1">
      <alignment horizontal="center" vertical="center"/>
    </xf>
    <xf numFmtId="0" fontId="34" fillId="0" borderId="18" xfId="0" applyFont="1" applyBorder="1"/>
    <xf numFmtId="0" fontId="34" fillId="29" borderId="18" xfId="0" applyFont="1" applyFill="1" applyBorder="1" applyAlignment="1">
      <alignment horizontal="center" vertical="center"/>
    </xf>
    <xf numFmtId="0" fontId="34" fillId="29" borderId="18" xfId="0" applyFont="1" applyFill="1" applyBorder="1"/>
    <xf numFmtId="166" fontId="34" fillId="29" borderId="13" xfId="0" applyNumberFormat="1" applyFont="1" applyFill="1" applyBorder="1"/>
    <xf numFmtId="166" fontId="34" fillId="29" borderId="18" xfId="0" applyNumberFormat="1" applyFont="1" applyFill="1" applyBorder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166" fontId="34" fillId="0" borderId="0" xfId="0" applyNumberFormat="1" applyFont="1"/>
    <xf numFmtId="0" fontId="35" fillId="29" borderId="18" xfId="0" applyFont="1" applyFill="1" applyBorder="1"/>
    <xf numFmtId="166" fontId="35" fillId="29" borderId="13" xfId="0" applyNumberFormat="1" applyFont="1" applyFill="1" applyBorder="1"/>
    <xf numFmtId="0" fontId="31" fillId="30" borderId="0" xfId="0" applyFont="1" applyFill="1"/>
    <xf numFmtId="0" fontId="22" fillId="30" borderId="0" xfId="0" applyFont="1" applyFill="1"/>
    <xf numFmtId="1" fontId="22" fillId="30" borderId="0" xfId="0" applyNumberFormat="1" applyFont="1" applyFill="1"/>
    <xf numFmtId="2" fontId="22" fillId="30" borderId="0" xfId="0" applyNumberFormat="1" applyFont="1" applyFill="1"/>
    <xf numFmtId="164" fontId="22" fillId="30" borderId="0" xfId="0" applyNumberFormat="1" applyFont="1" applyFill="1"/>
    <xf numFmtId="0" fontId="36" fillId="0" borderId="0" xfId="0" applyFont="1" applyAlignment="1">
      <alignment horizontal="center"/>
    </xf>
    <xf numFmtId="0" fontId="0" fillId="30" borderId="0" xfId="0" applyFill="1"/>
    <xf numFmtId="0" fontId="37" fillId="0" borderId="0" xfId="45" applyFont="1"/>
    <xf numFmtId="0" fontId="0" fillId="0" borderId="18" xfId="0" applyBorder="1"/>
    <xf numFmtId="0" fontId="34" fillId="0" borderId="22" xfId="0" applyFont="1" applyBorder="1"/>
    <xf numFmtId="0" fontId="34" fillId="29" borderId="22" xfId="0" applyFont="1" applyFill="1" applyBorder="1"/>
    <xf numFmtId="0" fontId="38" fillId="0" borderId="0" xfId="0" applyFont="1"/>
    <xf numFmtId="0" fontId="39" fillId="29" borderId="18" xfId="0" applyFont="1" applyFill="1" applyBorder="1"/>
    <xf numFmtId="166" fontId="39" fillId="29" borderId="13" xfId="0" applyNumberFormat="1" applyFont="1" applyFill="1" applyBorder="1"/>
    <xf numFmtId="0" fontId="40" fillId="31" borderId="16" xfId="0" applyFont="1" applyFill="1" applyBorder="1"/>
    <xf numFmtId="0" fontId="38" fillId="31" borderId="17" xfId="0" applyFont="1" applyFill="1" applyBorder="1"/>
    <xf numFmtId="0" fontId="31" fillId="30" borderId="18" xfId="0" applyFont="1" applyFill="1" applyBorder="1"/>
    <xf numFmtId="1" fontId="22" fillId="30" borderId="18" xfId="0" applyNumberFormat="1" applyFont="1" applyFill="1" applyBorder="1"/>
    <xf numFmtId="2" fontId="22" fillId="30" borderId="18" xfId="0" applyNumberFormat="1" applyFont="1" applyFill="1" applyBorder="1"/>
    <xf numFmtId="0" fontId="38" fillId="31" borderId="0" xfId="0" applyFont="1" applyFill="1"/>
    <xf numFmtId="0" fontId="41" fillId="31" borderId="0" xfId="0" applyFont="1" applyFill="1"/>
    <xf numFmtId="0" fontId="42" fillId="0" borderId="0" xfId="0" applyFont="1"/>
    <xf numFmtId="0" fontId="42" fillId="0" borderId="0" xfId="0" applyFont="1" applyAlignment="1">
      <alignment horizontal="left"/>
    </xf>
    <xf numFmtId="2" fontId="42" fillId="0" borderId="0" xfId="0" applyNumberFormat="1" applyFont="1"/>
    <xf numFmtId="1" fontId="42" fillId="0" borderId="0" xfId="0" applyNumberFormat="1" applyFont="1"/>
    <xf numFmtId="0" fontId="38" fillId="31" borderId="0" xfId="0" applyFont="1" applyFill="1" applyAlignment="1">
      <alignment horizontal="center"/>
    </xf>
    <xf numFmtId="0" fontId="30" fillId="29" borderId="18" xfId="0" applyFont="1" applyFill="1" applyBorder="1"/>
    <xf numFmtId="0" fontId="0" fillId="0" borderId="0" xfId="0" applyAlignment="1">
      <alignment horizontal="right"/>
    </xf>
    <xf numFmtId="0" fontId="44" fillId="0" borderId="0" xfId="0" applyFont="1"/>
    <xf numFmtId="0" fontId="45" fillId="29" borderId="18" xfId="0" applyFont="1" applyFill="1" applyBorder="1" applyAlignment="1">
      <alignment horizontal="center"/>
    </xf>
    <xf numFmtId="0" fontId="0" fillId="0" borderId="27" xfId="0" applyBorder="1"/>
    <xf numFmtId="0" fontId="43" fillId="29" borderId="19" xfId="0" applyFont="1" applyFill="1" applyBorder="1" applyAlignment="1">
      <alignment horizontal="center" vertical="center"/>
    </xf>
    <xf numFmtId="0" fontId="43" fillId="29" borderId="21" xfId="0" applyFont="1" applyFill="1" applyBorder="1" applyAlignment="1">
      <alignment horizontal="center" vertical="center"/>
    </xf>
    <xf numFmtId="0" fontId="0" fillId="29" borderId="0" xfId="0" applyFill="1" applyAlignment="1">
      <alignment horizontal="right"/>
    </xf>
    <xf numFmtId="0" fontId="46" fillId="0" borderId="0" xfId="0" applyFont="1" applyAlignment="1">
      <alignment vertical="center"/>
    </xf>
    <xf numFmtId="0" fontId="47" fillId="0" borderId="18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0" fillId="31" borderId="0" xfId="0" applyFill="1"/>
    <xf numFmtId="0" fontId="45" fillId="0" borderId="18" xfId="0" applyFont="1" applyBorder="1" applyAlignment="1">
      <alignment horizontal="center"/>
    </xf>
    <xf numFmtId="166" fontId="49" fillId="0" borderId="30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0" xfId="0" applyBorder="1"/>
    <xf numFmtId="0" fontId="0" fillId="0" borderId="34" xfId="0" applyBorder="1"/>
    <xf numFmtId="1" fontId="0" fillId="0" borderId="0" xfId="0" applyNumberFormat="1"/>
    <xf numFmtId="0" fontId="47" fillId="0" borderId="11" xfId="0" applyFont="1" applyBorder="1" applyAlignment="1">
      <alignment horizontal="center"/>
    </xf>
    <xf numFmtId="0" fontId="0" fillId="0" borderId="11" xfId="0" applyBorder="1"/>
    <xf numFmtId="0" fontId="48" fillId="0" borderId="11" xfId="0" applyFont="1" applyBorder="1" applyAlignment="1">
      <alignment horizontal="center"/>
    </xf>
    <xf numFmtId="0" fontId="45" fillId="0" borderId="11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5" fillId="0" borderId="3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40" xfId="0" applyFont="1" applyBorder="1" applyAlignment="1">
      <alignment horizontal="center"/>
    </xf>
    <xf numFmtId="0" fontId="45" fillId="0" borderId="39" xfId="0" applyFont="1" applyBorder="1" applyAlignment="1">
      <alignment horizontal="center"/>
    </xf>
    <xf numFmtId="0" fontId="45" fillId="0" borderId="40" xfId="0" applyFont="1" applyBorder="1" applyAlignment="1">
      <alignment horizontal="center"/>
    </xf>
    <xf numFmtId="0" fontId="45" fillId="32" borderId="31" xfId="0" applyFont="1" applyFill="1" applyBorder="1" applyAlignment="1">
      <alignment horizontal="center"/>
    </xf>
    <xf numFmtId="1" fontId="45" fillId="32" borderId="32" xfId="0" applyNumberFormat="1" applyFont="1" applyFill="1" applyBorder="1" applyAlignment="1">
      <alignment horizontal="center"/>
    </xf>
    <xf numFmtId="1" fontId="45" fillId="32" borderId="33" xfId="0" applyNumberFormat="1" applyFont="1" applyFill="1" applyBorder="1" applyAlignment="1">
      <alignment horizontal="center"/>
    </xf>
    <xf numFmtId="1" fontId="45" fillId="32" borderId="0" xfId="0" applyNumberFormat="1" applyFont="1" applyFill="1" applyAlignment="1">
      <alignment horizontal="center"/>
    </xf>
    <xf numFmtId="167" fontId="49" fillId="0" borderId="0" xfId="0" applyNumberFormat="1" applyFont="1" applyAlignment="1">
      <alignment horizontal="center" vertical="center"/>
    </xf>
    <xf numFmtId="0" fontId="43" fillId="32" borderId="31" xfId="0" applyFont="1" applyFill="1" applyBorder="1"/>
    <xf numFmtId="0" fontId="43" fillId="32" borderId="0" xfId="0" applyFont="1" applyFill="1"/>
    <xf numFmtId="1" fontId="43" fillId="32" borderId="0" xfId="0" applyNumberFormat="1" applyFont="1" applyFill="1"/>
    <xf numFmtId="0" fontId="30" fillId="32" borderId="35" xfId="0" applyFont="1" applyFill="1" applyBorder="1"/>
    <xf numFmtId="166" fontId="30" fillId="32" borderId="36" xfId="0" applyNumberFormat="1" applyFont="1" applyFill="1" applyBorder="1" applyAlignment="1">
      <alignment horizontal="center" vertical="center"/>
    </xf>
    <xf numFmtId="0" fontId="43" fillId="32" borderId="35" xfId="0" applyFont="1" applyFill="1" applyBorder="1"/>
    <xf numFmtId="166" fontId="50" fillId="32" borderId="36" xfId="0" applyNumberFormat="1" applyFont="1" applyFill="1" applyBorder="1" applyAlignment="1">
      <alignment horizontal="center" vertical="center"/>
    </xf>
    <xf numFmtId="0" fontId="30" fillId="33" borderId="18" xfId="0" applyFont="1" applyFill="1" applyBorder="1"/>
    <xf numFmtId="1" fontId="30" fillId="33" borderId="18" xfId="0" applyNumberFormat="1" applyFont="1" applyFill="1" applyBorder="1"/>
    <xf numFmtId="0" fontId="0" fillId="33" borderId="0" xfId="0" applyFill="1"/>
    <xf numFmtId="2" fontId="0" fillId="0" borderId="18" xfId="0" applyNumberFormat="1" applyBorder="1"/>
    <xf numFmtId="0" fontId="33" fillId="0" borderId="0" xfId="0" applyFont="1" applyAlignment="1">
      <alignment horizontal="center" vertical="center"/>
    </xf>
    <xf numFmtId="0" fontId="33" fillId="30" borderId="0" xfId="0" applyFont="1" applyFill="1" applyAlignment="1">
      <alignment horizontal="center" vertical="center"/>
    </xf>
    <xf numFmtId="0" fontId="34" fillId="29" borderId="10" xfId="0" applyFont="1" applyFill="1" applyBorder="1" applyAlignment="1">
      <alignment horizontal="center"/>
    </xf>
    <xf numFmtId="0" fontId="34" fillId="0" borderId="11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29" borderId="11" xfId="0" applyFont="1" applyFill="1" applyBorder="1" applyAlignment="1">
      <alignment horizontal="center" vertical="center"/>
    </xf>
    <xf numFmtId="0" fontId="34" fillId="29" borderId="14" xfId="0" applyFont="1" applyFill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4" fillId="0" borderId="21" xfId="0" applyFont="1" applyBorder="1" applyAlignment="1">
      <alignment horizontal="center"/>
    </xf>
    <xf numFmtId="0" fontId="34" fillId="29" borderId="20" xfId="0" applyFont="1" applyFill="1" applyBorder="1" applyAlignment="1">
      <alignment horizontal="center"/>
    </xf>
    <xf numFmtId="0" fontId="34" fillId="29" borderId="19" xfId="0" applyFont="1" applyFill="1" applyBorder="1" applyAlignment="1">
      <alignment horizontal="center"/>
    </xf>
    <xf numFmtId="0" fontId="34" fillId="29" borderId="21" xfId="0" applyFont="1" applyFill="1" applyBorder="1" applyAlignment="1">
      <alignment horizontal="center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29" borderId="12" xfId="0" applyFont="1" applyFill="1" applyBorder="1" applyAlignment="1">
      <alignment horizontal="center"/>
    </xf>
    <xf numFmtId="0" fontId="34" fillId="29" borderId="13" xfId="0" applyFont="1" applyFill="1" applyBorder="1" applyAlignment="1">
      <alignment horizontal="center"/>
    </xf>
    <xf numFmtId="0" fontId="43" fillId="29" borderId="23" xfId="0" applyFont="1" applyFill="1" applyBorder="1" applyAlignment="1">
      <alignment horizontal="center" vertical="center"/>
    </xf>
    <xf numFmtId="0" fontId="43" fillId="29" borderId="28" xfId="0" applyFont="1" applyFill="1" applyBorder="1" applyAlignment="1">
      <alignment horizontal="center" vertical="center"/>
    </xf>
    <xf numFmtId="0" fontId="43" fillId="29" borderId="24" xfId="0" applyFont="1" applyFill="1" applyBorder="1" applyAlignment="1">
      <alignment horizontal="center"/>
    </xf>
    <xf numFmtId="0" fontId="43" fillId="29" borderId="25" xfId="0" applyFont="1" applyFill="1" applyBorder="1" applyAlignment="1">
      <alignment horizontal="center"/>
    </xf>
    <xf numFmtId="0" fontId="43" fillId="29" borderId="26" xfId="0" applyFont="1" applyFill="1" applyBorder="1" applyAlignment="1">
      <alignment horizontal="center" vertical="center"/>
    </xf>
    <xf numFmtId="0" fontId="43" fillId="29" borderId="29" xfId="0" applyFont="1" applyFill="1" applyBorder="1" applyAlignment="1">
      <alignment horizontal="center" vertical="center"/>
    </xf>
    <xf numFmtId="0" fontId="0" fillId="33" borderId="18" xfId="0" applyFill="1" applyBorder="1"/>
    <xf numFmtId="2" fontId="0" fillId="33" borderId="18" xfId="0" applyNumberFormat="1" applyFill="1" applyBorder="1"/>
    <xf numFmtId="1" fontId="0" fillId="0" borderId="18" xfId="0" applyNumberFormat="1" applyBorder="1"/>
  </cellXfs>
  <cellStyles count="65">
    <cellStyle name="20% - Énfasis1" xfId="1" xr:uid="{00000000-0005-0000-0000-000000000000}"/>
    <cellStyle name="20% - Énfasis2" xfId="2" xr:uid="{00000000-0005-0000-0000-000001000000}"/>
    <cellStyle name="20% - Énfasis3" xfId="3" xr:uid="{00000000-0005-0000-0000-000002000000}"/>
    <cellStyle name="20% - Énfasis4" xfId="4" xr:uid="{00000000-0005-0000-0000-000003000000}"/>
    <cellStyle name="20% - Énfasis5" xfId="5" xr:uid="{00000000-0005-0000-0000-000004000000}"/>
    <cellStyle name="20% - Énfasis6" xfId="6" xr:uid="{00000000-0005-0000-0000-000005000000}"/>
    <cellStyle name="40% - Énfasis1" xfId="7" xr:uid="{00000000-0005-0000-0000-000006000000}"/>
    <cellStyle name="40% - Énfasis2" xfId="8" xr:uid="{00000000-0005-0000-0000-000007000000}"/>
    <cellStyle name="40% - Énfasis3" xfId="9" xr:uid="{00000000-0005-0000-0000-000008000000}"/>
    <cellStyle name="40% - Énfasis4" xfId="10" xr:uid="{00000000-0005-0000-0000-000009000000}"/>
    <cellStyle name="40% - Énfasis5" xfId="11" xr:uid="{00000000-0005-0000-0000-00000A000000}"/>
    <cellStyle name="40% - Énfasis6" xfId="12" xr:uid="{00000000-0005-0000-0000-00000B000000}"/>
    <cellStyle name="60% - Énfasis1" xfId="13" xr:uid="{00000000-0005-0000-0000-00000C000000}"/>
    <cellStyle name="60% - Énfasis2" xfId="14" xr:uid="{00000000-0005-0000-0000-00000D000000}"/>
    <cellStyle name="60% - Énfasis3" xfId="15" xr:uid="{00000000-0005-0000-0000-00000E000000}"/>
    <cellStyle name="60% - Énfasis4" xfId="16" xr:uid="{00000000-0005-0000-0000-00000F000000}"/>
    <cellStyle name="60% - Énfasis5" xfId="17" xr:uid="{00000000-0005-0000-0000-000010000000}"/>
    <cellStyle name="60% - Énfasis6" xfId="18" xr:uid="{00000000-0005-0000-0000-000011000000}"/>
    <cellStyle name="Accent" xfId="19" xr:uid="{00000000-0005-0000-0000-000012000000}"/>
    <cellStyle name="Accent 1" xfId="20" xr:uid="{00000000-0005-0000-0000-000013000000}"/>
    <cellStyle name="Accent 2" xfId="21" xr:uid="{00000000-0005-0000-0000-000014000000}"/>
    <cellStyle name="Accent 3" xfId="22" xr:uid="{00000000-0005-0000-0000-000015000000}"/>
    <cellStyle name="Bad" xfId="23" xr:uid="{00000000-0005-0000-0000-000016000000}"/>
    <cellStyle name="Buena" xfId="24" xr:uid="{00000000-0005-0000-0000-000017000000}"/>
    <cellStyle name="Cálculo" xfId="25" builtinId="22" customBuiltin="1"/>
    <cellStyle name="Celda de comprobación" xfId="26" xr:uid="{00000000-0005-0000-0000-000019000000}"/>
    <cellStyle name="Celda vinculada" xfId="27" xr:uid="{00000000-0005-0000-0000-00001A000000}"/>
    <cellStyle name="Encabezado 4" xfId="28" xr:uid="{00000000-0005-0000-0000-00001B000000}"/>
    <cellStyle name="Énfasis1" xfId="29" xr:uid="{00000000-0005-0000-0000-00001C000000}"/>
    <cellStyle name="Énfasis2" xfId="30" xr:uid="{00000000-0005-0000-0000-00001D000000}"/>
    <cellStyle name="Énfasis3" xfId="31" xr:uid="{00000000-0005-0000-0000-00001E000000}"/>
    <cellStyle name="Énfasis4" xfId="32" xr:uid="{00000000-0005-0000-0000-00001F000000}"/>
    <cellStyle name="Énfasis5" xfId="33" xr:uid="{00000000-0005-0000-0000-000020000000}"/>
    <cellStyle name="Énfasis6" xfId="34" xr:uid="{00000000-0005-0000-0000-000021000000}"/>
    <cellStyle name="Entrada" xfId="35" builtinId="20" customBuiltin="1"/>
    <cellStyle name="Error" xfId="36" xr:uid="{00000000-0005-0000-0000-000023000000}"/>
    <cellStyle name="Footnote" xfId="37" xr:uid="{00000000-0005-0000-0000-000024000000}"/>
    <cellStyle name="Good" xfId="38" xr:uid="{00000000-0005-0000-0000-000025000000}"/>
    <cellStyle name="Heading" xfId="39" xr:uid="{00000000-0005-0000-0000-000026000000}"/>
    <cellStyle name="Heading 1" xfId="40" xr:uid="{00000000-0005-0000-0000-000027000000}"/>
    <cellStyle name="Heading 2" xfId="41" xr:uid="{00000000-0005-0000-0000-000028000000}"/>
    <cellStyle name="Hyperlink" xfId="42" xr:uid="{00000000-0005-0000-0000-000029000000}"/>
    <cellStyle name="Incorrecto" xfId="43" xr:uid="{00000000-0005-0000-0000-00002A000000}"/>
    <cellStyle name="Neutral" xfId="44" xr:uid="{00000000-0005-0000-0000-00002B000000}"/>
    <cellStyle name="Normal" xfId="0" builtinId="0" customBuiltin="1"/>
    <cellStyle name="Normal_sardina-eval00" xfId="45" xr:uid="{00000000-0005-0000-0000-00002D000000}"/>
    <cellStyle name="Notas" xfId="46" xr:uid="{00000000-0005-0000-0000-00002E000000}"/>
    <cellStyle name="Note" xfId="47" xr:uid="{00000000-0005-0000-0000-00002F000000}"/>
    <cellStyle name="Pivot Table Category" xfId="48" xr:uid="{00000000-0005-0000-0000-000030000000}"/>
    <cellStyle name="Pivot Table Corner" xfId="49" xr:uid="{00000000-0005-0000-0000-000031000000}"/>
    <cellStyle name="Pivot Table Field" xfId="50" xr:uid="{00000000-0005-0000-0000-000032000000}"/>
    <cellStyle name="Pivot Table Result" xfId="51" xr:uid="{00000000-0005-0000-0000-000033000000}"/>
    <cellStyle name="Pivot Table Title" xfId="52" xr:uid="{00000000-0005-0000-0000-000034000000}"/>
    <cellStyle name="Pivot Table Value" xfId="53" xr:uid="{00000000-0005-0000-0000-000035000000}"/>
    <cellStyle name="Result" xfId="54" xr:uid="{00000000-0005-0000-0000-000036000000}"/>
    <cellStyle name="Result2" xfId="55" xr:uid="{00000000-0005-0000-0000-000037000000}"/>
    <cellStyle name="Salida" xfId="56" xr:uid="{00000000-0005-0000-0000-000038000000}"/>
    <cellStyle name="Status" xfId="57" xr:uid="{00000000-0005-0000-0000-000039000000}"/>
    <cellStyle name="Text" xfId="58" xr:uid="{00000000-0005-0000-0000-00003A000000}"/>
    <cellStyle name="Texto de advertencia" xfId="59" xr:uid="{00000000-0005-0000-0000-00003B000000}"/>
    <cellStyle name="Texto explicativo" xfId="60" builtinId="53" customBuiltin="1"/>
    <cellStyle name="Título 3" xfId="61" xr:uid="{00000000-0005-0000-0000-00003D000000}"/>
    <cellStyle name="Título 4" xfId="62" xr:uid="{00000000-0005-0000-0000-00003E000000}"/>
    <cellStyle name="Total" xfId="63" builtinId="25" customBuiltin="1"/>
    <cellStyle name="Warning" xfId="64" xr:uid="{00000000-0005-0000-0000-00004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9aCN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881093090295266"/>
          <c:y val="0.17235800543132837"/>
          <c:w val="0.67218074125061755"/>
          <c:h val="0.51995838671260453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'9aCN'!$L$10:$L$44</c:f>
              <c:numCache>
                <c:formatCode>General</c:formatCode>
                <c:ptCount val="3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89C-4832-BCE7-D7B6B1DD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5981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'9aCN'!$J$10:$J$44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18.879715577181727</c:v>
                </c:pt>
                <c:pt idx="14">
                  <c:v>408.86759973680137</c:v>
                </c:pt>
                <c:pt idx="15">
                  <c:v>1965.0741258630187</c:v>
                </c:pt>
                <c:pt idx="16">
                  <c:v>4838.0408457907624</c:v>
                </c:pt>
                <c:pt idx="17">
                  <c:v>4748.4288125999628</c:v>
                </c:pt>
                <c:pt idx="18">
                  <c:v>4081.5340667463179</c:v>
                </c:pt>
                <c:pt idx="19">
                  <c:v>5380.407921520492</c:v>
                </c:pt>
                <c:pt idx="20">
                  <c:v>5764.3288241005157</c:v>
                </c:pt>
                <c:pt idx="21">
                  <c:v>6014.8007611076437</c:v>
                </c:pt>
                <c:pt idx="22">
                  <c:v>8603.500506163462</c:v>
                </c:pt>
                <c:pt idx="23">
                  <c:v>10004.242104472753</c:v>
                </c:pt>
                <c:pt idx="24">
                  <c:v>9973.5937729198668</c:v>
                </c:pt>
                <c:pt idx="25">
                  <c:v>5063.5219233856742</c:v>
                </c:pt>
                <c:pt idx="26">
                  <c:v>1865.1592244448289</c:v>
                </c:pt>
                <c:pt idx="27">
                  <c:v>947.40206300656348</c:v>
                </c:pt>
                <c:pt idx="28">
                  <c:v>146.98705149936762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C-4832-BCE7-D7B6B1DD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59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/>
                  <a:t>Length group (0.5 cm)</a:t>
                </a:r>
              </a:p>
            </c:rich>
          </c:tx>
          <c:layout>
            <c:manualLayout>
              <c:xMode val="edge"/>
              <c:yMode val="edge"/>
              <c:x val="0.33776428117133822"/>
              <c:y val="0.788338428284699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Numbers (10^3)</a:t>
                </a:r>
              </a:p>
            </c:rich>
          </c:tx>
          <c:layout>
            <c:manualLayout>
              <c:xMode val="edge"/>
              <c:yMode val="edge"/>
              <c:x val="2.204330260765186E-2"/>
              <c:y val="0.341454685811332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5981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  <c:max val="25000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92990513557818932"/>
              <c:y val="0.3309479697390767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256760993613003"/>
          <c:y val="0.88532406978539446"/>
          <c:w val="0.47100445208854014"/>
          <c:h val="9.4120734908136439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PT"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9aCS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75453653289853"/>
          <c:y val="0.17235800543132837"/>
          <c:w val="0.58398875779067638"/>
          <c:h val="0.50909711030500771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'9aCS'!$E$5:$E$39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189.33196302633712</c:v>
                </c:pt>
                <c:pt idx="14">
                  <c:v>1747.6796587046504</c:v>
                </c:pt>
                <c:pt idx="15">
                  <c:v>3824.6674753226384</c:v>
                </c:pt>
                <c:pt idx="16">
                  <c:v>5438.0347158120157</c:v>
                </c:pt>
                <c:pt idx="17">
                  <c:v>4129.7023046428349</c:v>
                </c:pt>
                <c:pt idx="18">
                  <c:v>2626.3741537755977</c:v>
                </c:pt>
                <c:pt idx="19">
                  <c:v>996.01558327102953</c:v>
                </c:pt>
                <c:pt idx="20">
                  <c:v>890.59728589812198</c:v>
                </c:pt>
                <c:pt idx="21">
                  <c:v>716.85274298655361</c:v>
                </c:pt>
                <c:pt idx="22">
                  <c:v>101.63101915385343</c:v>
                </c:pt>
                <c:pt idx="23">
                  <c:v>116.45813446967556</c:v>
                </c:pt>
                <c:pt idx="24">
                  <c:v>121.46425527391767</c:v>
                </c:pt>
                <c:pt idx="25">
                  <c:v>24.113333439067173</c:v>
                </c:pt>
                <c:pt idx="26">
                  <c:v>12.888429027070693</c:v>
                </c:pt>
                <c:pt idx="27">
                  <c:v>4.6018998697381504</c:v>
                </c:pt>
                <c:pt idx="28">
                  <c:v>1.1504749674345376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A15-4D8F-87BE-A74D3E11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5993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'9aCS'!$C$5:$C$39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2.2624487357559819</c:v>
                </c:pt>
                <c:pt idx="14">
                  <c:v>23.220769976264265</c:v>
                </c:pt>
                <c:pt idx="15">
                  <c:v>56.263344160648167</c:v>
                </c:pt>
                <c:pt idx="16">
                  <c:v>88.224625820466755</c:v>
                </c:pt>
                <c:pt idx="17">
                  <c:v>73.621989967133146</c:v>
                </c:pt>
                <c:pt idx="18">
                  <c:v>51.277148321424704</c:v>
                </c:pt>
                <c:pt idx="19">
                  <c:v>21.230013196686443</c:v>
                </c:pt>
                <c:pt idx="20">
                  <c:v>20.663865130152335</c:v>
                </c:pt>
                <c:pt idx="21">
                  <c:v>18.055828081413562</c:v>
                </c:pt>
                <c:pt idx="22">
                  <c:v>2.771765817474797</c:v>
                </c:pt>
                <c:pt idx="23">
                  <c:v>3.4308044364547601</c:v>
                </c:pt>
                <c:pt idx="24">
                  <c:v>3.8564276577220427</c:v>
                </c:pt>
                <c:pt idx="25">
                  <c:v>0.82333297650315429</c:v>
                </c:pt>
                <c:pt idx="26">
                  <c:v>0.47230487098066465</c:v>
                </c:pt>
                <c:pt idx="27">
                  <c:v>0.18064828437337588</c:v>
                </c:pt>
                <c:pt idx="28">
                  <c:v>4.8290514254851591E-2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5-4D8F-87BE-A74D3E11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5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4945052966148E-2"/>
              <c:y val="0.311840580044796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10055993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82504360196827875"/>
              <c:y val="0.32381062337882255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758975882731639"/>
          <c:y val="0.88565943919766621"/>
          <c:w val="0.47342814566704039"/>
          <c:h val="9.3844721022775413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lang="pt-PT" sz="14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Total survey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828994220927901"/>
          <c:y val="0.14835407635630468"/>
          <c:w val="0.6862633135846461"/>
          <c:h val="0.561864460000775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EC8-4FA9-A05B-EFD127A6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9792"/>
        <c:axId val="1"/>
      </c:barChart>
      <c:lineChart>
        <c:grouping val="standard"/>
        <c:varyColors val="0"/>
        <c:ser>
          <c:idx val="1"/>
          <c:order val="1"/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C8-4FA9-A05B-EFD127A64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Numbers (10^3)</a:t>
                </a:r>
              </a:p>
            </c:rich>
          </c:tx>
          <c:layout>
            <c:manualLayout>
              <c:xMode val="edge"/>
              <c:yMode val="edge"/>
              <c:x val="3.0373869932925051E-2"/>
              <c:y val="0.316681609489079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6097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  <c:max val="25000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Biomass(mt)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402642618390651"/>
          <c:y val="0.88203346263133042"/>
          <c:w val="0.39488435740404237"/>
          <c:h val="9.43980674981999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lang="pt-PT" sz="1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9aS Cad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07196347590145"/>
          <c:y val="0.17235800543132837"/>
          <c:w val="0.60567121375120225"/>
          <c:h val="0.52967951389650547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'9aCS'!$E$5:$E$39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189.33196302633712</c:v>
                </c:pt>
                <c:pt idx="14">
                  <c:v>1747.6796587046504</c:v>
                </c:pt>
                <c:pt idx="15">
                  <c:v>3824.6674753226384</c:v>
                </c:pt>
                <c:pt idx="16">
                  <c:v>5438.0347158120157</c:v>
                </c:pt>
                <c:pt idx="17">
                  <c:v>4129.7023046428349</c:v>
                </c:pt>
                <c:pt idx="18">
                  <c:v>2626.3741537755977</c:v>
                </c:pt>
                <c:pt idx="19">
                  <c:v>996.01558327102953</c:v>
                </c:pt>
                <c:pt idx="20">
                  <c:v>890.59728589812198</c:v>
                </c:pt>
                <c:pt idx="21">
                  <c:v>716.85274298655361</c:v>
                </c:pt>
                <c:pt idx="22">
                  <c:v>101.63101915385343</c:v>
                </c:pt>
                <c:pt idx="23">
                  <c:v>116.45813446967556</c:v>
                </c:pt>
                <c:pt idx="24">
                  <c:v>121.46425527391767</c:v>
                </c:pt>
                <c:pt idx="25">
                  <c:v>24.113333439067173</c:v>
                </c:pt>
                <c:pt idx="26">
                  <c:v>12.888429027070693</c:v>
                </c:pt>
                <c:pt idx="27">
                  <c:v>4.6018998697381504</c:v>
                </c:pt>
                <c:pt idx="28">
                  <c:v>1.1504749674345376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1AB-47E6-8ABF-784188F2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09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'9aCS'!$C$5:$C$39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2.2624487357559819</c:v>
                </c:pt>
                <c:pt idx="14">
                  <c:v>23.220769976264265</c:v>
                </c:pt>
                <c:pt idx="15">
                  <c:v>56.263344160648167</c:v>
                </c:pt>
                <c:pt idx="16">
                  <c:v>88.224625820466755</c:v>
                </c:pt>
                <c:pt idx="17">
                  <c:v>73.621989967133146</c:v>
                </c:pt>
                <c:pt idx="18">
                  <c:v>51.277148321424704</c:v>
                </c:pt>
                <c:pt idx="19">
                  <c:v>21.230013196686443</c:v>
                </c:pt>
                <c:pt idx="20">
                  <c:v>20.663865130152335</c:v>
                </c:pt>
                <c:pt idx="21">
                  <c:v>18.055828081413562</c:v>
                </c:pt>
                <c:pt idx="22">
                  <c:v>2.771765817474797</c:v>
                </c:pt>
                <c:pt idx="23">
                  <c:v>3.4308044364547601</c:v>
                </c:pt>
                <c:pt idx="24">
                  <c:v>3.8564276577220427</c:v>
                </c:pt>
                <c:pt idx="25">
                  <c:v>0.82333297650315429</c:v>
                </c:pt>
                <c:pt idx="26">
                  <c:v>0.47230487098066465</c:v>
                </c:pt>
                <c:pt idx="27">
                  <c:v>0.18064828437337588</c:v>
                </c:pt>
                <c:pt idx="28">
                  <c:v>4.8290514254851591E-2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B-47E6-8ABF-784188F2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4962440039821E-2"/>
              <c:y val="0.3118406274797045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6009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82504371436329083"/>
              <c:y val="0.32381065738875664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06981627296588"/>
          <c:y val="0.88665659525117491"/>
          <c:w val="0.48449796361661684"/>
          <c:h val="9.3026307758041882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lang="pt-PT" sz="1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9aS alg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120065985272355"/>
          <c:y val="0.17235800543132837"/>
          <c:w val="0.60715481029234197"/>
          <c:h val="0.5428402053222694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'9a-Algarve'!$I$9:$I$43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69.404150038859527</c:v>
                </c:pt>
                <c:pt idx="20">
                  <c:v>312.31867517486791</c:v>
                </c:pt>
                <c:pt idx="21">
                  <c:v>2394.4431763406542</c:v>
                </c:pt>
                <c:pt idx="22">
                  <c:v>4094.8448522927124</c:v>
                </c:pt>
                <c:pt idx="23">
                  <c:v>5240.0133279338943</c:v>
                </c:pt>
                <c:pt idx="24">
                  <c:v>1075.7643256023225</c:v>
                </c:pt>
                <c:pt idx="25">
                  <c:v>347.02075019429765</c:v>
                </c:pt>
                <c:pt idx="26">
                  <c:v>173.51037509714882</c:v>
                </c:pt>
                <c:pt idx="27">
                  <c:v>0</c:v>
                </c:pt>
                <c:pt idx="28">
                  <c:v>173.51037509714882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2E-444A-9CDD-D8B2ADD0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01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'9a-Algarve'!$J$9:$J$43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1.3767159606545982</c:v>
                </c:pt>
                <c:pt idx="20">
                  <c:v>6.7802909287397508</c:v>
                </c:pt>
                <c:pt idx="21">
                  <c:v>56.725967821570578</c:v>
                </c:pt>
                <c:pt idx="22">
                  <c:v>105.57386470271271</c:v>
                </c:pt>
                <c:pt idx="23">
                  <c:v>146.64909741672065</c:v>
                </c:pt>
                <c:pt idx="24">
                  <c:v>32.601992158169551</c:v>
                </c:pt>
                <c:pt idx="25">
                  <c:v>11.362510724651132</c:v>
                </c:pt>
                <c:pt idx="26">
                  <c:v>6.1249555719466144</c:v>
                </c:pt>
                <c:pt idx="27">
                  <c:v>0</c:v>
                </c:pt>
                <c:pt idx="28">
                  <c:v>7.0764974342187861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E-444A-9CDD-D8B2ADD0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 sz="16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4927843917122E-2"/>
              <c:y val="0.3118406669754516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10056001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94553689321258061"/>
              <c:y val="0.28737378415933301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963299382798994"/>
          <c:y val="0.89708939323761006"/>
          <c:w val="0.42322144885472929"/>
          <c:h val="8.2355720240852248E-2"/>
        </c:manualLayout>
      </c:layout>
      <c:overlay val="0"/>
      <c:spPr>
        <a:solidFill>
          <a:srgbClr val="FFFFFF"/>
        </a:solidFill>
        <a:ln>
          <a:noFill/>
        </a:ln>
      </c:sp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9aCS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72632084635939"/>
          <c:y val="0.17235800543132837"/>
          <c:w val="0.63401685376018069"/>
          <c:h val="0.68403243274888037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'9aCS'!$E$5:$E$39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189.33196302633712</c:v>
                </c:pt>
                <c:pt idx="14">
                  <c:v>1747.6796587046504</c:v>
                </c:pt>
                <c:pt idx="15">
                  <c:v>3824.6674753226384</c:v>
                </c:pt>
                <c:pt idx="16">
                  <c:v>5438.0347158120157</c:v>
                </c:pt>
                <c:pt idx="17">
                  <c:v>4129.7023046428349</c:v>
                </c:pt>
                <c:pt idx="18">
                  <c:v>2626.3741537755977</c:v>
                </c:pt>
                <c:pt idx="19">
                  <c:v>996.01558327102953</c:v>
                </c:pt>
                <c:pt idx="20">
                  <c:v>890.59728589812198</c:v>
                </c:pt>
                <c:pt idx="21">
                  <c:v>716.85274298655361</c:v>
                </c:pt>
                <c:pt idx="22">
                  <c:v>101.63101915385343</c:v>
                </c:pt>
                <c:pt idx="23">
                  <c:v>116.45813446967556</c:v>
                </c:pt>
                <c:pt idx="24">
                  <c:v>121.46425527391767</c:v>
                </c:pt>
                <c:pt idx="25">
                  <c:v>24.113333439067173</c:v>
                </c:pt>
                <c:pt idx="26">
                  <c:v>12.888429027070693</c:v>
                </c:pt>
                <c:pt idx="27">
                  <c:v>4.6018998697381504</c:v>
                </c:pt>
                <c:pt idx="28">
                  <c:v>1.1504749674345376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78-4214-B4D2-09BA6050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5973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'9aCS'!$C$5:$C$39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2.2624487357559819</c:v>
                </c:pt>
                <c:pt idx="14">
                  <c:v>23.220769976264265</c:v>
                </c:pt>
                <c:pt idx="15">
                  <c:v>56.263344160648167</c:v>
                </c:pt>
                <c:pt idx="16">
                  <c:v>88.224625820466755</c:v>
                </c:pt>
                <c:pt idx="17">
                  <c:v>73.621989967133146</c:v>
                </c:pt>
                <c:pt idx="18">
                  <c:v>51.277148321424704</c:v>
                </c:pt>
                <c:pt idx="19">
                  <c:v>21.230013196686443</c:v>
                </c:pt>
                <c:pt idx="20">
                  <c:v>20.663865130152335</c:v>
                </c:pt>
                <c:pt idx="21">
                  <c:v>18.055828081413562</c:v>
                </c:pt>
                <c:pt idx="22">
                  <c:v>2.771765817474797</c:v>
                </c:pt>
                <c:pt idx="23">
                  <c:v>3.4308044364547601</c:v>
                </c:pt>
                <c:pt idx="24">
                  <c:v>3.8564276577220427</c:v>
                </c:pt>
                <c:pt idx="25">
                  <c:v>0.82333297650315429</c:v>
                </c:pt>
                <c:pt idx="26">
                  <c:v>0.47230487098066465</c:v>
                </c:pt>
                <c:pt idx="27">
                  <c:v>0.18064828437337588</c:v>
                </c:pt>
                <c:pt idx="28">
                  <c:v>4.8290514254851591E-2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8-4214-B4D2-09BA6050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59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488622452139E-2"/>
              <c:y val="0.3118409103971492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5973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82504365720165196"/>
              <c:y val="0.3238105638255072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001162286656091"/>
          <c:y val="0.89364791079947126"/>
          <c:w val="0.37819397802134985"/>
          <c:h val="8.5109489051094833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9aS alg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824171804147537"/>
          <c:y val="0.17235800543132837"/>
          <c:w val="0.62011378268022599"/>
          <c:h val="0.5428402053222694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'9a-Algarve'!$I$9:$I$43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69.404150038859527</c:v>
                </c:pt>
                <c:pt idx="20">
                  <c:v>312.31867517486791</c:v>
                </c:pt>
                <c:pt idx="21">
                  <c:v>2394.4431763406542</c:v>
                </c:pt>
                <c:pt idx="22">
                  <c:v>4094.8448522927124</c:v>
                </c:pt>
                <c:pt idx="23">
                  <c:v>5240.0133279338943</c:v>
                </c:pt>
                <c:pt idx="24">
                  <c:v>1075.7643256023225</c:v>
                </c:pt>
                <c:pt idx="25">
                  <c:v>347.02075019429765</c:v>
                </c:pt>
                <c:pt idx="26">
                  <c:v>173.51037509714882</c:v>
                </c:pt>
                <c:pt idx="27">
                  <c:v>0</c:v>
                </c:pt>
                <c:pt idx="28">
                  <c:v>173.51037509714882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10-49C7-AD58-3F910574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17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'9a-Algarve'!$J$9:$J$43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1.3767159606545982</c:v>
                </c:pt>
                <c:pt idx="20">
                  <c:v>6.7802909287397508</c:v>
                </c:pt>
                <c:pt idx="21">
                  <c:v>56.725967821570578</c:v>
                </c:pt>
                <c:pt idx="22">
                  <c:v>105.57386470271271</c:v>
                </c:pt>
                <c:pt idx="23">
                  <c:v>146.64909741672065</c:v>
                </c:pt>
                <c:pt idx="24">
                  <c:v>32.601992158169551</c:v>
                </c:pt>
                <c:pt idx="25">
                  <c:v>11.362510724651132</c:v>
                </c:pt>
                <c:pt idx="26">
                  <c:v>6.1249555719466144</c:v>
                </c:pt>
                <c:pt idx="27">
                  <c:v>0</c:v>
                </c:pt>
                <c:pt idx="28">
                  <c:v>7.0764974342187861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49C7-AD58-3F910574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5011958994959E-2"/>
              <c:y val="0.3118407639318123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6017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94447319778188543"/>
              <c:y val="0.2873734469198175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475400371626377"/>
          <c:y val="0.88424068151890567"/>
          <c:w val="0.37957393957917923"/>
          <c:h val="8.4213449428036546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9aS Cad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72632084635939"/>
          <c:y val="0.17235800543132837"/>
          <c:w val="0.63401685376018069"/>
          <c:h val="0.68403243274888037"/>
        </c:manualLayout>
      </c:layout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rgbClr val="00FFFF"/>
            </a:solidFill>
            <a:ln w="12600">
              <a:solidFill>
                <a:srgbClr val="000000"/>
              </a:solidFill>
            </a:ln>
          </c:spPr>
          <c:invertIfNegative val="0"/>
          <c:val>
            <c:numRef>
              <c:f>'9aCS'!$E$5:$E$39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189.33196302633712</c:v>
                </c:pt>
                <c:pt idx="14">
                  <c:v>1747.6796587046504</c:v>
                </c:pt>
                <c:pt idx="15">
                  <c:v>3824.6674753226384</c:v>
                </c:pt>
                <c:pt idx="16">
                  <c:v>5438.0347158120157</c:v>
                </c:pt>
                <c:pt idx="17">
                  <c:v>4129.7023046428349</c:v>
                </c:pt>
                <c:pt idx="18">
                  <c:v>2626.3741537755977</c:v>
                </c:pt>
                <c:pt idx="19">
                  <c:v>996.01558327102953</c:v>
                </c:pt>
                <c:pt idx="20">
                  <c:v>890.59728589812198</c:v>
                </c:pt>
                <c:pt idx="21">
                  <c:v>716.85274298655361</c:v>
                </c:pt>
                <c:pt idx="22">
                  <c:v>101.63101915385343</c:v>
                </c:pt>
                <c:pt idx="23">
                  <c:v>116.45813446967556</c:v>
                </c:pt>
                <c:pt idx="24">
                  <c:v>121.46425527391767</c:v>
                </c:pt>
                <c:pt idx="25">
                  <c:v>24.113333439067173</c:v>
                </c:pt>
                <c:pt idx="26">
                  <c:v>12.888429027070693</c:v>
                </c:pt>
                <c:pt idx="27">
                  <c:v>4.6018998697381504</c:v>
                </c:pt>
                <c:pt idx="28">
                  <c:v>1.1504749674345376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CF-4087-8178-D7290904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5605392"/>
        <c:axId val="1"/>
      </c:barChart>
      <c:lineChart>
        <c:grouping val="standard"/>
        <c:varyColors val="0"/>
        <c:ser>
          <c:idx val="1"/>
          <c:order val="1"/>
          <c:tx>
            <c:v>Biomass (ton)</c:v>
          </c:tx>
          <c:spPr>
            <a:ln w="25200">
              <a:solidFill>
                <a:srgbClr val="000099"/>
              </a:solidFill>
            </a:ln>
          </c:spPr>
          <c:marker>
            <c:symbol val="none"/>
          </c:marker>
          <c:val>
            <c:numRef>
              <c:f>'9aCS'!$C$5:$C$39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2.2624487357559819</c:v>
                </c:pt>
                <c:pt idx="14">
                  <c:v>23.220769976264265</c:v>
                </c:pt>
                <c:pt idx="15">
                  <c:v>56.263344160648167</c:v>
                </c:pt>
                <c:pt idx="16">
                  <c:v>88.224625820466755</c:v>
                </c:pt>
                <c:pt idx="17">
                  <c:v>73.621989967133146</c:v>
                </c:pt>
                <c:pt idx="18">
                  <c:v>51.277148321424704</c:v>
                </c:pt>
                <c:pt idx="19">
                  <c:v>21.230013196686443</c:v>
                </c:pt>
                <c:pt idx="20">
                  <c:v>20.663865130152335</c:v>
                </c:pt>
                <c:pt idx="21">
                  <c:v>18.055828081413562</c:v>
                </c:pt>
                <c:pt idx="22">
                  <c:v>2.771765817474797</c:v>
                </c:pt>
                <c:pt idx="23">
                  <c:v>3.4308044364547601</c:v>
                </c:pt>
                <c:pt idx="24">
                  <c:v>3.8564276577220427</c:v>
                </c:pt>
                <c:pt idx="25">
                  <c:v>0.82333297650315429</c:v>
                </c:pt>
                <c:pt idx="26">
                  <c:v>0.47230487098066465</c:v>
                </c:pt>
                <c:pt idx="27">
                  <c:v>0.18064828437337588</c:v>
                </c:pt>
                <c:pt idx="28">
                  <c:v>4.8290514254851591E-2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F-4087-8178-D7290904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056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Length group (0.5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Numbers (10^3)</a:t>
                </a:r>
              </a:p>
            </c:rich>
          </c:tx>
          <c:layout>
            <c:manualLayout>
              <c:xMode val="edge"/>
              <c:yMode val="edge"/>
              <c:x val="2.7335057847010999E-2"/>
              <c:y val="0.3118406353052022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5605392"/>
        <c:crossesAt val="1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0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Biomass(mt)</a:t>
                </a:r>
              </a:p>
            </c:rich>
          </c:tx>
          <c:layout>
            <c:manualLayout>
              <c:xMode val="edge"/>
              <c:yMode val="edge"/>
              <c:x val="0.82504353923268625"/>
              <c:y val="0.3238106775114649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rgbClr val="3C3C3C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"/>
        <c:crosses val="max"/>
        <c:crossBetween val="between"/>
      </c:valAx>
      <c:spPr>
        <a:noFill/>
        <a:ln w="126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066763315235417"/>
          <c:y val="0.89402209339217209"/>
          <c:w val="0.37888323526346213"/>
          <c:h val="8.4808245123205728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ln>
      <a:solidFill>
        <a:srgbClr val="3C3C3C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631372</xdr:colOff>
      <xdr:row>1</xdr:row>
      <xdr:rowOff>152400</xdr:rowOff>
    </xdr:from>
    <xdr:to>
      <xdr:col>50</xdr:col>
      <xdr:colOff>36740</xdr:colOff>
      <xdr:row>18</xdr:row>
      <xdr:rowOff>179614</xdr:rowOff>
    </xdr:to>
    <xdr:graphicFrame macro="">
      <xdr:nvGraphicFramePr>
        <xdr:cNvPr id="4124" name="Chart 1">
          <a:extLst>
            <a:ext uri="{FF2B5EF4-FFF2-40B4-BE49-F238E27FC236}">
              <a16:creationId xmlns:a16="http://schemas.microsoft.com/office/drawing/2014/main" id="{E462D941-CA91-4D6A-B329-416BC61B3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50</xdr:col>
      <xdr:colOff>27215</xdr:colOff>
      <xdr:row>1</xdr:row>
      <xdr:rowOff>163285</xdr:rowOff>
    </xdr:from>
    <xdr:to>
      <xdr:col>57</xdr:col>
      <xdr:colOff>179615</xdr:colOff>
      <xdr:row>19</xdr:row>
      <xdr:rowOff>9525</xdr:rowOff>
    </xdr:to>
    <xdr:graphicFrame macro="">
      <xdr:nvGraphicFramePr>
        <xdr:cNvPr id="4125" name="Chart 1">
          <a:extLst>
            <a:ext uri="{FF2B5EF4-FFF2-40B4-BE49-F238E27FC236}">
              <a16:creationId xmlns:a16="http://schemas.microsoft.com/office/drawing/2014/main" id="{ECE9C426-2AB0-42BC-A961-E92A2308F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612322</xdr:colOff>
      <xdr:row>35</xdr:row>
      <xdr:rowOff>182336</xdr:rowOff>
    </xdr:from>
    <xdr:to>
      <xdr:col>50</xdr:col>
      <xdr:colOff>8165</xdr:colOff>
      <xdr:row>52</xdr:row>
      <xdr:rowOff>118382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8B0130D7-AB8B-49B0-94D6-E9889175C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49</xdr:col>
      <xdr:colOff>774247</xdr:colOff>
      <xdr:row>18</xdr:row>
      <xdr:rowOff>160564</xdr:rowOff>
    </xdr:from>
    <xdr:to>
      <xdr:col>57</xdr:col>
      <xdr:colOff>122465</xdr:colOff>
      <xdr:row>35</xdr:row>
      <xdr:rowOff>145596</xdr:rowOff>
    </xdr:to>
    <xdr:graphicFrame macro="">
      <xdr:nvGraphicFramePr>
        <xdr:cNvPr id="4127" name="Chart 1">
          <a:extLst>
            <a:ext uri="{FF2B5EF4-FFF2-40B4-BE49-F238E27FC236}">
              <a16:creationId xmlns:a16="http://schemas.microsoft.com/office/drawing/2014/main" id="{A2FA3529-2C38-4F02-AE7D-2B7F7197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42</xdr:col>
      <xdr:colOff>564697</xdr:colOff>
      <xdr:row>19</xdr:row>
      <xdr:rowOff>28575</xdr:rowOff>
    </xdr:from>
    <xdr:to>
      <xdr:col>49</xdr:col>
      <xdr:colOff>745672</xdr:colOff>
      <xdr:row>35</xdr:row>
      <xdr:rowOff>163286</xdr:rowOff>
    </xdr:to>
    <xdr:graphicFrame macro="">
      <xdr:nvGraphicFramePr>
        <xdr:cNvPr id="4128" name="Chart 1">
          <a:extLst>
            <a:ext uri="{FF2B5EF4-FFF2-40B4-BE49-F238E27FC236}">
              <a16:creationId xmlns:a16="http://schemas.microsoft.com/office/drawing/2014/main" id="{C4B99BA7-42B0-4776-AE31-3F2690591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41</xdr:col>
      <xdr:colOff>630049</xdr:colOff>
      <xdr:row>5</xdr:row>
      <xdr:rowOff>144275</xdr:rowOff>
    </xdr:from>
    <xdr:to>
      <xdr:col>48</xdr:col>
      <xdr:colOff>468125</xdr:colOff>
      <xdr:row>19</xdr:row>
      <xdr:rowOff>75639</xdr:rowOff>
    </xdr:to>
    <xdr:graphicFrame macro="">
      <xdr:nvGraphicFramePr>
        <xdr:cNvPr id="46092" name="Chart 1">
          <a:extLst>
            <a:ext uri="{FF2B5EF4-FFF2-40B4-BE49-F238E27FC236}">
              <a16:creationId xmlns:a16="http://schemas.microsoft.com/office/drawing/2014/main" id="{5E658945-89C4-4296-8EAE-D43432F9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227239</xdr:colOff>
      <xdr:row>4</xdr:row>
      <xdr:rowOff>169409</xdr:rowOff>
    </xdr:from>
    <xdr:to>
      <xdr:col>44</xdr:col>
      <xdr:colOff>46264</xdr:colOff>
      <xdr:row>19</xdr:row>
      <xdr:rowOff>53069</xdr:rowOff>
    </xdr:to>
    <xdr:graphicFrame macro="">
      <xdr:nvGraphicFramePr>
        <xdr:cNvPr id="7172" name="Chart 1">
          <a:extLst>
            <a:ext uri="{FF2B5EF4-FFF2-40B4-BE49-F238E27FC236}">
              <a16:creationId xmlns:a16="http://schemas.microsoft.com/office/drawing/2014/main" id="{D59E2AFC-3EFC-4E15-ABCB-DB4C8AE1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33</xdr:col>
      <xdr:colOff>311728</xdr:colOff>
      <xdr:row>5</xdr:row>
      <xdr:rowOff>155862</xdr:rowOff>
    </xdr:from>
    <xdr:to>
      <xdr:col>40</xdr:col>
      <xdr:colOff>132484</xdr:colOff>
      <xdr:row>19</xdr:row>
      <xdr:rowOff>87456</xdr:rowOff>
    </xdr:to>
    <xdr:graphicFrame macro="">
      <xdr:nvGraphicFramePr>
        <xdr:cNvPr id="8197" name="Chart 1">
          <a:extLst>
            <a:ext uri="{FF2B5EF4-FFF2-40B4-BE49-F238E27FC236}">
              <a16:creationId xmlns:a16="http://schemas.microsoft.com/office/drawing/2014/main" id="{96A19FD3-FBB3-4E19-A587-FE9175A19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opLeftCell="J1" zoomScale="70" zoomScaleNormal="70" workbookViewId="0">
      <selection activeCell="T46" sqref="T46"/>
    </sheetView>
  </sheetViews>
  <sheetFormatPr baseColWidth="10" defaultColWidth="9" defaultRowHeight="13"/>
  <cols>
    <col min="1" max="1" width="14" style="5" customWidth="1"/>
    <col min="2" max="6" width="11.59765625" style="5" customWidth="1"/>
    <col min="7" max="7" width="11.59765625" style="1" customWidth="1"/>
    <col min="8" max="8" width="15.796875" style="1" bestFit="1" customWidth="1"/>
    <col min="9" max="9" width="16.3984375" style="1" bestFit="1" customWidth="1"/>
    <col min="10" max="10" width="17.796875" style="1" customWidth="1"/>
    <col min="11" max="11" width="10.3984375" style="1" customWidth="1"/>
    <col min="12" max="33" width="11.59765625" style="1" customWidth="1"/>
    <col min="34" max="34" width="18.19921875" style="1" customWidth="1"/>
    <col min="35" max="68" width="11.59765625" style="1" customWidth="1"/>
  </cols>
  <sheetData>
    <row r="1" spans="1:34" ht="21">
      <c r="B1" s="6" t="s">
        <v>4</v>
      </c>
      <c r="E1" s="5" t="s">
        <v>5</v>
      </c>
      <c r="I1" s="1" t="s">
        <v>6</v>
      </c>
      <c r="J1" s="1" t="s">
        <v>7</v>
      </c>
      <c r="N1" s="117" t="s">
        <v>0</v>
      </c>
      <c r="O1" s="117"/>
      <c r="P1" s="117"/>
      <c r="Q1" s="117"/>
      <c r="R1" s="117"/>
      <c r="S1" s="117"/>
      <c r="T1"/>
      <c r="U1" s="117" t="s">
        <v>0</v>
      </c>
      <c r="V1" s="117"/>
      <c r="W1" s="117"/>
      <c r="X1" s="117"/>
      <c r="Y1" s="117"/>
      <c r="Z1" s="117"/>
      <c r="AA1" s="9"/>
      <c r="AB1"/>
      <c r="AC1" s="118" t="s">
        <v>0</v>
      </c>
      <c r="AD1" s="118"/>
      <c r="AE1" s="118"/>
      <c r="AF1" s="118"/>
      <c r="AG1" s="118"/>
      <c r="AH1" s="118"/>
    </row>
    <row r="2" spans="1:34" ht="15">
      <c r="C2" s="6" t="s">
        <v>8</v>
      </c>
      <c r="D2" s="5">
        <v>20</v>
      </c>
      <c r="E2" s="6" t="s">
        <v>9</v>
      </c>
      <c r="F2" s="5">
        <v>4.3E-3</v>
      </c>
      <c r="I2" s="2">
        <f>I46/10^6</f>
        <v>3.0179098222964198</v>
      </c>
      <c r="J2" s="2">
        <f>J46</f>
        <v>69824.769318935214</v>
      </c>
      <c r="N2"/>
      <c r="O2"/>
      <c r="P2" s="46" t="s">
        <v>29</v>
      </c>
      <c r="Q2"/>
      <c r="R2"/>
      <c r="S2"/>
      <c r="T2"/>
      <c r="U2" s="9"/>
      <c r="V2" s="9"/>
      <c r="W2" s="10" t="s">
        <v>19</v>
      </c>
      <c r="X2" s="9"/>
      <c r="Y2" s="9"/>
      <c r="Z2" s="9"/>
      <c r="AA2" s="9"/>
      <c r="AB2"/>
      <c r="AC2" s="119" t="s">
        <v>23</v>
      </c>
      <c r="AD2" s="119"/>
      <c r="AE2" s="119"/>
      <c r="AF2" s="119"/>
      <c r="AG2" s="119"/>
      <c r="AH2" s="119"/>
    </row>
    <row r="3" spans="1:34" ht="15">
      <c r="C3" s="5" t="s">
        <v>10</v>
      </c>
      <c r="D3" s="5">
        <v>72.599999999999994</v>
      </c>
      <c r="E3" s="5" t="s">
        <v>11</v>
      </c>
      <c r="F3" s="5">
        <v>3.1360000000000001</v>
      </c>
      <c r="N3" s="120" t="s">
        <v>24</v>
      </c>
      <c r="O3" s="124" t="s">
        <v>25</v>
      </c>
      <c r="P3" s="125"/>
      <c r="Q3" s="125"/>
      <c r="R3" s="126"/>
      <c r="S3" s="120" t="s">
        <v>26</v>
      </c>
      <c r="T3"/>
      <c r="U3" s="120" t="s">
        <v>24</v>
      </c>
      <c r="V3" s="127" t="s">
        <v>25</v>
      </c>
      <c r="W3" s="128"/>
      <c r="X3" s="128"/>
      <c r="Y3" s="129"/>
      <c r="Z3" s="120" t="s">
        <v>26</v>
      </c>
      <c r="AA3" s="10"/>
      <c r="AB3"/>
      <c r="AC3" s="122" t="s">
        <v>24</v>
      </c>
      <c r="AD3" s="130" t="s">
        <v>25</v>
      </c>
      <c r="AE3" s="131"/>
      <c r="AF3" s="131"/>
      <c r="AG3" s="132"/>
      <c r="AH3" s="122" t="s">
        <v>26</v>
      </c>
    </row>
    <row r="4" spans="1:34" ht="15">
      <c r="N4" s="121"/>
      <c r="O4" s="11">
        <v>1</v>
      </c>
      <c r="P4" s="11">
        <v>2</v>
      </c>
      <c r="Q4" s="11">
        <v>3</v>
      </c>
      <c r="R4" s="11">
        <v>4</v>
      </c>
      <c r="S4" s="121"/>
      <c r="T4"/>
      <c r="U4" s="121"/>
      <c r="V4" s="12">
        <v>1</v>
      </c>
      <c r="W4" s="13">
        <v>2</v>
      </c>
      <c r="X4" s="14">
        <v>3</v>
      </c>
      <c r="Y4" s="50">
        <v>4</v>
      </c>
      <c r="Z4" s="121"/>
      <c r="AA4" s="10"/>
      <c r="AB4"/>
      <c r="AC4" s="123"/>
      <c r="AD4" s="15">
        <v>1</v>
      </c>
      <c r="AE4" s="16">
        <v>2</v>
      </c>
      <c r="AF4" s="17">
        <v>3</v>
      </c>
      <c r="AG4" s="51">
        <v>4</v>
      </c>
      <c r="AH4" s="123"/>
    </row>
    <row r="5" spans="1:34" ht="15">
      <c r="B5" s="5" t="s">
        <v>12</v>
      </c>
      <c r="D5" s="7" t="e">
        <f>#REF!</f>
        <v>#REF!</v>
      </c>
      <c r="E5" s="5" t="s">
        <v>13</v>
      </c>
      <c r="F5" s="8" t="e">
        <f>#REF!</f>
        <v>#REF!</v>
      </c>
      <c r="G5" s="3"/>
      <c r="N5" s="18">
        <v>5</v>
      </c>
      <c r="O5"/>
      <c r="P5"/>
      <c r="Q5"/>
      <c r="R5"/>
      <c r="S5" s="19"/>
      <c r="T5"/>
      <c r="U5" s="20">
        <v>5</v>
      </c>
      <c r="V5" s="21"/>
      <c r="W5" s="21"/>
      <c r="X5" s="21"/>
      <c r="Y5" s="21"/>
      <c r="Z5" s="27">
        <f t="shared" ref="Z5:Z33" si="0">SUM(V5:Y5)</f>
        <v>0</v>
      </c>
      <c r="AA5" s="23"/>
      <c r="AB5">
        <v>5.25</v>
      </c>
      <c r="AC5" s="24">
        <v>5</v>
      </c>
      <c r="AD5" s="25">
        <f>+V5*$I10</f>
        <v>0</v>
      </c>
      <c r="AE5" s="25">
        <f t="shared" ref="AE5:AG5" si="1">+W5*$I10</f>
        <v>0</v>
      </c>
      <c r="AF5" s="25">
        <f t="shared" si="1"/>
        <v>0</v>
      </c>
      <c r="AG5" s="25">
        <f t="shared" si="1"/>
        <v>0</v>
      </c>
      <c r="AH5" s="29">
        <f>SUM(AD5:AG5)</f>
        <v>0</v>
      </c>
    </row>
    <row r="6" spans="1:34" ht="15">
      <c r="N6" s="18">
        <v>5.5</v>
      </c>
      <c r="O6"/>
      <c r="P6"/>
      <c r="Q6"/>
      <c r="R6"/>
      <c r="S6" s="19"/>
      <c r="T6"/>
      <c r="U6" s="20">
        <v>5.5</v>
      </c>
      <c r="V6" s="21"/>
      <c r="W6" s="21"/>
      <c r="X6" s="21"/>
      <c r="Y6" s="21"/>
      <c r="Z6" s="27">
        <f t="shared" si="0"/>
        <v>0</v>
      </c>
      <c r="AA6"/>
      <c r="AB6">
        <v>5.75</v>
      </c>
      <c r="AC6" s="28">
        <v>5.5</v>
      </c>
      <c r="AD6" s="25">
        <f t="shared" ref="AD6:AD32" si="2">+V6*$I11</f>
        <v>0</v>
      </c>
      <c r="AE6" s="25">
        <f t="shared" ref="AE6:AE33" si="3">+W6*$I11</f>
        <v>0</v>
      </c>
      <c r="AF6" s="25">
        <f t="shared" ref="AF6:AF33" si="4">+X6*$I11</f>
        <v>0</v>
      </c>
      <c r="AG6" s="25">
        <f t="shared" ref="AG6:AG33" si="5">+Y6*$I11</f>
        <v>0</v>
      </c>
      <c r="AH6" s="29">
        <f t="shared" ref="AH6:AH33" si="6">SUM(AD6:AG6)</f>
        <v>0</v>
      </c>
    </row>
    <row r="7" spans="1:34" ht="15">
      <c r="N7" s="18">
        <v>6</v>
      </c>
      <c r="O7"/>
      <c r="P7"/>
      <c r="Q7"/>
      <c r="R7"/>
      <c r="S7" s="19"/>
      <c r="T7"/>
      <c r="U7" s="20">
        <v>6</v>
      </c>
      <c r="V7" s="21"/>
      <c r="W7" s="21"/>
      <c r="X7" s="21"/>
      <c r="Y7" s="21"/>
      <c r="Z7" s="27">
        <f t="shared" si="0"/>
        <v>0</v>
      </c>
      <c r="AA7"/>
      <c r="AB7">
        <v>6.25</v>
      </c>
      <c r="AC7" s="28">
        <v>6</v>
      </c>
      <c r="AD7" s="25">
        <f t="shared" si="2"/>
        <v>0</v>
      </c>
      <c r="AE7" s="25">
        <f t="shared" si="3"/>
        <v>0</v>
      </c>
      <c r="AF7" s="25">
        <f t="shared" si="4"/>
        <v>0</v>
      </c>
      <c r="AG7" s="25">
        <f t="shared" si="5"/>
        <v>0</v>
      </c>
      <c r="AH7" s="29">
        <f t="shared" si="6"/>
        <v>0</v>
      </c>
    </row>
    <row r="8" spans="1:34" ht="15">
      <c r="A8" s="5" t="s">
        <v>14</v>
      </c>
      <c r="B8" s="5" t="s">
        <v>2</v>
      </c>
      <c r="D8" s="6" t="s">
        <v>15</v>
      </c>
      <c r="F8" s="5" t="s">
        <v>16</v>
      </c>
      <c r="H8" s="41" t="s">
        <v>20</v>
      </c>
      <c r="I8" s="41" t="s">
        <v>21</v>
      </c>
      <c r="J8" s="41" t="s">
        <v>22</v>
      </c>
      <c r="N8" s="18">
        <v>6.5</v>
      </c>
      <c r="O8"/>
      <c r="P8"/>
      <c r="Q8"/>
      <c r="R8"/>
      <c r="S8" s="19"/>
      <c r="T8"/>
      <c r="U8" s="20">
        <v>6.5</v>
      </c>
      <c r="V8" s="21"/>
      <c r="W8" s="21"/>
      <c r="X8" s="21"/>
      <c r="Y8" s="21"/>
      <c r="Z8" s="27">
        <f t="shared" si="0"/>
        <v>0</v>
      </c>
      <c r="AA8"/>
      <c r="AB8">
        <v>6.75</v>
      </c>
      <c r="AC8" s="28">
        <v>6.5</v>
      </c>
      <c r="AD8" s="25">
        <f t="shared" si="2"/>
        <v>0</v>
      </c>
      <c r="AE8" s="25">
        <f t="shared" si="3"/>
        <v>0</v>
      </c>
      <c r="AF8" s="25">
        <f t="shared" si="4"/>
        <v>0</v>
      </c>
      <c r="AG8" s="25">
        <f t="shared" si="5"/>
        <v>0</v>
      </c>
      <c r="AH8" s="29">
        <f t="shared" si="6"/>
        <v>0</v>
      </c>
    </row>
    <row r="9" spans="1:34" ht="15">
      <c r="H9" s="41"/>
      <c r="I9" s="42"/>
      <c r="J9" s="42"/>
      <c r="N9" s="18">
        <v>7</v>
      </c>
      <c r="O9"/>
      <c r="P9"/>
      <c r="Q9"/>
      <c r="R9"/>
      <c r="S9" s="19"/>
      <c r="T9"/>
      <c r="U9" s="20">
        <v>7</v>
      </c>
      <c r="V9" s="21"/>
      <c r="W9" s="21"/>
      <c r="X9" s="21"/>
      <c r="Y9" s="21"/>
      <c r="Z9" s="27">
        <f t="shared" si="0"/>
        <v>0</v>
      </c>
      <c r="AA9"/>
      <c r="AB9">
        <v>7.25</v>
      </c>
      <c r="AC9" s="28">
        <v>7</v>
      </c>
      <c r="AD9" s="25">
        <f t="shared" si="2"/>
        <v>0</v>
      </c>
      <c r="AE9" s="25">
        <f t="shared" si="3"/>
        <v>0</v>
      </c>
      <c r="AF9" s="25">
        <f t="shared" si="4"/>
        <v>0</v>
      </c>
      <c r="AG9" s="25">
        <f t="shared" si="5"/>
        <v>0</v>
      </c>
      <c r="AH9" s="29">
        <f t="shared" si="6"/>
        <v>0</v>
      </c>
    </row>
    <row r="10" spans="1:34" ht="15">
      <c r="A10" s="5">
        <v>5</v>
      </c>
      <c r="B10" s="7">
        <v>0</v>
      </c>
      <c r="C10" s="8"/>
      <c r="D10" s="5">
        <f t="shared" ref="D10:D44" si="7">B10/(((A10+0.25)^(-$D$2/10))*(10^($D$3/10))/(4*PI()))</f>
        <v>0</v>
      </c>
      <c r="F10" s="5" t="e">
        <f t="shared" ref="F10:F44" si="8">$D$5*B10/$D$46</f>
        <v>#REF!</v>
      </c>
      <c r="H10" s="41">
        <v>5</v>
      </c>
      <c r="I10" s="43">
        <v>0</v>
      </c>
      <c r="J10" s="44">
        <v>0</v>
      </c>
      <c r="L10" s="5"/>
      <c r="N10" s="18">
        <v>7.5</v>
      </c>
      <c r="O10"/>
      <c r="P10"/>
      <c r="Q10"/>
      <c r="R10"/>
      <c r="S10" s="19"/>
      <c r="T10"/>
      <c r="U10" s="20">
        <v>7.5</v>
      </c>
      <c r="V10" s="21"/>
      <c r="W10" s="21"/>
      <c r="X10" s="21"/>
      <c r="Y10" s="21"/>
      <c r="Z10" s="27">
        <f t="shared" si="0"/>
        <v>0</v>
      </c>
      <c r="AA10"/>
      <c r="AB10">
        <v>7.75</v>
      </c>
      <c r="AC10" s="28">
        <v>7.5</v>
      </c>
      <c r="AD10" s="25">
        <f t="shared" si="2"/>
        <v>0</v>
      </c>
      <c r="AE10" s="25">
        <f t="shared" si="3"/>
        <v>0</v>
      </c>
      <c r="AF10" s="25">
        <f t="shared" si="4"/>
        <v>0</v>
      </c>
      <c r="AG10" s="25">
        <f t="shared" si="5"/>
        <v>0</v>
      </c>
      <c r="AH10" s="29">
        <f t="shared" si="6"/>
        <v>0</v>
      </c>
    </row>
    <row r="11" spans="1:34" ht="15">
      <c r="A11" s="5">
        <f t="shared" ref="A11:A44" si="9">A10+0.5</f>
        <v>5.5</v>
      </c>
      <c r="B11" s="7">
        <v>0</v>
      </c>
      <c r="C11" s="8"/>
      <c r="D11" s="5">
        <f t="shared" si="7"/>
        <v>0</v>
      </c>
      <c r="F11" s="5" t="e">
        <f t="shared" si="8"/>
        <v>#REF!</v>
      </c>
      <c r="H11" s="41">
        <f t="shared" ref="H11:H44" si="10">H10+0.5</f>
        <v>5.5</v>
      </c>
      <c r="I11" s="43">
        <v>0</v>
      </c>
      <c r="J11" s="44">
        <v>0</v>
      </c>
      <c r="L11" s="5"/>
      <c r="N11" s="18">
        <v>8</v>
      </c>
      <c r="O11"/>
      <c r="P11"/>
      <c r="Q11"/>
      <c r="R11"/>
      <c r="S11" s="19"/>
      <c r="T11"/>
      <c r="U11" s="20">
        <v>8</v>
      </c>
      <c r="V11" s="21"/>
      <c r="W11" s="21"/>
      <c r="X11" s="21"/>
      <c r="Y11" s="21"/>
      <c r="Z11" s="27">
        <f t="shared" si="0"/>
        <v>0</v>
      </c>
      <c r="AA11"/>
      <c r="AB11">
        <v>8.25</v>
      </c>
      <c r="AC11" s="28">
        <v>8</v>
      </c>
      <c r="AD11" s="25">
        <f t="shared" si="2"/>
        <v>0</v>
      </c>
      <c r="AE11" s="25">
        <f t="shared" si="3"/>
        <v>0</v>
      </c>
      <c r="AF11" s="25">
        <f t="shared" si="4"/>
        <v>0</v>
      </c>
      <c r="AG11" s="25">
        <f t="shared" si="5"/>
        <v>0</v>
      </c>
      <c r="AH11" s="29">
        <f t="shared" si="6"/>
        <v>0</v>
      </c>
    </row>
    <row r="12" spans="1:34" ht="15">
      <c r="A12" s="5">
        <f t="shared" si="9"/>
        <v>6</v>
      </c>
      <c r="B12" s="7">
        <v>0</v>
      </c>
      <c r="C12" s="8"/>
      <c r="D12" s="5">
        <f t="shared" si="7"/>
        <v>0</v>
      </c>
      <c r="F12" s="5" t="e">
        <f t="shared" si="8"/>
        <v>#REF!</v>
      </c>
      <c r="H12" s="41">
        <f t="shared" si="10"/>
        <v>6</v>
      </c>
      <c r="I12" s="43">
        <v>0</v>
      </c>
      <c r="J12" s="44">
        <v>0</v>
      </c>
      <c r="L12" s="5"/>
      <c r="N12" s="18">
        <v>8.5</v>
      </c>
      <c r="O12"/>
      <c r="P12"/>
      <c r="Q12"/>
      <c r="R12"/>
      <c r="S12" s="19"/>
      <c r="T12"/>
      <c r="U12" s="20">
        <v>8.5</v>
      </c>
      <c r="V12" s="21"/>
      <c r="W12" s="21"/>
      <c r="X12" s="21"/>
      <c r="Y12" s="21"/>
      <c r="Z12" s="27">
        <f t="shared" si="0"/>
        <v>0</v>
      </c>
      <c r="AA12"/>
      <c r="AB12">
        <v>8.75</v>
      </c>
      <c r="AC12" s="28">
        <v>8.5</v>
      </c>
      <c r="AD12" s="25">
        <f t="shared" si="2"/>
        <v>0</v>
      </c>
      <c r="AE12" s="25">
        <f t="shared" si="3"/>
        <v>0</v>
      </c>
      <c r="AF12" s="25">
        <f t="shared" si="4"/>
        <v>0</v>
      </c>
      <c r="AG12" s="25">
        <f t="shared" si="5"/>
        <v>0</v>
      </c>
      <c r="AH12" s="29">
        <f t="shared" si="6"/>
        <v>0</v>
      </c>
    </row>
    <row r="13" spans="1:34" ht="15">
      <c r="A13" s="5">
        <f t="shared" si="9"/>
        <v>6.5</v>
      </c>
      <c r="B13" s="7">
        <v>0</v>
      </c>
      <c r="C13" s="8"/>
      <c r="D13" s="5">
        <f t="shared" si="7"/>
        <v>0</v>
      </c>
      <c r="F13" s="5" t="e">
        <f t="shared" si="8"/>
        <v>#REF!</v>
      </c>
      <c r="H13" s="41">
        <f t="shared" si="10"/>
        <v>6.5</v>
      </c>
      <c r="I13" s="43">
        <v>0</v>
      </c>
      <c r="J13" s="44">
        <v>0</v>
      </c>
      <c r="L13" s="5"/>
      <c r="N13" s="18">
        <v>9</v>
      </c>
      <c r="O13"/>
      <c r="P13"/>
      <c r="Q13"/>
      <c r="R13"/>
      <c r="S13" s="19"/>
      <c r="T13"/>
      <c r="U13" s="20">
        <v>9</v>
      </c>
      <c r="V13" s="21"/>
      <c r="W13" s="21"/>
      <c r="X13" s="21"/>
      <c r="Y13" s="21"/>
      <c r="Z13" s="27">
        <f t="shared" si="0"/>
        <v>0</v>
      </c>
      <c r="AA13"/>
      <c r="AB13">
        <v>9.25</v>
      </c>
      <c r="AC13" s="28">
        <v>9</v>
      </c>
      <c r="AD13" s="25">
        <f t="shared" si="2"/>
        <v>0</v>
      </c>
      <c r="AE13" s="25">
        <f t="shared" si="3"/>
        <v>0</v>
      </c>
      <c r="AF13" s="25">
        <f t="shared" si="4"/>
        <v>0</v>
      </c>
      <c r="AG13" s="25">
        <f t="shared" si="5"/>
        <v>0</v>
      </c>
      <c r="AH13" s="29">
        <f t="shared" si="6"/>
        <v>0</v>
      </c>
    </row>
    <row r="14" spans="1:34" ht="15">
      <c r="A14" s="5">
        <f t="shared" si="9"/>
        <v>7</v>
      </c>
      <c r="B14" s="7">
        <v>0</v>
      </c>
      <c r="C14" s="8"/>
      <c r="D14" s="5">
        <f t="shared" si="7"/>
        <v>0</v>
      </c>
      <c r="F14" s="5" t="e">
        <f t="shared" si="8"/>
        <v>#REF!</v>
      </c>
      <c r="H14" s="41">
        <f t="shared" si="10"/>
        <v>7</v>
      </c>
      <c r="I14" s="43">
        <v>0</v>
      </c>
      <c r="J14" s="44">
        <v>0</v>
      </c>
      <c r="L14" s="5"/>
      <c r="N14" s="18">
        <v>9.5</v>
      </c>
      <c r="O14"/>
      <c r="P14"/>
      <c r="Q14"/>
      <c r="R14"/>
      <c r="S14" s="19"/>
      <c r="T14"/>
      <c r="U14" s="20">
        <v>9.5</v>
      </c>
      <c r="V14" s="21"/>
      <c r="W14" s="21"/>
      <c r="X14" s="21"/>
      <c r="Y14" s="21"/>
      <c r="Z14" s="27">
        <f t="shared" si="0"/>
        <v>0</v>
      </c>
      <c r="AA14"/>
      <c r="AB14">
        <v>9.75</v>
      </c>
      <c r="AC14" s="28">
        <v>9.5</v>
      </c>
      <c r="AD14" s="25">
        <f t="shared" si="2"/>
        <v>0</v>
      </c>
      <c r="AE14" s="25">
        <f t="shared" si="3"/>
        <v>0</v>
      </c>
      <c r="AF14" s="25">
        <f t="shared" si="4"/>
        <v>0</v>
      </c>
      <c r="AG14" s="25">
        <f t="shared" si="5"/>
        <v>0</v>
      </c>
      <c r="AH14" s="29">
        <f t="shared" si="6"/>
        <v>0</v>
      </c>
    </row>
    <row r="15" spans="1:34" ht="15">
      <c r="A15" s="5">
        <f t="shared" si="9"/>
        <v>7.5</v>
      </c>
      <c r="B15" s="7">
        <v>0</v>
      </c>
      <c r="C15" s="8"/>
      <c r="D15" s="5">
        <f t="shared" si="7"/>
        <v>0</v>
      </c>
      <c r="F15" s="5" t="e">
        <f t="shared" si="8"/>
        <v>#REF!</v>
      </c>
      <c r="H15" s="41">
        <f t="shared" si="10"/>
        <v>7.5</v>
      </c>
      <c r="I15" s="43">
        <v>0</v>
      </c>
      <c r="J15" s="44">
        <v>0</v>
      </c>
      <c r="L15" s="5"/>
      <c r="N15" s="18">
        <v>10</v>
      </c>
      <c r="O15"/>
      <c r="P15"/>
      <c r="Q15"/>
      <c r="R15"/>
      <c r="S15" s="19"/>
      <c r="T15"/>
      <c r="U15" s="20">
        <v>10</v>
      </c>
      <c r="V15" s="21"/>
      <c r="W15" s="21"/>
      <c r="X15" s="21"/>
      <c r="Y15" s="21"/>
      <c r="Z15" s="27">
        <f t="shared" si="0"/>
        <v>0</v>
      </c>
      <c r="AA15"/>
      <c r="AB15">
        <v>10.25</v>
      </c>
      <c r="AC15" s="28">
        <v>10</v>
      </c>
      <c r="AD15" s="25">
        <f t="shared" si="2"/>
        <v>0</v>
      </c>
      <c r="AE15" s="25">
        <f t="shared" si="3"/>
        <v>0</v>
      </c>
      <c r="AF15" s="25">
        <f t="shared" si="4"/>
        <v>0</v>
      </c>
      <c r="AG15" s="25">
        <f t="shared" si="5"/>
        <v>0</v>
      </c>
      <c r="AH15" s="29">
        <f t="shared" si="6"/>
        <v>0</v>
      </c>
    </row>
    <row r="16" spans="1:34" ht="15">
      <c r="A16" s="5">
        <f t="shared" si="9"/>
        <v>8</v>
      </c>
      <c r="B16" s="7">
        <v>0</v>
      </c>
      <c r="C16" s="8"/>
      <c r="D16" s="5">
        <f t="shared" si="7"/>
        <v>0</v>
      </c>
      <c r="F16" s="5" t="e">
        <f t="shared" si="8"/>
        <v>#REF!</v>
      </c>
      <c r="H16" s="41">
        <f t="shared" si="10"/>
        <v>8</v>
      </c>
      <c r="I16" s="43">
        <v>0</v>
      </c>
      <c r="J16" s="44">
        <v>0</v>
      </c>
      <c r="L16" s="5"/>
      <c r="N16" s="18">
        <v>10.5</v>
      </c>
      <c r="O16"/>
      <c r="P16"/>
      <c r="Q16"/>
      <c r="R16"/>
      <c r="S16" s="19"/>
      <c r="T16"/>
      <c r="U16" s="20">
        <v>10.5</v>
      </c>
      <c r="V16" s="21"/>
      <c r="W16" s="21"/>
      <c r="X16" s="21"/>
      <c r="Y16" s="21"/>
      <c r="Z16" s="27">
        <f t="shared" si="0"/>
        <v>0</v>
      </c>
      <c r="AA16"/>
      <c r="AB16">
        <v>10.75</v>
      </c>
      <c r="AC16" s="28">
        <v>10.5</v>
      </c>
      <c r="AD16" s="25">
        <f t="shared" si="2"/>
        <v>0</v>
      </c>
      <c r="AE16" s="25">
        <f t="shared" si="3"/>
        <v>0</v>
      </c>
      <c r="AF16" s="25">
        <f t="shared" si="4"/>
        <v>0</v>
      </c>
      <c r="AG16" s="25">
        <f t="shared" si="5"/>
        <v>0</v>
      </c>
      <c r="AH16" s="29">
        <f t="shared" si="6"/>
        <v>0</v>
      </c>
    </row>
    <row r="17" spans="1:34" ht="15">
      <c r="A17" s="5">
        <f t="shared" si="9"/>
        <v>8.5</v>
      </c>
      <c r="B17" s="7">
        <v>0</v>
      </c>
      <c r="C17" s="8"/>
      <c r="D17" s="5">
        <f t="shared" si="7"/>
        <v>0</v>
      </c>
      <c r="F17" s="5" t="e">
        <f t="shared" si="8"/>
        <v>#REF!</v>
      </c>
      <c r="H17" s="41">
        <f t="shared" si="10"/>
        <v>8.5</v>
      </c>
      <c r="I17" s="43">
        <v>0</v>
      </c>
      <c r="J17" s="44">
        <v>0</v>
      </c>
      <c r="L17" s="5"/>
      <c r="N17" s="18">
        <v>11</v>
      </c>
      <c r="O17"/>
      <c r="P17"/>
      <c r="Q17"/>
      <c r="R17"/>
      <c r="S17" s="19">
        <f>+SUM(O17:R17)</f>
        <v>0</v>
      </c>
      <c r="T17"/>
      <c r="U17" s="20">
        <v>11</v>
      </c>
      <c r="V17" s="21"/>
      <c r="W17" s="21"/>
      <c r="X17" s="21"/>
      <c r="Y17" s="21"/>
      <c r="Z17" s="27">
        <f t="shared" si="0"/>
        <v>0</v>
      </c>
      <c r="AA17"/>
      <c r="AB17">
        <v>11.25</v>
      </c>
      <c r="AC17" s="28">
        <v>11</v>
      </c>
      <c r="AD17" s="25">
        <f t="shared" si="2"/>
        <v>0</v>
      </c>
      <c r="AE17" s="25">
        <f t="shared" si="3"/>
        <v>0</v>
      </c>
      <c r="AF17" s="25">
        <f t="shared" si="4"/>
        <v>0</v>
      </c>
      <c r="AG17" s="25">
        <f t="shared" si="5"/>
        <v>0</v>
      </c>
      <c r="AH17" s="29">
        <f t="shared" si="6"/>
        <v>0</v>
      </c>
    </row>
    <row r="18" spans="1:34" ht="15">
      <c r="A18" s="5">
        <f t="shared" si="9"/>
        <v>9</v>
      </c>
      <c r="B18" s="7">
        <v>0</v>
      </c>
      <c r="C18" s="8"/>
      <c r="D18" s="5">
        <f t="shared" si="7"/>
        <v>0</v>
      </c>
      <c r="F18" s="5" t="e">
        <f t="shared" si="8"/>
        <v>#REF!</v>
      </c>
      <c r="H18" s="41">
        <f t="shared" si="10"/>
        <v>9</v>
      </c>
      <c r="I18" s="43">
        <v>0</v>
      </c>
      <c r="J18" s="44">
        <v>0</v>
      </c>
      <c r="L18" s="5"/>
      <c r="N18" s="18">
        <v>11.5</v>
      </c>
      <c r="O18">
        <v>1</v>
      </c>
      <c r="P18"/>
      <c r="Q18"/>
      <c r="R18"/>
      <c r="S18" s="19">
        <f t="shared" ref="S18:S33" si="11">+SUM(O18:R18)</f>
        <v>1</v>
      </c>
      <c r="T18"/>
      <c r="U18" s="20">
        <v>11.5</v>
      </c>
      <c r="V18" s="21">
        <f t="shared" ref="V18:V32" si="12">+O18/$S18</f>
        <v>1</v>
      </c>
      <c r="W18" s="21">
        <f t="shared" ref="W18:W32" si="13">+P18/$S18</f>
        <v>0</v>
      </c>
      <c r="X18" s="21">
        <f t="shared" ref="X18:X33" si="14">+Q18/$S18</f>
        <v>0</v>
      </c>
      <c r="Y18" s="21">
        <f t="shared" ref="Y18:Y33" si="15">+R18/$S18</f>
        <v>0</v>
      </c>
      <c r="Z18" s="27">
        <f t="shared" si="0"/>
        <v>1</v>
      </c>
      <c r="AA18"/>
      <c r="AB18">
        <v>11.75</v>
      </c>
      <c r="AC18" s="28">
        <v>11.5</v>
      </c>
      <c r="AD18" s="25">
        <f>+V18*$I23</f>
        <v>1935.9237245999668</v>
      </c>
      <c r="AE18" s="25">
        <f t="shared" si="3"/>
        <v>0</v>
      </c>
      <c r="AF18" s="25">
        <f t="shared" si="4"/>
        <v>0</v>
      </c>
      <c r="AG18" s="25">
        <f t="shared" si="5"/>
        <v>0</v>
      </c>
      <c r="AH18" s="29">
        <f t="shared" si="6"/>
        <v>1935.9237245999668</v>
      </c>
    </row>
    <row r="19" spans="1:34" ht="15">
      <c r="A19" s="5">
        <f t="shared" si="9"/>
        <v>9.5</v>
      </c>
      <c r="B19" s="7">
        <v>0</v>
      </c>
      <c r="C19" s="8"/>
      <c r="D19" s="5">
        <f t="shared" si="7"/>
        <v>0</v>
      </c>
      <c r="F19" s="5" t="e">
        <f t="shared" si="8"/>
        <v>#REF!</v>
      </c>
      <c r="H19" s="41">
        <f t="shared" si="10"/>
        <v>9.5</v>
      </c>
      <c r="I19" s="43">
        <v>0</v>
      </c>
      <c r="J19" s="44">
        <v>0</v>
      </c>
      <c r="L19" s="5"/>
      <c r="N19" s="18">
        <v>12</v>
      </c>
      <c r="O19">
        <v>9</v>
      </c>
      <c r="P19"/>
      <c r="Q19"/>
      <c r="R19"/>
      <c r="S19" s="19">
        <f t="shared" si="11"/>
        <v>9</v>
      </c>
      <c r="T19"/>
      <c r="U19" s="20">
        <v>12</v>
      </c>
      <c r="V19" s="21">
        <f t="shared" si="12"/>
        <v>1</v>
      </c>
      <c r="W19" s="21">
        <f t="shared" si="13"/>
        <v>0</v>
      </c>
      <c r="X19" s="21">
        <f t="shared" si="14"/>
        <v>0</v>
      </c>
      <c r="Y19" s="21">
        <f t="shared" si="15"/>
        <v>0</v>
      </c>
      <c r="Z19" s="27">
        <f t="shared" si="0"/>
        <v>1</v>
      </c>
      <c r="AA19"/>
      <c r="AB19">
        <v>12.25</v>
      </c>
      <c r="AC19" s="28">
        <v>12</v>
      </c>
      <c r="AD19" s="25">
        <f>+V19*$I24</f>
        <v>36789.125709768239</v>
      </c>
      <c r="AE19" s="25">
        <f t="shared" si="3"/>
        <v>0</v>
      </c>
      <c r="AF19" s="25">
        <f t="shared" si="4"/>
        <v>0</v>
      </c>
      <c r="AG19" s="25">
        <f t="shared" si="5"/>
        <v>0</v>
      </c>
      <c r="AH19" s="29">
        <f t="shared" si="6"/>
        <v>36789.125709768239</v>
      </c>
    </row>
    <row r="20" spans="1:34" ht="15">
      <c r="A20" s="5">
        <f t="shared" si="9"/>
        <v>10</v>
      </c>
      <c r="B20" s="7">
        <v>0</v>
      </c>
      <c r="C20" s="8"/>
      <c r="D20" s="5">
        <f t="shared" si="7"/>
        <v>0</v>
      </c>
      <c r="F20" s="5" t="e">
        <f t="shared" si="8"/>
        <v>#REF!</v>
      </c>
      <c r="H20" s="41">
        <f t="shared" si="10"/>
        <v>10</v>
      </c>
      <c r="I20" s="43">
        <v>0</v>
      </c>
      <c r="J20" s="44">
        <v>0</v>
      </c>
      <c r="L20" s="5"/>
      <c r="N20" s="18">
        <v>12.5</v>
      </c>
      <c r="O20">
        <v>10</v>
      </c>
      <c r="P20"/>
      <c r="Q20"/>
      <c r="R20"/>
      <c r="S20" s="19">
        <f t="shared" si="11"/>
        <v>10</v>
      </c>
      <c r="T20"/>
      <c r="U20" s="20">
        <v>12.5</v>
      </c>
      <c r="V20" s="21">
        <f t="shared" si="12"/>
        <v>1</v>
      </c>
      <c r="W20" s="21">
        <f t="shared" si="13"/>
        <v>0</v>
      </c>
      <c r="X20" s="21">
        <f t="shared" si="14"/>
        <v>0</v>
      </c>
      <c r="Y20" s="21">
        <f t="shared" si="15"/>
        <v>0</v>
      </c>
      <c r="Z20" s="27">
        <f t="shared" si="0"/>
        <v>1</v>
      </c>
      <c r="AA20"/>
      <c r="AB20">
        <v>12.75</v>
      </c>
      <c r="AC20" s="28">
        <v>12.5</v>
      </c>
      <c r="AD20" s="25">
        <f t="shared" si="2"/>
        <v>155966.21841980016</v>
      </c>
      <c r="AE20" s="25">
        <f t="shared" si="3"/>
        <v>0</v>
      </c>
      <c r="AF20" s="25">
        <f t="shared" si="4"/>
        <v>0</v>
      </c>
      <c r="AG20" s="25">
        <f t="shared" si="5"/>
        <v>0</v>
      </c>
      <c r="AH20" s="29">
        <f t="shared" si="6"/>
        <v>155966.21841980016</v>
      </c>
    </row>
    <row r="21" spans="1:34" ht="15">
      <c r="A21" s="5">
        <f t="shared" si="9"/>
        <v>10.5</v>
      </c>
      <c r="B21" s="7">
        <v>0</v>
      </c>
      <c r="C21" s="8"/>
      <c r="D21" s="5">
        <f t="shared" si="7"/>
        <v>0</v>
      </c>
      <c r="F21" s="5" t="e">
        <f t="shared" si="8"/>
        <v>#REF!</v>
      </c>
      <c r="H21" s="41">
        <f t="shared" si="10"/>
        <v>10.5</v>
      </c>
      <c r="I21" s="43">
        <v>0</v>
      </c>
      <c r="J21" s="44">
        <v>0</v>
      </c>
      <c r="L21" s="5"/>
      <c r="N21" s="18">
        <v>13</v>
      </c>
      <c r="O21">
        <v>8</v>
      </c>
      <c r="P21">
        <v>1</v>
      </c>
      <c r="Q21"/>
      <c r="R21"/>
      <c r="S21" s="19">
        <f t="shared" si="11"/>
        <v>9</v>
      </c>
      <c r="T21"/>
      <c r="U21" s="20">
        <v>13</v>
      </c>
      <c r="V21" s="21">
        <f t="shared" si="12"/>
        <v>0.88888888888888884</v>
      </c>
      <c r="W21" s="21">
        <f t="shared" si="13"/>
        <v>0.1111111111111111</v>
      </c>
      <c r="X21" s="21">
        <f t="shared" si="14"/>
        <v>0</v>
      </c>
      <c r="Y21" s="21">
        <f t="shared" si="15"/>
        <v>0</v>
      </c>
      <c r="Z21" s="27">
        <f t="shared" si="0"/>
        <v>1</v>
      </c>
      <c r="AA21"/>
      <c r="AB21">
        <v>13.25</v>
      </c>
      <c r="AC21" s="28">
        <v>13</v>
      </c>
      <c r="AD21" s="25">
        <f t="shared" si="2"/>
        <v>302537.74000460689</v>
      </c>
      <c r="AE21" s="25">
        <f t="shared" si="3"/>
        <v>37817.217500575862</v>
      </c>
      <c r="AF21" s="25">
        <f t="shared" si="4"/>
        <v>0</v>
      </c>
      <c r="AG21" s="25">
        <f t="shared" si="5"/>
        <v>0</v>
      </c>
      <c r="AH21" s="29">
        <f t="shared" si="6"/>
        <v>340354.95750518277</v>
      </c>
    </row>
    <row r="22" spans="1:34" ht="15">
      <c r="A22" s="5">
        <f t="shared" si="9"/>
        <v>11</v>
      </c>
      <c r="B22" s="7">
        <v>0</v>
      </c>
      <c r="C22" s="8"/>
      <c r="D22" s="5">
        <f t="shared" si="7"/>
        <v>0</v>
      </c>
      <c r="F22" s="5" t="e">
        <f t="shared" si="8"/>
        <v>#REF!</v>
      </c>
      <c r="H22" s="41">
        <f t="shared" si="10"/>
        <v>11</v>
      </c>
      <c r="I22" s="43">
        <v>0</v>
      </c>
      <c r="J22" s="44">
        <v>0</v>
      </c>
      <c r="L22" s="5"/>
      <c r="N22" s="18">
        <v>13.5</v>
      </c>
      <c r="O22">
        <v>8</v>
      </c>
      <c r="P22">
        <v>2</v>
      </c>
      <c r="Q22">
        <v>1</v>
      </c>
      <c r="R22"/>
      <c r="S22" s="19">
        <f t="shared" si="11"/>
        <v>11</v>
      </c>
      <c r="T22"/>
      <c r="U22" s="20">
        <v>13.5</v>
      </c>
      <c r="V22" s="21">
        <f t="shared" si="12"/>
        <v>0.72727272727272729</v>
      </c>
      <c r="W22" s="21">
        <f t="shared" si="13"/>
        <v>0.18181818181818182</v>
      </c>
      <c r="X22" s="21">
        <f t="shared" si="14"/>
        <v>9.0909090909090912E-2</v>
      </c>
      <c r="Y22" s="21">
        <f t="shared" si="15"/>
        <v>0</v>
      </c>
      <c r="Z22" s="27">
        <f t="shared" si="0"/>
        <v>1</v>
      </c>
      <c r="AA22"/>
      <c r="AB22">
        <v>13.75</v>
      </c>
      <c r="AC22" s="28">
        <v>13.5</v>
      </c>
      <c r="AD22" s="25">
        <f t="shared" si="2"/>
        <v>216302.4887195965</v>
      </c>
      <c r="AE22" s="25">
        <f t="shared" si="3"/>
        <v>54075.622179899125</v>
      </c>
      <c r="AF22" s="25">
        <f t="shared" si="4"/>
        <v>27037.811089949562</v>
      </c>
      <c r="AG22" s="25">
        <f t="shared" si="5"/>
        <v>0</v>
      </c>
      <c r="AH22" s="29">
        <f t="shared" si="6"/>
        <v>297415.92198944517</v>
      </c>
    </row>
    <row r="23" spans="1:34" ht="15">
      <c r="A23" s="5">
        <f t="shared" si="9"/>
        <v>11.5</v>
      </c>
      <c r="B23" s="7">
        <v>0</v>
      </c>
      <c r="C23" s="8"/>
      <c r="D23" s="5">
        <f t="shared" si="7"/>
        <v>0</v>
      </c>
      <c r="F23" s="5" t="e">
        <f t="shared" si="8"/>
        <v>#REF!</v>
      </c>
      <c r="H23" s="41">
        <f t="shared" si="10"/>
        <v>11.5</v>
      </c>
      <c r="I23" s="43">
        <v>1935.9237245999668</v>
      </c>
      <c r="J23" s="44">
        <v>18.879715577181727</v>
      </c>
      <c r="L23" s="5"/>
      <c r="N23" s="18">
        <v>14</v>
      </c>
      <c r="O23">
        <v>9</v>
      </c>
      <c r="P23"/>
      <c r="Q23"/>
      <c r="R23"/>
      <c r="S23" s="19">
        <f t="shared" si="11"/>
        <v>9</v>
      </c>
      <c r="T23"/>
      <c r="U23" s="20">
        <v>14</v>
      </c>
      <c r="V23" s="21">
        <f t="shared" si="12"/>
        <v>1</v>
      </c>
      <c r="W23" s="21">
        <f t="shared" si="13"/>
        <v>0</v>
      </c>
      <c r="X23" s="21">
        <f t="shared" si="14"/>
        <v>0</v>
      </c>
      <c r="Y23" s="21">
        <f t="shared" si="15"/>
        <v>0</v>
      </c>
      <c r="Z23" s="27">
        <f t="shared" si="0"/>
        <v>1</v>
      </c>
      <c r="AA23"/>
      <c r="AB23">
        <v>14.25</v>
      </c>
      <c r="AC23" s="28">
        <v>14</v>
      </c>
      <c r="AD23" s="25">
        <f t="shared" si="2"/>
        <v>228555.43624716421</v>
      </c>
      <c r="AE23" s="25">
        <f t="shared" si="3"/>
        <v>0</v>
      </c>
      <c r="AF23" s="25">
        <f t="shared" si="4"/>
        <v>0</v>
      </c>
      <c r="AG23" s="25">
        <f t="shared" si="5"/>
        <v>0</v>
      </c>
      <c r="AH23" s="29">
        <f t="shared" si="6"/>
        <v>228555.43624716421</v>
      </c>
    </row>
    <row r="24" spans="1:34" ht="15">
      <c r="A24" s="5">
        <f t="shared" si="9"/>
        <v>12</v>
      </c>
      <c r="B24" s="7">
        <v>0.14285714285714299</v>
      </c>
      <c r="C24" s="8"/>
      <c r="D24" s="5">
        <f t="shared" si="7"/>
        <v>1.4804167881258512E-5</v>
      </c>
      <c r="F24" s="5" t="e">
        <f t="shared" si="8"/>
        <v>#REF!</v>
      </c>
      <c r="H24" s="41">
        <f t="shared" si="10"/>
        <v>12</v>
      </c>
      <c r="I24" s="43">
        <v>36789.125709768239</v>
      </c>
      <c r="J24" s="44">
        <v>408.86759973680137</v>
      </c>
      <c r="L24" s="5"/>
      <c r="N24" s="18">
        <v>14.5</v>
      </c>
      <c r="O24">
        <v>12</v>
      </c>
      <c r="P24">
        <v>1</v>
      </c>
      <c r="Q24">
        <v>1</v>
      </c>
      <c r="R24"/>
      <c r="S24" s="19">
        <f t="shared" si="11"/>
        <v>14</v>
      </c>
      <c r="T24"/>
      <c r="U24" s="20">
        <v>14.5</v>
      </c>
      <c r="V24" s="21">
        <f t="shared" si="12"/>
        <v>0.8571428571428571</v>
      </c>
      <c r="W24" s="21">
        <f t="shared" si="13"/>
        <v>7.1428571428571425E-2</v>
      </c>
      <c r="X24" s="21">
        <f t="shared" si="14"/>
        <v>7.1428571428571425E-2</v>
      </c>
      <c r="Y24" s="21">
        <f t="shared" si="15"/>
        <v>0</v>
      </c>
      <c r="Z24" s="27">
        <f t="shared" si="0"/>
        <v>0.99999999999999989</v>
      </c>
      <c r="AA24"/>
      <c r="AB24">
        <v>14.75</v>
      </c>
      <c r="AC24" s="28">
        <v>14.5</v>
      </c>
      <c r="AD24" s="25">
        <f t="shared" si="2"/>
        <v>231775.8500297456</v>
      </c>
      <c r="AE24" s="25">
        <f t="shared" si="3"/>
        <v>19314.654169145466</v>
      </c>
      <c r="AF24" s="25">
        <f t="shared" si="4"/>
        <v>19314.654169145466</v>
      </c>
      <c r="AG24" s="25">
        <f t="shared" si="5"/>
        <v>0</v>
      </c>
      <c r="AH24" s="29">
        <f t="shared" si="6"/>
        <v>270405.15836803656</v>
      </c>
    </row>
    <row r="25" spans="1:34" ht="15">
      <c r="A25" s="5">
        <f t="shared" si="9"/>
        <v>12.5</v>
      </c>
      <c r="B25" s="7">
        <v>0.85714285714285698</v>
      </c>
      <c r="D25" s="5">
        <f t="shared" si="7"/>
        <v>9.6224008311087067E-5</v>
      </c>
      <c r="F25" s="5" t="e">
        <f t="shared" si="8"/>
        <v>#REF!</v>
      </c>
      <c r="H25" s="41">
        <f t="shared" si="10"/>
        <v>12.5</v>
      </c>
      <c r="I25" s="43">
        <v>155966.21841980016</v>
      </c>
      <c r="J25" s="44">
        <v>1965.0741258630187</v>
      </c>
      <c r="L25" s="5"/>
      <c r="N25" s="18">
        <v>15</v>
      </c>
      <c r="O25">
        <v>9</v>
      </c>
      <c r="P25">
        <v>1</v>
      </c>
      <c r="Q25">
        <v>1</v>
      </c>
      <c r="R25"/>
      <c r="S25" s="19">
        <f t="shared" si="11"/>
        <v>11</v>
      </c>
      <c r="T25"/>
      <c r="U25" s="20">
        <v>15</v>
      </c>
      <c r="V25" s="21">
        <f t="shared" si="12"/>
        <v>0.81818181818181823</v>
      </c>
      <c r="W25" s="21">
        <f t="shared" si="13"/>
        <v>9.0909090909090912E-2</v>
      </c>
      <c r="X25" s="21">
        <f t="shared" si="14"/>
        <v>9.0909090909090912E-2</v>
      </c>
      <c r="Y25" s="21">
        <f t="shared" si="15"/>
        <v>0</v>
      </c>
      <c r="Z25" s="27">
        <f t="shared" si="0"/>
        <v>1</v>
      </c>
      <c r="AA25"/>
      <c r="AB25">
        <v>15.25</v>
      </c>
      <c r="AC25" s="28">
        <v>15</v>
      </c>
      <c r="AD25" s="25">
        <f t="shared" si="2"/>
        <v>213499.02003070721</v>
      </c>
      <c r="AE25" s="25">
        <f t="shared" si="3"/>
        <v>23722.113336745246</v>
      </c>
      <c r="AF25" s="25">
        <f t="shared" si="4"/>
        <v>23722.113336745246</v>
      </c>
      <c r="AG25" s="25">
        <f t="shared" si="5"/>
        <v>0</v>
      </c>
      <c r="AH25" s="29">
        <f t="shared" si="6"/>
        <v>260943.24670419769</v>
      </c>
    </row>
    <row r="26" spans="1:34" ht="15">
      <c r="A26" s="5">
        <f t="shared" si="9"/>
        <v>13</v>
      </c>
      <c r="B26" s="7">
        <v>2.8571428571428599</v>
      </c>
      <c r="D26" s="5">
        <f t="shared" si="7"/>
        <v>3.4639656458521583E-4</v>
      </c>
      <c r="F26" s="5" t="e">
        <f t="shared" si="8"/>
        <v>#REF!</v>
      </c>
      <c r="H26" s="41">
        <f t="shared" si="10"/>
        <v>13</v>
      </c>
      <c r="I26" s="43">
        <v>340354.95750518277</v>
      </c>
      <c r="J26" s="44">
        <v>4838.0408457907624</v>
      </c>
      <c r="L26" s="5"/>
      <c r="N26" s="18">
        <v>15.5</v>
      </c>
      <c r="O26">
        <v>10</v>
      </c>
      <c r="P26">
        <v>1</v>
      </c>
      <c r="Q26"/>
      <c r="R26"/>
      <c r="S26" s="19">
        <f t="shared" si="11"/>
        <v>11</v>
      </c>
      <c r="T26"/>
      <c r="U26" s="20">
        <v>15.5</v>
      </c>
      <c r="V26" s="21">
        <f t="shared" si="12"/>
        <v>0.90909090909090906</v>
      </c>
      <c r="W26" s="21">
        <f t="shared" si="13"/>
        <v>9.0909090909090912E-2</v>
      </c>
      <c r="X26" s="21">
        <f t="shared" si="14"/>
        <v>0</v>
      </c>
      <c r="Y26" s="21">
        <f t="shared" si="15"/>
        <v>0</v>
      </c>
      <c r="Z26" s="27">
        <f t="shared" si="0"/>
        <v>1</v>
      </c>
      <c r="AA26"/>
      <c r="AB26">
        <v>15.75</v>
      </c>
      <c r="AC26" s="28">
        <v>15.5</v>
      </c>
      <c r="AD26" s="25">
        <f t="shared" si="2"/>
        <v>223711.4820724543</v>
      </c>
      <c r="AE26" s="25">
        <f t="shared" si="3"/>
        <v>22371.148207245431</v>
      </c>
      <c r="AF26" s="25">
        <f t="shared" si="4"/>
        <v>0</v>
      </c>
      <c r="AG26" s="25">
        <f t="shared" si="5"/>
        <v>0</v>
      </c>
      <c r="AH26" s="29">
        <f t="shared" si="6"/>
        <v>246082.63027969972</v>
      </c>
    </row>
    <row r="27" spans="1:34" ht="15">
      <c r="A27" s="5">
        <f t="shared" si="9"/>
        <v>13.5</v>
      </c>
      <c r="B27" s="7">
        <v>5.0204081632653104</v>
      </c>
      <c r="D27" s="5">
        <f t="shared" si="7"/>
        <v>6.5547221567433325E-4</v>
      </c>
      <c r="F27" s="5" t="e">
        <f t="shared" si="8"/>
        <v>#REF!</v>
      </c>
      <c r="H27" s="41">
        <f t="shared" si="10"/>
        <v>13.5</v>
      </c>
      <c r="I27" s="43">
        <v>297415.92198944517</v>
      </c>
      <c r="J27" s="44">
        <v>4748.4288125999628</v>
      </c>
      <c r="L27" s="5"/>
      <c r="N27" s="18">
        <v>16</v>
      </c>
      <c r="O27">
        <v>5</v>
      </c>
      <c r="P27">
        <v>4</v>
      </c>
      <c r="Q27">
        <v>1</v>
      </c>
      <c r="R27"/>
      <c r="S27" s="19">
        <f t="shared" si="11"/>
        <v>10</v>
      </c>
      <c r="T27"/>
      <c r="U27" s="20">
        <v>16</v>
      </c>
      <c r="V27" s="21">
        <f t="shared" si="12"/>
        <v>0.5</v>
      </c>
      <c r="W27" s="21">
        <f t="shared" si="13"/>
        <v>0.4</v>
      </c>
      <c r="X27" s="21">
        <f t="shared" si="14"/>
        <v>0.1</v>
      </c>
      <c r="Y27" s="21">
        <f t="shared" si="15"/>
        <v>0</v>
      </c>
      <c r="Z27" s="27">
        <f t="shared" si="0"/>
        <v>1</v>
      </c>
      <c r="AA27"/>
      <c r="AB27">
        <v>16.25</v>
      </c>
      <c r="AC27" s="28">
        <v>16</v>
      </c>
      <c r="AD27" s="25">
        <f t="shared" si="2"/>
        <v>159566.08282878954</v>
      </c>
      <c r="AE27" s="25">
        <f t="shared" si="3"/>
        <v>127652.86626303164</v>
      </c>
      <c r="AF27" s="25">
        <f t="shared" si="4"/>
        <v>31913.21656575791</v>
      </c>
      <c r="AG27" s="25">
        <f t="shared" si="5"/>
        <v>0</v>
      </c>
      <c r="AH27" s="29">
        <f t="shared" si="6"/>
        <v>319132.16565757914</v>
      </c>
    </row>
    <row r="28" spans="1:34" ht="15">
      <c r="A28" s="5">
        <f t="shared" si="9"/>
        <v>14</v>
      </c>
      <c r="B28" s="7">
        <v>6.8979591836734704</v>
      </c>
      <c r="D28" s="5">
        <f t="shared" si="7"/>
        <v>9.6729782881053105E-4</v>
      </c>
      <c r="F28" s="5" t="e">
        <f t="shared" si="8"/>
        <v>#REF!</v>
      </c>
      <c r="H28" s="41">
        <f t="shared" si="10"/>
        <v>14</v>
      </c>
      <c r="I28" s="43">
        <v>228555.43624716421</v>
      </c>
      <c r="J28" s="44">
        <v>4081.5340667463179</v>
      </c>
      <c r="L28" s="5"/>
      <c r="N28" s="18">
        <v>16.5</v>
      </c>
      <c r="O28">
        <v>3</v>
      </c>
      <c r="P28">
        <v>6</v>
      </c>
      <c r="Q28">
        <v>1</v>
      </c>
      <c r="R28"/>
      <c r="S28" s="19">
        <f t="shared" si="11"/>
        <v>10</v>
      </c>
      <c r="T28"/>
      <c r="U28" s="20">
        <v>16.5</v>
      </c>
      <c r="V28" s="21">
        <f t="shared" si="12"/>
        <v>0.3</v>
      </c>
      <c r="W28" s="21">
        <f t="shared" si="13"/>
        <v>0.6</v>
      </c>
      <c r="X28" s="21">
        <f t="shared" si="14"/>
        <v>0.1</v>
      </c>
      <c r="Y28" s="21">
        <f t="shared" si="15"/>
        <v>0</v>
      </c>
      <c r="Z28" s="27">
        <f t="shared" si="0"/>
        <v>0.99999999999999989</v>
      </c>
      <c r="AA28"/>
      <c r="AB28">
        <v>16.75</v>
      </c>
      <c r="AC28" s="28">
        <v>16.5</v>
      </c>
      <c r="AD28" s="25">
        <f t="shared" si="2"/>
        <v>101234.03418492181</v>
      </c>
      <c r="AE28" s="25">
        <f>+W28*$I33</f>
        <v>202468.06836984362</v>
      </c>
      <c r="AF28" s="25">
        <f t="shared" si="4"/>
        <v>33744.67806164061</v>
      </c>
      <c r="AG28" s="25">
        <f t="shared" si="5"/>
        <v>0</v>
      </c>
      <c r="AH28" s="29">
        <f t="shared" si="6"/>
        <v>337446.780616406</v>
      </c>
    </row>
    <row r="29" spans="1:34" ht="15">
      <c r="A29" s="5">
        <f t="shared" si="9"/>
        <v>14.5</v>
      </c>
      <c r="B29" s="7">
        <v>9.5714285714285694</v>
      </c>
      <c r="D29" s="5">
        <f t="shared" si="7"/>
        <v>1.4380390097635464E-3</v>
      </c>
      <c r="F29" s="5" t="e">
        <f t="shared" si="8"/>
        <v>#REF!</v>
      </c>
      <c r="H29" s="41">
        <f t="shared" si="10"/>
        <v>14.5</v>
      </c>
      <c r="I29" s="43">
        <v>270405.15836803656</v>
      </c>
      <c r="J29" s="44">
        <v>5380.407921520492</v>
      </c>
      <c r="L29" s="5"/>
      <c r="N29" s="18">
        <v>17</v>
      </c>
      <c r="O29">
        <v>4</v>
      </c>
      <c r="P29">
        <v>2</v>
      </c>
      <c r="Q29">
        <v>5</v>
      </c>
      <c r="R29"/>
      <c r="S29" s="19">
        <f t="shared" si="11"/>
        <v>11</v>
      </c>
      <c r="T29"/>
      <c r="U29" s="20">
        <v>17</v>
      </c>
      <c r="V29" s="21">
        <f t="shared" si="12"/>
        <v>0.36363636363636365</v>
      </c>
      <c r="W29" s="21">
        <f t="shared" si="13"/>
        <v>0.18181818181818182</v>
      </c>
      <c r="X29" s="21">
        <f t="shared" si="14"/>
        <v>0.45454545454545453</v>
      </c>
      <c r="Y29" s="21">
        <f t="shared" si="15"/>
        <v>0</v>
      </c>
      <c r="Z29" s="27">
        <f t="shared" si="0"/>
        <v>1</v>
      </c>
      <c r="AA29"/>
      <c r="AB29">
        <v>17.25</v>
      </c>
      <c r="AC29" s="28">
        <v>17</v>
      </c>
      <c r="AD29" s="25">
        <f t="shared" si="2"/>
        <v>111552.65474922526</v>
      </c>
      <c r="AE29" s="25">
        <f t="shared" si="3"/>
        <v>55776.327374612629</v>
      </c>
      <c r="AF29" s="25">
        <f t="shared" si="4"/>
        <v>139440.81843653155</v>
      </c>
      <c r="AG29" s="25">
        <f t="shared" si="5"/>
        <v>0</v>
      </c>
      <c r="AH29" s="29">
        <f t="shared" si="6"/>
        <v>306769.80056036945</v>
      </c>
    </row>
    <row r="30" spans="1:34" ht="15">
      <c r="A30" s="5">
        <f t="shared" si="9"/>
        <v>15</v>
      </c>
      <c r="B30" s="7">
        <v>11.285714285714301</v>
      </c>
      <c r="D30" s="5">
        <f t="shared" si="7"/>
        <v>1.8125024515647117E-3</v>
      </c>
      <c r="F30" s="5" t="e">
        <f t="shared" si="8"/>
        <v>#REF!</v>
      </c>
      <c r="H30" s="41">
        <f t="shared" si="10"/>
        <v>15</v>
      </c>
      <c r="I30" s="43">
        <v>260943.24670419769</v>
      </c>
      <c r="J30" s="44">
        <v>5764.3288241005157</v>
      </c>
      <c r="L30" s="5"/>
      <c r="N30" s="18">
        <v>17.5</v>
      </c>
      <c r="O30">
        <v>1</v>
      </c>
      <c r="P30">
        <v>7</v>
      </c>
      <c r="Q30">
        <v>2</v>
      </c>
      <c r="R30"/>
      <c r="S30" s="19">
        <f t="shared" si="11"/>
        <v>10</v>
      </c>
      <c r="T30"/>
      <c r="U30" s="20">
        <v>17.5</v>
      </c>
      <c r="V30" s="21">
        <f t="shared" si="12"/>
        <v>0.1</v>
      </c>
      <c r="W30" s="21">
        <f t="shared" si="13"/>
        <v>0.7</v>
      </c>
      <c r="X30" s="21">
        <f t="shared" si="14"/>
        <v>0.2</v>
      </c>
      <c r="Y30" s="21">
        <f t="shared" si="15"/>
        <v>0</v>
      </c>
      <c r="Z30" s="27">
        <f t="shared" si="0"/>
        <v>1</v>
      </c>
      <c r="AA30"/>
      <c r="AB30">
        <v>17.75</v>
      </c>
      <c r="AC30" s="28">
        <v>17.5</v>
      </c>
      <c r="AD30" s="25">
        <f t="shared" si="2"/>
        <v>14239.613130488782</v>
      </c>
      <c r="AE30" s="25">
        <f t="shared" si="3"/>
        <v>99677.291913421475</v>
      </c>
      <c r="AF30" s="25">
        <f t="shared" si="4"/>
        <v>28479.226260977564</v>
      </c>
      <c r="AG30" s="25">
        <f t="shared" si="5"/>
        <v>0</v>
      </c>
      <c r="AH30" s="29">
        <f t="shared" si="6"/>
        <v>142396.13130488782</v>
      </c>
    </row>
    <row r="31" spans="1:34" ht="15">
      <c r="A31" s="5">
        <f t="shared" si="9"/>
        <v>15.5</v>
      </c>
      <c r="B31" s="7">
        <v>10.7959183673469</v>
      </c>
      <c r="D31" s="5">
        <f t="shared" si="7"/>
        <v>1.8493988033354023E-3</v>
      </c>
      <c r="F31" s="5" t="e">
        <f t="shared" si="8"/>
        <v>#REF!</v>
      </c>
      <c r="H31" s="41">
        <f t="shared" si="10"/>
        <v>15.5</v>
      </c>
      <c r="I31" s="43">
        <v>246082.63027969972</v>
      </c>
      <c r="J31" s="44">
        <v>6014.8007611076437</v>
      </c>
      <c r="L31" s="5"/>
      <c r="N31" s="18">
        <v>18</v>
      </c>
      <c r="O31"/>
      <c r="P31">
        <v>6</v>
      </c>
      <c r="Q31">
        <v>4</v>
      </c>
      <c r="R31">
        <v>1</v>
      </c>
      <c r="S31" s="19">
        <f t="shared" si="11"/>
        <v>11</v>
      </c>
      <c r="T31"/>
      <c r="U31" s="20">
        <v>18</v>
      </c>
      <c r="V31" s="21">
        <f t="shared" si="12"/>
        <v>0</v>
      </c>
      <c r="W31" s="21">
        <f t="shared" si="13"/>
        <v>0.54545454545454541</v>
      </c>
      <c r="X31" s="21">
        <f t="shared" si="14"/>
        <v>0.36363636363636365</v>
      </c>
      <c r="Y31" s="21">
        <f t="shared" si="15"/>
        <v>9.0909090909090912E-2</v>
      </c>
      <c r="Z31" s="27">
        <f t="shared" si="0"/>
        <v>1</v>
      </c>
      <c r="AA31"/>
      <c r="AB31">
        <v>18.25</v>
      </c>
      <c r="AC31" s="28">
        <v>18</v>
      </c>
      <c r="AD31" s="25">
        <f t="shared" si="2"/>
        <v>0</v>
      </c>
      <c r="AE31" s="25">
        <f t="shared" si="3"/>
        <v>26223.198691049187</v>
      </c>
      <c r="AF31" s="25">
        <f t="shared" si="4"/>
        <v>17482.13246069946</v>
      </c>
      <c r="AG31" s="25">
        <f t="shared" si="5"/>
        <v>4370.5331151748651</v>
      </c>
      <c r="AH31" s="29">
        <f t="shared" si="6"/>
        <v>48075.864266923512</v>
      </c>
    </row>
    <row r="32" spans="1:34" ht="15">
      <c r="A32" s="5">
        <f t="shared" si="9"/>
        <v>16</v>
      </c>
      <c r="B32" s="7">
        <v>14.2244897959184</v>
      </c>
      <c r="D32" s="5">
        <f t="shared" si="7"/>
        <v>2.5939003796589012E-3</v>
      </c>
      <c r="F32" s="5" t="e">
        <f t="shared" si="8"/>
        <v>#REF!</v>
      </c>
      <c r="H32" s="41">
        <f t="shared" si="10"/>
        <v>16</v>
      </c>
      <c r="I32" s="43">
        <v>319132.16565757908</v>
      </c>
      <c r="J32" s="44">
        <v>8603.500506163462</v>
      </c>
      <c r="L32" s="5"/>
      <c r="N32" s="18">
        <v>18.5</v>
      </c>
      <c r="O32" s="1">
        <v>1</v>
      </c>
      <c r="P32" s="1">
        <v>5</v>
      </c>
      <c r="Q32" s="1">
        <v>2</v>
      </c>
      <c r="S32" s="19">
        <f t="shared" si="11"/>
        <v>8</v>
      </c>
      <c r="U32" s="18">
        <v>18.5</v>
      </c>
      <c r="V32" s="21">
        <f t="shared" si="12"/>
        <v>0.125</v>
      </c>
      <c r="W32" s="21">
        <f t="shared" si="13"/>
        <v>0.625</v>
      </c>
      <c r="X32" s="21">
        <f t="shared" si="14"/>
        <v>0.25</v>
      </c>
      <c r="Y32" s="21">
        <f t="shared" si="15"/>
        <v>0</v>
      </c>
      <c r="Z32" s="27">
        <f t="shared" si="0"/>
        <v>1</v>
      </c>
      <c r="AA32" s="9"/>
      <c r="AB32">
        <v>18.75</v>
      </c>
      <c r="AC32" s="28">
        <v>18.5</v>
      </c>
      <c r="AD32" s="25">
        <f t="shared" si="2"/>
        <v>2804.4254155705416</v>
      </c>
      <c r="AE32" s="25">
        <f t="shared" si="3"/>
        <v>14022.127077852709</v>
      </c>
      <c r="AF32" s="25">
        <f t="shared" si="4"/>
        <v>5608.8508311410833</v>
      </c>
      <c r="AG32" s="25">
        <f t="shared" si="5"/>
        <v>0</v>
      </c>
      <c r="AH32" s="29">
        <f t="shared" si="6"/>
        <v>22435.403324564333</v>
      </c>
    </row>
    <row r="33" spans="1:34" ht="15">
      <c r="A33" s="5">
        <f t="shared" si="9"/>
        <v>16.5</v>
      </c>
      <c r="B33" s="7">
        <v>15.040816326530599</v>
      </c>
      <c r="D33" s="5">
        <f t="shared" si="7"/>
        <v>2.9141432372928183E-3</v>
      </c>
      <c r="F33" s="5" t="e">
        <f t="shared" si="8"/>
        <v>#REF!</v>
      </c>
      <c r="H33" s="41">
        <f t="shared" si="10"/>
        <v>16.5</v>
      </c>
      <c r="I33" s="43">
        <v>337446.78061640606</v>
      </c>
      <c r="J33" s="44">
        <v>10004.242104472753</v>
      </c>
      <c r="L33" s="5"/>
      <c r="N33" s="38">
        <v>19</v>
      </c>
      <c r="O33"/>
      <c r="P33"/>
      <c r="Q33">
        <v>1</v>
      </c>
      <c r="R33" s="66"/>
      <c r="S33" s="19">
        <f t="shared" si="11"/>
        <v>1</v>
      </c>
      <c r="T33"/>
      <c r="U33" s="38">
        <v>19</v>
      </c>
      <c r="V33" s="21"/>
      <c r="W33" s="21"/>
      <c r="X33" s="21">
        <f t="shared" si="14"/>
        <v>1</v>
      </c>
      <c r="Y33" s="21">
        <f t="shared" si="15"/>
        <v>0</v>
      </c>
      <c r="Z33" s="27">
        <f t="shared" si="0"/>
        <v>1</v>
      </c>
      <c r="AA33"/>
      <c r="AB33">
        <v>19.25</v>
      </c>
      <c r="AC33" s="28">
        <v>19</v>
      </c>
      <c r="AD33" s="25">
        <f>+V33*$I38</f>
        <v>0</v>
      </c>
      <c r="AE33" s="25">
        <f t="shared" si="3"/>
        <v>0</v>
      </c>
      <c r="AF33" s="25">
        <f t="shared" si="4"/>
        <v>3205.0576177949079</v>
      </c>
      <c r="AG33" s="25">
        <f t="shared" si="5"/>
        <v>0</v>
      </c>
      <c r="AH33" s="29">
        <f t="shared" si="6"/>
        <v>3205.0576177949079</v>
      </c>
    </row>
    <row r="34" spans="1:34" ht="15">
      <c r="A34" s="5">
        <f t="shared" si="9"/>
        <v>17</v>
      </c>
      <c r="B34" s="7">
        <v>13.6734693877551</v>
      </c>
      <c r="D34" s="5">
        <f t="shared" si="7"/>
        <v>2.8097442136841818E-3</v>
      </c>
      <c r="F34" s="5" t="e">
        <f t="shared" si="8"/>
        <v>#REF!</v>
      </c>
      <c r="H34" s="41">
        <f t="shared" si="10"/>
        <v>17</v>
      </c>
      <c r="I34" s="43">
        <v>306769.80056036945</v>
      </c>
      <c r="J34" s="44">
        <v>9973.5937729198668</v>
      </c>
      <c r="L34" s="5"/>
      <c r="N34" s="30" t="s">
        <v>26</v>
      </c>
      <c r="O34" s="13"/>
      <c r="P34" s="13"/>
      <c r="Q34" s="13"/>
      <c r="R34" s="13"/>
      <c r="S34" s="31"/>
      <c r="T34"/>
      <c r="U34" s="30" t="s">
        <v>26</v>
      </c>
      <c r="V34" s="13"/>
      <c r="W34" s="13"/>
      <c r="X34" s="13"/>
      <c r="Y34" s="13"/>
      <c r="Z34" s="31"/>
      <c r="AA34"/>
      <c r="AB34"/>
      <c r="AC34" s="32" t="s">
        <v>26</v>
      </c>
      <c r="AD34" s="16">
        <f>SUM(AD5:AD33)</f>
        <v>2000470.095267439</v>
      </c>
      <c r="AE34" s="16">
        <f t="shared" ref="AE34:AG34" si="16">SUM(AE5:AE33)</f>
        <v>683120.63508342253</v>
      </c>
      <c r="AF34" s="16">
        <f t="shared" si="16"/>
        <v>329948.55883038335</v>
      </c>
      <c r="AG34" s="16">
        <f t="shared" si="16"/>
        <v>4370.5331151748651</v>
      </c>
      <c r="AH34" s="33">
        <f>SUM(AH5:AH33)</f>
        <v>3017909.8222964196</v>
      </c>
    </row>
    <row r="35" spans="1:34" ht="21">
      <c r="A35" s="5">
        <f t="shared" si="9"/>
        <v>17.5</v>
      </c>
      <c r="B35" s="7">
        <v>6.3469387755101998</v>
      </c>
      <c r="D35" s="5">
        <f t="shared" si="7"/>
        <v>1.380927530196399E-3</v>
      </c>
      <c r="F35" s="5" t="e">
        <f t="shared" si="8"/>
        <v>#REF!</v>
      </c>
      <c r="H35" s="41">
        <f t="shared" si="10"/>
        <v>17.5</v>
      </c>
      <c r="I35" s="43">
        <v>142396.13130488782</v>
      </c>
      <c r="J35" s="44">
        <v>5063.5219233856742</v>
      </c>
      <c r="L35" s="5"/>
      <c r="N35" s="36"/>
      <c r="O35" s="36"/>
      <c r="P35" s="36"/>
      <c r="Q35" s="36"/>
      <c r="R35" s="36"/>
      <c r="S35" s="36"/>
      <c r="T35"/>
      <c r="U35"/>
      <c r="V35"/>
      <c r="W35"/>
      <c r="X35"/>
      <c r="Y35"/>
      <c r="Z35"/>
      <c r="AA35"/>
      <c r="AB35"/>
      <c r="AC35" s="33" t="s">
        <v>19</v>
      </c>
      <c r="AD35" s="34">
        <f>+AD34/$AH$34*100</f>
        <v>66.286609377387578</v>
      </c>
      <c r="AE35" s="34">
        <f t="shared" ref="AE35:AH35" si="17">+AE34/$AH$34*100</f>
        <v>22.635554914083393</v>
      </c>
      <c r="AF35" s="34">
        <f t="shared" si="17"/>
        <v>10.933015837408801</v>
      </c>
      <c r="AG35" s="34">
        <f t="shared" si="17"/>
        <v>0.14481987112024416</v>
      </c>
      <c r="AH35" s="34">
        <f t="shared" si="17"/>
        <v>100</v>
      </c>
    </row>
    <row r="36" spans="1:34" ht="15">
      <c r="A36" s="5">
        <f t="shared" si="9"/>
        <v>18</v>
      </c>
      <c r="B36" s="7">
        <v>2.1428571428571401</v>
      </c>
      <c r="D36" s="5">
        <f t="shared" si="7"/>
        <v>4.9286595568029845E-4</v>
      </c>
      <c r="F36" s="5" t="e">
        <f t="shared" si="8"/>
        <v>#REF!</v>
      </c>
      <c r="H36" s="41">
        <f t="shared" si="10"/>
        <v>18</v>
      </c>
      <c r="I36" s="43">
        <v>48075.864266923512</v>
      </c>
      <c r="J36" s="44">
        <v>1865.1592244448289</v>
      </c>
      <c r="L36" s="5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 s="33" t="s">
        <v>27</v>
      </c>
      <c r="AD36" s="34">
        <f>SUMPRODUCT(AB5:AB33,$AD$5:$AD$33)/AD$34</f>
        <v>14.705508719315116</v>
      </c>
      <c r="AE36" s="34">
        <f>SUMPRODUCT(AC5:AC33,$AE$5:$AE$33)/AE$34</f>
        <v>16.1193166092119</v>
      </c>
      <c r="AF36" s="34">
        <f>SUMPRODUCT(AB5:AB33,$AF$5:$AF$33)/AF$34</f>
        <v>16.666261673889359</v>
      </c>
      <c r="AG36" s="34">
        <f>SUMPRODUCT(AG5:AG33,$AB$5:$AB$33)/AG$34</f>
        <v>18.25</v>
      </c>
      <c r="AH36" s="34">
        <f>SUMPRODUCT(AH5:AH33,$AB$5:$AB$33)/AH$34</f>
        <v>15.301623426658173</v>
      </c>
    </row>
    <row r="37" spans="1:34" ht="15">
      <c r="A37" s="5">
        <f t="shared" si="9"/>
        <v>18.5</v>
      </c>
      <c r="B37" s="7">
        <v>1</v>
      </c>
      <c r="D37" s="5">
        <f t="shared" si="7"/>
        <v>2.4277972108477857E-4</v>
      </c>
      <c r="F37" s="5" t="e">
        <f t="shared" si="8"/>
        <v>#REF!</v>
      </c>
      <c r="H37" s="41">
        <f t="shared" si="10"/>
        <v>18.5</v>
      </c>
      <c r="I37" s="43">
        <v>22435.403324564333</v>
      </c>
      <c r="J37" s="44">
        <v>947.40206300656348</v>
      </c>
      <c r="L37" s="5"/>
      <c r="N37" s="37"/>
      <c r="O37" s="37"/>
      <c r="P37" s="37"/>
      <c r="Q37" s="37"/>
      <c r="R37" s="37"/>
      <c r="S37" s="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ht="15">
      <c r="A38" s="5">
        <f t="shared" si="9"/>
        <v>19</v>
      </c>
      <c r="B38" s="7">
        <v>0.14285714285714299</v>
      </c>
      <c r="D38" s="5">
        <f t="shared" si="7"/>
        <v>3.6557230890454694E-5</v>
      </c>
      <c r="F38" s="5" t="e">
        <f t="shared" si="8"/>
        <v>#REF!</v>
      </c>
      <c r="H38" s="41">
        <f t="shared" si="10"/>
        <v>19</v>
      </c>
      <c r="I38" s="43">
        <v>3205.0576177949079</v>
      </c>
      <c r="J38" s="44">
        <v>146.98705149936762</v>
      </c>
      <c r="L38" s="5"/>
      <c r="N38" s="37"/>
      <c r="O38" s="10"/>
      <c r="P38" s="10"/>
      <c r="Q38" s="10"/>
      <c r="R38" s="10"/>
      <c r="S38" s="37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ht="15">
      <c r="A39" s="5">
        <f t="shared" si="9"/>
        <v>19.5</v>
      </c>
      <c r="B39" s="7">
        <v>0</v>
      </c>
      <c r="D39" s="5">
        <f t="shared" si="7"/>
        <v>0</v>
      </c>
      <c r="F39" s="5" t="e">
        <f t="shared" si="8"/>
        <v>#REF!</v>
      </c>
      <c r="H39" s="41">
        <f t="shared" si="10"/>
        <v>19.5</v>
      </c>
      <c r="I39" s="43">
        <v>0</v>
      </c>
      <c r="J39" s="44">
        <v>0</v>
      </c>
      <c r="L39" s="5"/>
      <c r="N39" s="38"/>
      <c r="O39"/>
      <c r="P39"/>
      <c r="Q39"/>
      <c r="R39"/>
      <c r="S39" s="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ht="15">
      <c r="A40" s="5">
        <f t="shared" si="9"/>
        <v>20</v>
      </c>
      <c r="B40" s="7">
        <v>0</v>
      </c>
      <c r="D40" s="5">
        <f t="shared" si="7"/>
        <v>0</v>
      </c>
      <c r="F40" s="5" t="e">
        <f t="shared" si="8"/>
        <v>#REF!</v>
      </c>
      <c r="H40" s="41">
        <f t="shared" si="10"/>
        <v>20</v>
      </c>
      <c r="I40" s="43">
        <v>0</v>
      </c>
      <c r="J40" s="44">
        <v>0</v>
      </c>
      <c r="L40" s="5"/>
      <c r="N40" s="38"/>
      <c r="O40"/>
      <c r="P40"/>
      <c r="Q40"/>
      <c r="R40"/>
      <c r="S40" s="9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ht="21">
      <c r="A41" s="5">
        <f t="shared" si="9"/>
        <v>20.5</v>
      </c>
      <c r="B41" s="7">
        <v>0</v>
      </c>
      <c r="D41" s="5">
        <f t="shared" si="7"/>
        <v>0</v>
      </c>
      <c r="F41" s="5" t="e">
        <f t="shared" si="8"/>
        <v>#REF!</v>
      </c>
      <c r="H41" s="41">
        <f t="shared" si="10"/>
        <v>20.5</v>
      </c>
      <c r="I41" s="43">
        <v>0</v>
      </c>
      <c r="J41" s="44">
        <v>0</v>
      </c>
      <c r="L41" s="5"/>
      <c r="N41" s="38"/>
      <c r="O41"/>
      <c r="P41"/>
      <c r="Q41"/>
      <c r="R41"/>
      <c r="S41" s="9"/>
      <c r="T41"/>
      <c r="U41"/>
      <c r="V41"/>
      <c r="W41"/>
      <c r="X41"/>
      <c r="Y41"/>
      <c r="Z41"/>
      <c r="AA41"/>
      <c r="AB41"/>
      <c r="AC41" s="118" t="s">
        <v>0</v>
      </c>
      <c r="AD41" s="118"/>
      <c r="AE41" s="118"/>
      <c r="AF41" s="118"/>
      <c r="AG41" s="118"/>
      <c r="AH41" s="118"/>
    </row>
    <row r="42" spans="1:34" ht="15">
      <c r="A42" s="5">
        <f t="shared" si="9"/>
        <v>21</v>
      </c>
      <c r="B42" s="7">
        <v>0</v>
      </c>
      <c r="D42" s="5">
        <f t="shared" si="7"/>
        <v>0</v>
      </c>
      <c r="F42" s="5" t="e">
        <f t="shared" si="8"/>
        <v>#REF!</v>
      </c>
      <c r="H42" s="41">
        <f t="shared" si="10"/>
        <v>21</v>
      </c>
      <c r="I42" s="43">
        <v>0</v>
      </c>
      <c r="J42" s="44">
        <v>0</v>
      </c>
      <c r="L42" s="5"/>
      <c r="N42" s="38"/>
      <c r="O42"/>
      <c r="P42"/>
      <c r="Q42"/>
      <c r="R42"/>
      <c r="S42" s="9"/>
      <c r="T42"/>
      <c r="U42"/>
      <c r="V42"/>
      <c r="W42"/>
      <c r="X42"/>
      <c r="Y42"/>
      <c r="Z42"/>
      <c r="AA42"/>
      <c r="AB42"/>
      <c r="AC42" s="119" t="s">
        <v>28</v>
      </c>
      <c r="AD42" s="119"/>
      <c r="AE42" s="119"/>
      <c r="AF42" s="119"/>
      <c r="AG42" s="119"/>
      <c r="AH42" s="119"/>
    </row>
    <row r="43" spans="1:34" ht="15">
      <c r="A43" s="5">
        <f t="shared" si="9"/>
        <v>21.5</v>
      </c>
      <c r="B43" s="7">
        <v>0</v>
      </c>
      <c r="D43" s="5">
        <f t="shared" si="7"/>
        <v>0</v>
      </c>
      <c r="F43" s="5" t="e">
        <f t="shared" si="8"/>
        <v>#REF!</v>
      </c>
      <c r="H43" s="41">
        <f t="shared" si="10"/>
        <v>21.5</v>
      </c>
      <c r="I43" s="43">
        <v>0</v>
      </c>
      <c r="J43" s="44">
        <v>0</v>
      </c>
      <c r="L43" s="5"/>
      <c r="N43" s="38"/>
      <c r="O43"/>
      <c r="P43"/>
      <c r="Q43"/>
      <c r="R43"/>
      <c r="S43" s="9"/>
      <c r="T43"/>
      <c r="U43"/>
      <c r="V43"/>
      <c r="W43"/>
      <c r="X43"/>
      <c r="Y43"/>
      <c r="Z43"/>
      <c r="AA43"/>
      <c r="AB43"/>
      <c r="AC43" s="122" t="s">
        <v>24</v>
      </c>
      <c r="AD43" s="130" t="s">
        <v>25</v>
      </c>
      <c r="AE43" s="131"/>
      <c r="AF43" s="131"/>
      <c r="AG43" s="132"/>
      <c r="AH43" s="122" t="s">
        <v>26</v>
      </c>
    </row>
    <row r="44" spans="1:34" ht="15">
      <c r="A44" s="5">
        <f t="shared" si="9"/>
        <v>22</v>
      </c>
      <c r="B44" s="7">
        <v>0</v>
      </c>
      <c r="D44" s="5">
        <f t="shared" si="7"/>
        <v>0</v>
      </c>
      <c r="F44" s="5" t="e">
        <f t="shared" si="8"/>
        <v>#REF!</v>
      </c>
      <c r="H44" s="41">
        <f t="shared" si="10"/>
        <v>22</v>
      </c>
      <c r="I44" s="43">
        <v>0</v>
      </c>
      <c r="J44" s="44">
        <v>0</v>
      </c>
      <c r="L44" s="5"/>
      <c r="N44" s="38"/>
      <c r="O44"/>
      <c r="P44"/>
      <c r="Q44"/>
      <c r="R44"/>
      <c r="S44" s="9"/>
      <c r="T44"/>
      <c r="U44"/>
      <c r="V44"/>
      <c r="W44"/>
      <c r="X44"/>
      <c r="Y44"/>
      <c r="Z44"/>
      <c r="AA44"/>
      <c r="AB44"/>
      <c r="AC44" s="123"/>
      <c r="AD44" s="15">
        <v>1</v>
      </c>
      <c r="AE44" s="16">
        <v>2</v>
      </c>
      <c r="AF44" s="17">
        <v>3</v>
      </c>
      <c r="AG44" s="51">
        <v>4</v>
      </c>
      <c r="AH44" s="123"/>
    </row>
    <row r="45" spans="1:34" ht="15">
      <c r="H45" s="41"/>
      <c r="I45" s="43"/>
      <c r="J45" s="44"/>
      <c r="L45" s="5"/>
      <c r="N45" s="38"/>
      <c r="O45"/>
      <c r="P45"/>
      <c r="Q45"/>
      <c r="R45"/>
      <c r="S45" s="9"/>
      <c r="T45"/>
      <c r="U45"/>
      <c r="V45"/>
      <c r="W45"/>
      <c r="X45"/>
      <c r="Y45"/>
      <c r="Z45"/>
      <c r="AA45"/>
      <c r="AB45">
        <v>5.25</v>
      </c>
      <c r="AC45" s="24">
        <v>5</v>
      </c>
      <c r="AD45" s="25">
        <f>+V5*$J10</f>
        <v>0</v>
      </c>
      <c r="AE45" s="25">
        <f>+W5*$J10</f>
        <v>0</v>
      </c>
      <c r="AF45" s="25">
        <f t="shared" ref="AF45:AG45" si="18">+X5*$J10</f>
        <v>0</v>
      </c>
      <c r="AG45" s="25">
        <f t="shared" si="18"/>
        <v>0</v>
      </c>
      <c r="AH45" s="29">
        <f>SUM(AD45:AG45)</f>
        <v>0</v>
      </c>
    </row>
    <row r="46" spans="1:34" ht="15">
      <c r="A46" s="5" t="s">
        <v>3</v>
      </c>
      <c r="B46" s="5">
        <f>SUM(B10:B43)</f>
        <v>99.999999999999986</v>
      </c>
      <c r="D46" s="5">
        <f>SUM(D10:D43)</f>
        <v>1.7651053318413913E-2</v>
      </c>
      <c r="F46" s="5" t="e">
        <f>SUM(F10:F43)</f>
        <v>#REF!</v>
      </c>
      <c r="H46" s="41" t="s">
        <v>3</v>
      </c>
      <c r="I46" s="44">
        <f>+SUM(I10:I44)</f>
        <v>3017909.8222964196</v>
      </c>
      <c r="J46" s="44">
        <f>+SUM(J10:J44)</f>
        <v>69824.769318935214</v>
      </c>
      <c r="K46" s="2"/>
      <c r="N46" s="38"/>
      <c r="O46"/>
      <c r="P46"/>
      <c r="Q46"/>
      <c r="R46"/>
      <c r="S46" s="9"/>
      <c r="T46"/>
      <c r="U46"/>
      <c r="V46"/>
      <c r="W46"/>
      <c r="X46"/>
      <c r="Y46"/>
      <c r="Z46"/>
      <c r="AA46"/>
      <c r="AB46">
        <v>5.75</v>
      </c>
      <c r="AC46" s="28">
        <v>5.5</v>
      </c>
      <c r="AD46" s="25">
        <f t="shared" ref="AD46:AD73" si="19">+V6*$J11</f>
        <v>0</v>
      </c>
      <c r="AE46" s="25">
        <f t="shared" ref="AE46:AE73" si="20">+W6*$J11</f>
        <v>0</v>
      </c>
      <c r="AF46" s="25">
        <f t="shared" ref="AF46:AF73" si="21">+X6*$J11</f>
        <v>0</v>
      </c>
      <c r="AG46" s="25">
        <f t="shared" ref="AG46:AG73" si="22">+Y6*$J11</f>
        <v>0</v>
      </c>
      <c r="AH46" s="29">
        <f t="shared" ref="AH46:AH73" si="23">SUM(AD46:AG46)</f>
        <v>0</v>
      </c>
    </row>
    <row r="47" spans="1:34" ht="15">
      <c r="L47" s="4"/>
      <c r="N47" s="38"/>
      <c r="O47"/>
      <c r="P47"/>
      <c r="Q47"/>
      <c r="R47"/>
      <c r="S47" s="9"/>
      <c r="T47"/>
      <c r="U47"/>
      <c r="V47"/>
      <c r="W47"/>
      <c r="X47"/>
      <c r="Y47"/>
      <c r="Z47"/>
      <c r="AA47"/>
      <c r="AB47">
        <v>6.25</v>
      </c>
      <c r="AC47" s="28">
        <v>6</v>
      </c>
      <c r="AD47" s="25">
        <f t="shared" si="19"/>
        <v>0</v>
      </c>
      <c r="AE47" s="25">
        <f t="shared" si="20"/>
        <v>0</v>
      </c>
      <c r="AF47" s="25">
        <f t="shared" si="21"/>
        <v>0</v>
      </c>
      <c r="AG47" s="25">
        <f t="shared" si="22"/>
        <v>0</v>
      </c>
      <c r="AH47" s="29">
        <f t="shared" si="23"/>
        <v>0</v>
      </c>
    </row>
    <row r="48" spans="1:34" ht="15">
      <c r="I48" s="2">
        <v>15.933979591836735</v>
      </c>
      <c r="N48" s="38"/>
      <c r="O48"/>
      <c r="P48"/>
      <c r="Q48"/>
      <c r="R48"/>
      <c r="S48" s="9"/>
      <c r="T48"/>
      <c r="U48"/>
      <c r="V48"/>
      <c r="W48"/>
      <c r="X48"/>
      <c r="Y48"/>
      <c r="Z48"/>
      <c r="AA48"/>
      <c r="AB48">
        <v>6.75</v>
      </c>
      <c r="AC48" s="28">
        <v>6.5</v>
      </c>
      <c r="AD48" s="25">
        <f t="shared" si="19"/>
        <v>0</v>
      </c>
      <c r="AE48" s="25">
        <f t="shared" si="20"/>
        <v>0</v>
      </c>
      <c r="AF48" s="25">
        <f t="shared" si="21"/>
        <v>0</v>
      </c>
      <c r="AG48" s="25">
        <f t="shared" si="22"/>
        <v>0</v>
      </c>
      <c r="AH48" s="29">
        <f t="shared" si="23"/>
        <v>0</v>
      </c>
    </row>
    <row r="49" spans="9:34" ht="15">
      <c r="I49" s="2">
        <v>1.3069978375206255</v>
      </c>
      <c r="N49" s="38"/>
      <c r="O49"/>
      <c r="P49"/>
      <c r="Q49"/>
      <c r="R49"/>
      <c r="S49" s="9"/>
      <c r="T49"/>
      <c r="U49"/>
      <c r="V49"/>
      <c r="W49"/>
      <c r="X49"/>
      <c r="Y49"/>
      <c r="Z49"/>
      <c r="AA49"/>
      <c r="AB49">
        <v>7.25</v>
      </c>
      <c r="AC49" s="28">
        <v>7</v>
      </c>
      <c r="AD49" s="25">
        <f t="shared" si="19"/>
        <v>0</v>
      </c>
      <c r="AE49" s="25">
        <f t="shared" si="20"/>
        <v>0</v>
      </c>
      <c r="AF49" s="25">
        <f t="shared" si="21"/>
        <v>0</v>
      </c>
      <c r="AG49" s="25">
        <f t="shared" si="22"/>
        <v>0</v>
      </c>
      <c r="AH49" s="29">
        <f t="shared" si="23"/>
        <v>0</v>
      </c>
    </row>
    <row r="50" spans="9:34" ht="15">
      <c r="N50" s="38"/>
      <c r="O50"/>
      <c r="P50"/>
      <c r="Q50"/>
      <c r="R50"/>
      <c r="S50" s="9"/>
      <c r="T50"/>
      <c r="U50"/>
      <c r="V50"/>
      <c r="W50"/>
      <c r="X50"/>
      <c r="Y50"/>
      <c r="Z50"/>
      <c r="AA50"/>
      <c r="AB50">
        <v>7.75</v>
      </c>
      <c r="AC50" s="28">
        <v>7.5</v>
      </c>
      <c r="AD50" s="25">
        <f t="shared" si="19"/>
        <v>0</v>
      </c>
      <c r="AE50" s="25">
        <f t="shared" si="20"/>
        <v>0</v>
      </c>
      <c r="AF50" s="25">
        <f t="shared" si="21"/>
        <v>0</v>
      </c>
      <c r="AG50" s="25">
        <f t="shared" si="22"/>
        <v>0</v>
      </c>
      <c r="AH50" s="29">
        <f t="shared" si="23"/>
        <v>0</v>
      </c>
    </row>
    <row r="51" spans="9:34" ht="15">
      <c r="N51" s="38"/>
      <c r="O51"/>
      <c r="P51"/>
      <c r="Q51"/>
      <c r="R51"/>
      <c r="S51" s="9"/>
      <c r="T51"/>
      <c r="U51"/>
      <c r="V51"/>
      <c r="W51"/>
      <c r="X51"/>
      <c r="Y51"/>
      <c r="Z51"/>
      <c r="AA51"/>
      <c r="AB51">
        <v>8.25</v>
      </c>
      <c r="AC51" s="28">
        <v>8</v>
      </c>
      <c r="AD51" s="25">
        <f t="shared" si="19"/>
        <v>0</v>
      </c>
      <c r="AE51" s="25">
        <f t="shared" si="20"/>
        <v>0</v>
      </c>
      <c r="AF51" s="25">
        <f t="shared" si="21"/>
        <v>0</v>
      </c>
      <c r="AG51" s="25">
        <f t="shared" si="22"/>
        <v>0</v>
      </c>
      <c r="AH51" s="29">
        <f t="shared" si="23"/>
        <v>0</v>
      </c>
    </row>
    <row r="52" spans="9:34" ht="15">
      <c r="N52" s="38"/>
      <c r="O52"/>
      <c r="P52"/>
      <c r="Q52"/>
      <c r="R52"/>
      <c r="S52" s="9"/>
      <c r="T52"/>
      <c r="U52"/>
      <c r="V52"/>
      <c r="W52"/>
      <c r="X52"/>
      <c r="Y52"/>
      <c r="Z52"/>
      <c r="AA52"/>
      <c r="AB52">
        <v>8.75</v>
      </c>
      <c r="AC52" s="28">
        <v>8.5</v>
      </c>
      <c r="AD52" s="25">
        <f t="shared" si="19"/>
        <v>0</v>
      </c>
      <c r="AE52" s="25">
        <f t="shared" si="20"/>
        <v>0</v>
      </c>
      <c r="AF52" s="25">
        <f t="shared" si="21"/>
        <v>0</v>
      </c>
      <c r="AG52" s="25">
        <f t="shared" si="22"/>
        <v>0</v>
      </c>
      <c r="AH52" s="29">
        <f t="shared" si="23"/>
        <v>0</v>
      </c>
    </row>
    <row r="53" spans="9:34" ht="15">
      <c r="N53" s="38"/>
      <c r="O53"/>
      <c r="P53"/>
      <c r="Q53"/>
      <c r="R53"/>
      <c r="S53" s="9"/>
      <c r="T53"/>
      <c r="U53"/>
      <c r="V53"/>
      <c r="W53"/>
      <c r="X53"/>
      <c r="Y53"/>
      <c r="Z53"/>
      <c r="AA53"/>
      <c r="AB53">
        <v>9.25</v>
      </c>
      <c r="AC53" s="28">
        <v>9</v>
      </c>
      <c r="AD53" s="25">
        <f t="shared" si="19"/>
        <v>0</v>
      </c>
      <c r="AE53" s="25">
        <f t="shared" si="20"/>
        <v>0</v>
      </c>
      <c r="AF53" s="25">
        <f t="shared" si="21"/>
        <v>0</v>
      </c>
      <c r="AG53" s="25">
        <f t="shared" si="22"/>
        <v>0</v>
      </c>
      <c r="AH53" s="29">
        <f t="shared" si="23"/>
        <v>0</v>
      </c>
    </row>
    <row r="54" spans="9:34" ht="15">
      <c r="N54" s="38"/>
      <c r="O54"/>
      <c r="P54"/>
      <c r="Q54"/>
      <c r="R54"/>
      <c r="S54" s="9"/>
      <c r="T54"/>
      <c r="U54"/>
      <c r="V54"/>
      <c r="W54"/>
      <c r="X54"/>
      <c r="Y54"/>
      <c r="Z54"/>
      <c r="AA54"/>
      <c r="AB54">
        <v>9.75</v>
      </c>
      <c r="AC54" s="28">
        <v>9.5</v>
      </c>
      <c r="AD54" s="25">
        <f t="shared" si="19"/>
        <v>0</v>
      </c>
      <c r="AE54" s="25">
        <f t="shared" si="20"/>
        <v>0</v>
      </c>
      <c r="AF54" s="25">
        <f t="shared" si="21"/>
        <v>0</v>
      </c>
      <c r="AG54" s="25">
        <f t="shared" si="22"/>
        <v>0</v>
      </c>
      <c r="AH54" s="29">
        <f t="shared" si="23"/>
        <v>0</v>
      </c>
    </row>
    <row r="55" spans="9:34" ht="15">
      <c r="N55" s="38"/>
      <c r="O55"/>
      <c r="P55"/>
      <c r="Q55"/>
      <c r="R55"/>
      <c r="S55" s="9"/>
      <c r="T55"/>
      <c r="U55"/>
      <c r="V55"/>
      <c r="W55"/>
      <c r="X55"/>
      <c r="Y55"/>
      <c r="Z55"/>
      <c r="AA55"/>
      <c r="AB55">
        <v>10.25</v>
      </c>
      <c r="AC55" s="28">
        <v>10</v>
      </c>
      <c r="AD55" s="25">
        <f t="shared" si="19"/>
        <v>0</v>
      </c>
      <c r="AE55" s="25">
        <f t="shared" si="20"/>
        <v>0</v>
      </c>
      <c r="AF55" s="25">
        <f t="shared" si="21"/>
        <v>0</v>
      </c>
      <c r="AG55" s="25">
        <f t="shared" si="22"/>
        <v>0</v>
      </c>
      <c r="AH55" s="29">
        <f t="shared" si="23"/>
        <v>0</v>
      </c>
    </row>
    <row r="56" spans="9:34" ht="15">
      <c r="N56" s="38"/>
      <c r="O56"/>
      <c r="P56"/>
      <c r="Q56"/>
      <c r="R56"/>
      <c r="S56" s="9"/>
      <c r="T56"/>
      <c r="U56"/>
      <c r="V56"/>
      <c r="W56"/>
      <c r="X56"/>
      <c r="Y56"/>
      <c r="Z56"/>
      <c r="AA56"/>
      <c r="AB56">
        <v>10.75</v>
      </c>
      <c r="AC56" s="28">
        <v>10.5</v>
      </c>
      <c r="AD56" s="25">
        <f t="shared" si="19"/>
        <v>0</v>
      </c>
      <c r="AE56" s="25">
        <f t="shared" si="20"/>
        <v>0</v>
      </c>
      <c r="AF56" s="25">
        <f t="shared" si="21"/>
        <v>0</v>
      </c>
      <c r="AG56" s="25">
        <f t="shared" si="22"/>
        <v>0</v>
      </c>
      <c r="AH56" s="29">
        <f t="shared" si="23"/>
        <v>0</v>
      </c>
    </row>
    <row r="57" spans="9:34" ht="15">
      <c r="N57" s="38"/>
      <c r="O57"/>
      <c r="P57"/>
      <c r="Q57"/>
      <c r="R57"/>
      <c r="S57" s="9"/>
      <c r="T57"/>
      <c r="U57"/>
      <c r="V57"/>
      <c r="W57"/>
      <c r="X57"/>
      <c r="Y57"/>
      <c r="Z57"/>
      <c r="AA57"/>
      <c r="AB57">
        <v>11.25</v>
      </c>
      <c r="AC57" s="28">
        <v>11</v>
      </c>
      <c r="AD57" s="25">
        <f t="shared" si="19"/>
        <v>0</v>
      </c>
      <c r="AE57" s="25">
        <f t="shared" si="20"/>
        <v>0</v>
      </c>
      <c r="AF57" s="25">
        <f t="shared" si="21"/>
        <v>0</v>
      </c>
      <c r="AG57" s="25">
        <f t="shared" si="22"/>
        <v>0</v>
      </c>
      <c r="AH57" s="29">
        <f t="shared" si="23"/>
        <v>0</v>
      </c>
    </row>
    <row r="58" spans="9:34" ht="15">
      <c r="N58" s="38"/>
      <c r="O58"/>
      <c r="P58"/>
      <c r="Q58"/>
      <c r="R58"/>
      <c r="S58" s="9"/>
      <c r="T58"/>
      <c r="U58"/>
      <c r="V58"/>
      <c r="W58"/>
      <c r="X58"/>
      <c r="Y58"/>
      <c r="Z58"/>
      <c r="AA58"/>
      <c r="AB58">
        <v>11.75</v>
      </c>
      <c r="AC58" s="28">
        <v>11.5</v>
      </c>
      <c r="AD58" s="25">
        <f t="shared" si="19"/>
        <v>18.879715577181727</v>
      </c>
      <c r="AE58" s="25">
        <f t="shared" si="20"/>
        <v>0</v>
      </c>
      <c r="AF58" s="25">
        <f t="shared" si="21"/>
        <v>0</v>
      </c>
      <c r="AG58" s="25">
        <f t="shared" si="22"/>
        <v>0</v>
      </c>
      <c r="AH58" s="29">
        <f t="shared" si="23"/>
        <v>18.879715577181727</v>
      </c>
    </row>
    <row r="59" spans="9:34" ht="15">
      <c r="N59" s="38"/>
      <c r="O59"/>
      <c r="P59"/>
      <c r="Q59"/>
      <c r="R59"/>
      <c r="S59" s="9"/>
      <c r="T59"/>
      <c r="U59"/>
      <c r="V59"/>
      <c r="W59"/>
      <c r="X59"/>
      <c r="Y59"/>
      <c r="Z59"/>
      <c r="AA59"/>
      <c r="AB59">
        <v>12.25</v>
      </c>
      <c r="AC59" s="28">
        <v>12</v>
      </c>
      <c r="AD59" s="25">
        <f t="shared" si="19"/>
        <v>408.86759973680137</v>
      </c>
      <c r="AE59" s="25">
        <f t="shared" si="20"/>
        <v>0</v>
      </c>
      <c r="AF59" s="25">
        <f t="shared" si="21"/>
        <v>0</v>
      </c>
      <c r="AG59" s="25">
        <f t="shared" si="22"/>
        <v>0</v>
      </c>
      <c r="AH59" s="29">
        <f t="shared" si="23"/>
        <v>408.86759973680137</v>
      </c>
    </row>
    <row r="60" spans="9:34" ht="15">
      <c r="N60" s="38"/>
      <c r="O60"/>
      <c r="P60"/>
      <c r="Q60"/>
      <c r="R60"/>
      <c r="S60" s="9"/>
      <c r="T60"/>
      <c r="U60"/>
      <c r="V60"/>
      <c r="W60"/>
      <c r="X60"/>
      <c r="Y60"/>
      <c r="Z60"/>
      <c r="AA60"/>
      <c r="AB60">
        <v>12.75</v>
      </c>
      <c r="AC60" s="28">
        <v>12.5</v>
      </c>
      <c r="AD60" s="25">
        <f t="shared" si="19"/>
        <v>1965.0741258630187</v>
      </c>
      <c r="AE60" s="25">
        <f t="shared" si="20"/>
        <v>0</v>
      </c>
      <c r="AF60" s="25">
        <f t="shared" si="21"/>
        <v>0</v>
      </c>
      <c r="AG60" s="25">
        <f t="shared" si="22"/>
        <v>0</v>
      </c>
      <c r="AH60" s="29">
        <f t="shared" si="23"/>
        <v>1965.0741258630187</v>
      </c>
    </row>
    <row r="61" spans="9:34" ht="15">
      <c r="N61" s="38"/>
      <c r="O61"/>
      <c r="P61"/>
      <c r="Q61"/>
      <c r="R61"/>
      <c r="S61" s="9"/>
      <c r="T61"/>
      <c r="U61"/>
      <c r="V61"/>
      <c r="W61"/>
      <c r="X61"/>
      <c r="Y61"/>
      <c r="Z61"/>
      <c r="AA61"/>
      <c r="AB61">
        <v>13.25</v>
      </c>
      <c r="AC61" s="28">
        <v>13</v>
      </c>
      <c r="AD61" s="25">
        <f t="shared" si="19"/>
        <v>4300.4807518140105</v>
      </c>
      <c r="AE61" s="25">
        <f t="shared" si="20"/>
        <v>537.56009397675132</v>
      </c>
      <c r="AF61" s="25">
        <f t="shared" si="21"/>
        <v>0</v>
      </c>
      <c r="AG61" s="25">
        <f t="shared" si="22"/>
        <v>0</v>
      </c>
      <c r="AH61" s="29">
        <f t="shared" si="23"/>
        <v>4838.0408457907615</v>
      </c>
    </row>
    <row r="62" spans="9:34" ht="15">
      <c r="N62" s="38"/>
      <c r="O62"/>
      <c r="P62"/>
      <c r="Q62"/>
      <c r="R62"/>
      <c r="S62" s="9"/>
      <c r="T62"/>
      <c r="U62"/>
      <c r="V62"/>
      <c r="W62"/>
      <c r="X62"/>
      <c r="Y62"/>
      <c r="Z62"/>
      <c r="AA62"/>
      <c r="AB62">
        <v>13.75</v>
      </c>
      <c r="AC62" s="28">
        <v>13.5</v>
      </c>
      <c r="AD62" s="25">
        <f t="shared" si="19"/>
        <v>3453.4027727999733</v>
      </c>
      <c r="AE62" s="25">
        <f t="shared" si="20"/>
        <v>863.35069319999332</v>
      </c>
      <c r="AF62" s="25">
        <f t="shared" si="21"/>
        <v>431.67534659999666</v>
      </c>
      <c r="AG62" s="25">
        <f t="shared" si="22"/>
        <v>0</v>
      </c>
      <c r="AH62" s="29">
        <f t="shared" si="23"/>
        <v>4748.4288125999628</v>
      </c>
    </row>
    <row r="63" spans="9:34" ht="15">
      <c r="N63" s="38"/>
      <c r="O63"/>
      <c r="P63"/>
      <c r="Q63"/>
      <c r="R63"/>
      <c r="S63" s="9"/>
      <c r="T63"/>
      <c r="U63"/>
      <c r="V63"/>
      <c r="W63"/>
      <c r="X63"/>
      <c r="Y63"/>
      <c r="Z63"/>
      <c r="AA63"/>
      <c r="AB63">
        <v>14.25</v>
      </c>
      <c r="AC63" s="28">
        <v>14</v>
      </c>
      <c r="AD63" s="25">
        <f t="shared" si="19"/>
        <v>4081.5340667463179</v>
      </c>
      <c r="AE63" s="25">
        <f t="shared" si="20"/>
        <v>0</v>
      </c>
      <c r="AF63" s="25">
        <f t="shared" si="21"/>
        <v>0</v>
      </c>
      <c r="AG63" s="25">
        <f t="shared" si="22"/>
        <v>0</v>
      </c>
      <c r="AH63" s="29">
        <f t="shared" si="23"/>
        <v>4081.5340667463179</v>
      </c>
    </row>
    <row r="64" spans="9:34" ht="15">
      <c r="N64" s="38"/>
      <c r="O64"/>
      <c r="P64"/>
      <c r="Q64"/>
      <c r="R64"/>
      <c r="S64" s="9"/>
      <c r="T64"/>
      <c r="U64"/>
      <c r="V64"/>
      <c r="W64"/>
      <c r="X64"/>
      <c r="Y64"/>
      <c r="Z64"/>
      <c r="AA64"/>
      <c r="AB64">
        <v>14.75</v>
      </c>
      <c r="AC64" s="28">
        <v>14.5</v>
      </c>
      <c r="AD64" s="25">
        <f t="shared" si="19"/>
        <v>4611.7782184461357</v>
      </c>
      <c r="AE64" s="25">
        <f t="shared" si="20"/>
        <v>384.31485153717796</v>
      </c>
      <c r="AF64" s="25">
        <f t="shared" si="21"/>
        <v>384.31485153717796</v>
      </c>
      <c r="AG64" s="25">
        <f t="shared" si="22"/>
        <v>0</v>
      </c>
      <c r="AH64" s="29">
        <f t="shared" si="23"/>
        <v>5380.4079215204911</v>
      </c>
    </row>
    <row r="65" spans="14:34" ht="15">
      <c r="N65" s="38"/>
      <c r="O65"/>
      <c r="P65"/>
      <c r="Q65"/>
      <c r="R65"/>
      <c r="S65" s="9"/>
      <c r="T65"/>
      <c r="U65"/>
      <c r="V65"/>
      <c r="W65"/>
      <c r="X65"/>
      <c r="Y65"/>
      <c r="Z65"/>
      <c r="AA65"/>
      <c r="AB65">
        <v>15.25</v>
      </c>
      <c r="AC65" s="28">
        <v>15</v>
      </c>
      <c r="AD65" s="25">
        <f t="shared" si="19"/>
        <v>4716.2690379004225</v>
      </c>
      <c r="AE65" s="25">
        <f t="shared" si="20"/>
        <v>524.02989310004693</v>
      </c>
      <c r="AF65" s="25">
        <f t="shared" si="21"/>
        <v>524.02989310004693</v>
      </c>
      <c r="AG65" s="25">
        <f t="shared" si="22"/>
        <v>0</v>
      </c>
      <c r="AH65" s="29">
        <f t="shared" si="23"/>
        <v>5764.3288241005166</v>
      </c>
    </row>
    <row r="66" spans="14:34" ht="15">
      <c r="N66" s="10"/>
      <c r="O66" s="9"/>
      <c r="P66" s="9"/>
      <c r="Q66" s="9"/>
      <c r="R66" s="9"/>
      <c r="S66" s="9"/>
      <c r="T66"/>
      <c r="U66"/>
      <c r="V66"/>
      <c r="W66"/>
      <c r="X66"/>
      <c r="Y66"/>
      <c r="Z66"/>
      <c r="AA66"/>
      <c r="AB66">
        <v>15.75</v>
      </c>
      <c r="AC66" s="28">
        <v>15.5</v>
      </c>
      <c r="AD66" s="25">
        <f t="shared" si="19"/>
        <v>5468.0006919160396</v>
      </c>
      <c r="AE66" s="25">
        <f t="shared" si="20"/>
        <v>546.80006919160394</v>
      </c>
      <c r="AF66" s="25">
        <f t="shared" si="21"/>
        <v>0</v>
      </c>
      <c r="AG66" s="25">
        <f t="shared" si="22"/>
        <v>0</v>
      </c>
      <c r="AH66" s="29">
        <f t="shared" si="23"/>
        <v>6014.8007611076437</v>
      </c>
    </row>
    <row r="67" spans="14:34" ht="15"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>
        <v>16.25</v>
      </c>
      <c r="AC67" s="28">
        <v>16</v>
      </c>
      <c r="AD67" s="25">
        <f t="shared" si="19"/>
        <v>4301.750253081731</v>
      </c>
      <c r="AE67" s="25">
        <f t="shared" si="20"/>
        <v>3441.4002024653851</v>
      </c>
      <c r="AF67" s="25">
        <f t="shared" si="21"/>
        <v>860.35005061634627</v>
      </c>
      <c r="AG67" s="25">
        <f t="shared" si="22"/>
        <v>0</v>
      </c>
      <c r="AH67" s="29">
        <f t="shared" si="23"/>
        <v>8603.500506163462</v>
      </c>
    </row>
    <row r="68" spans="14:34" ht="15"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>
        <v>16.75</v>
      </c>
      <c r="AC68" s="28">
        <v>16.5</v>
      </c>
      <c r="AD68" s="25">
        <f t="shared" si="19"/>
        <v>3001.2726313418257</v>
      </c>
      <c r="AE68" s="25">
        <f t="shared" si="20"/>
        <v>6002.5452626836513</v>
      </c>
      <c r="AF68" s="25">
        <f t="shared" si="21"/>
        <v>1000.4242104472753</v>
      </c>
      <c r="AG68" s="25">
        <f t="shared" si="22"/>
        <v>0</v>
      </c>
      <c r="AH68" s="29">
        <f t="shared" si="23"/>
        <v>10004.242104472753</v>
      </c>
    </row>
    <row r="69" spans="14:34" ht="15"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>
        <v>17.25</v>
      </c>
      <c r="AC69" s="28">
        <v>17</v>
      </c>
      <c r="AD69" s="25">
        <f t="shared" si="19"/>
        <v>3626.7613719708606</v>
      </c>
      <c r="AE69" s="25">
        <f t="shared" si="20"/>
        <v>1813.3806859854303</v>
      </c>
      <c r="AF69" s="25">
        <f t="shared" si="21"/>
        <v>4533.4517149635758</v>
      </c>
      <c r="AG69" s="25">
        <f t="shared" si="22"/>
        <v>0</v>
      </c>
      <c r="AH69" s="29">
        <f t="shared" si="23"/>
        <v>9973.5937729198668</v>
      </c>
    </row>
    <row r="70" spans="14:34" ht="15"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>
        <v>17.75</v>
      </c>
      <c r="AC70" s="28">
        <v>17.5</v>
      </c>
      <c r="AD70" s="25">
        <f t="shared" si="19"/>
        <v>506.35219233856742</v>
      </c>
      <c r="AE70" s="25">
        <f t="shared" si="20"/>
        <v>3544.4653463699719</v>
      </c>
      <c r="AF70" s="25">
        <f t="shared" si="21"/>
        <v>1012.7043846771348</v>
      </c>
      <c r="AG70" s="25">
        <f t="shared" si="22"/>
        <v>0</v>
      </c>
      <c r="AH70" s="29">
        <f t="shared" si="23"/>
        <v>5063.5219233856742</v>
      </c>
    </row>
    <row r="71" spans="14:34" ht="15"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>
        <v>18.25</v>
      </c>
      <c r="AC71" s="28">
        <v>18</v>
      </c>
      <c r="AD71" s="25">
        <f t="shared" si="19"/>
        <v>0</v>
      </c>
      <c r="AE71" s="25">
        <f t="shared" si="20"/>
        <v>1017.3595769699066</v>
      </c>
      <c r="AF71" s="25">
        <f t="shared" si="21"/>
        <v>678.23971797993784</v>
      </c>
      <c r="AG71" s="25">
        <f t="shared" si="22"/>
        <v>169.55992949498446</v>
      </c>
      <c r="AH71" s="29">
        <f t="shared" si="23"/>
        <v>1865.1592244448291</v>
      </c>
    </row>
    <row r="72" spans="14:34" ht="15"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>
        <v>18.75</v>
      </c>
      <c r="AC72" s="28">
        <v>18.5</v>
      </c>
      <c r="AD72" s="25">
        <f t="shared" si="19"/>
        <v>118.42525787582044</v>
      </c>
      <c r="AE72" s="25">
        <f t="shared" si="20"/>
        <v>592.12628937910222</v>
      </c>
      <c r="AF72" s="25">
        <f t="shared" si="21"/>
        <v>236.85051575164087</v>
      </c>
      <c r="AG72" s="25">
        <f t="shared" si="22"/>
        <v>0</v>
      </c>
      <c r="AH72" s="29">
        <f t="shared" si="23"/>
        <v>947.40206300656348</v>
      </c>
    </row>
    <row r="73" spans="14:34" ht="15">
      <c r="AB73">
        <v>19.25</v>
      </c>
      <c r="AC73" s="28">
        <v>19</v>
      </c>
      <c r="AD73" s="25">
        <f t="shared" si="19"/>
        <v>0</v>
      </c>
      <c r="AE73" s="25">
        <f t="shared" si="20"/>
        <v>0</v>
      </c>
      <c r="AF73" s="25">
        <f t="shared" si="21"/>
        <v>146.98705149936762</v>
      </c>
      <c r="AG73" s="25">
        <f t="shared" si="22"/>
        <v>0</v>
      </c>
      <c r="AH73" s="29">
        <f t="shared" si="23"/>
        <v>146.98705149936762</v>
      </c>
    </row>
    <row r="74" spans="14:34" ht="15">
      <c r="AC74" s="32" t="s">
        <v>26</v>
      </c>
      <c r="AD74" s="16">
        <f>SUM(AD45:AD73)</f>
        <v>40578.848687408703</v>
      </c>
      <c r="AE74" s="16">
        <f t="shared" ref="AE74:AH74" si="24">SUM(AE45:AE73)</f>
        <v>19267.332964859022</v>
      </c>
      <c r="AF74" s="16">
        <f t="shared" si="24"/>
        <v>9809.0277371724987</v>
      </c>
      <c r="AG74" s="16">
        <f t="shared" si="24"/>
        <v>169.55992949498446</v>
      </c>
      <c r="AH74" s="16">
        <f t="shared" si="24"/>
        <v>69824.769318935214</v>
      </c>
    </row>
    <row r="75" spans="14:34" ht="15">
      <c r="AC75" s="33" t="s">
        <v>19</v>
      </c>
      <c r="AD75" s="34">
        <f>+AD74/$AH$74*100</f>
        <v>58.115263513522919</v>
      </c>
      <c r="AE75" s="34">
        <f t="shared" ref="AE75:AH75" si="25">+AE74/$AH$74*100</f>
        <v>27.593836904569724</v>
      </c>
      <c r="AF75" s="34">
        <f t="shared" si="25"/>
        <v>14.048063220041987</v>
      </c>
      <c r="AG75" s="34">
        <f t="shared" si="25"/>
        <v>0.24283636186536298</v>
      </c>
      <c r="AH75" s="34">
        <f t="shared" si="25"/>
        <v>100</v>
      </c>
    </row>
    <row r="76" spans="14:34" ht="15">
      <c r="AC76" s="53" t="s">
        <v>33</v>
      </c>
      <c r="AD76" s="54">
        <f>AD74/AD34*1000</f>
        <v>20.284656483197164</v>
      </c>
      <c r="AE76" s="54">
        <f t="shared" ref="AE76:AH76" si="26">AE74/AE34*1000</f>
        <v>28.204876233179665</v>
      </c>
      <c r="AF76" s="54">
        <f t="shared" si="26"/>
        <v>29.728960696006634</v>
      </c>
      <c r="AG76" s="54">
        <f t="shared" si="26"/>
        <v>38.796166286043658</v>
      </c>
      <c r="AH76" s="54">
        <f t="shared" si="26"/>
        <v>23.136797793978953</v>
      </c>
    </row>
  </sheetData>
  <mergeCells count="18">
    <mergeCell ref="AC41:AH41"/>
    <mergeCell ref="AC42:AH42"/>
    <mergeCell ref="AC43:AC44"/>
    <mergeCell ref="AH43:AH44"/>
    <mergeCell ref="O3:R3"/>
    <mergeCell ref="V3:Y3"/>
    <mergeCell ref="AD3:AG3"/>
    <mergeCell ref="AD43:AG43"/>
    <mergeCell ref="AC3:AC4"/>
    <mergeCell ref="N1:S1"/>
    <mergeCell ref="U1:Z1"/>
    <mergeCell ref="AC1:AH1"/>
    <mergeCell ref="AC2:AH2"/>
    <mergeCell ref="N3:N4"/>
    <mergeCell ref="S3:S4"/>
    <mergeCell ref="U3:U4"/>
    <mergeCell ref="Z3:Z4"/>
    <mergeCell ref="AH3:AH4"/>
  </mergeCells>
  <pageMargins left="0.74999999999999989" right="0.74999999999999989" top="1.295275590551181" bottom="1.295275590551181" header="1" footer="1"/>
  <pageSetup paperSize="9" fitToWidth="0" fitToHeight="0" pageOrder="overThenDown" orientation="portrait" r:id="rId1"/>
  <headerFooter alignWithMargins="0"/>
  <ignoredErrors>
    <ignoredError sqref="S17:S3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76"/>
  <sheetViews>
    <sheetView zoomScale="85" zoomScaleNormal="85" workbookViewId="0">
      <selection activeCell="V18" sqref="V18:AA36"/>
    </sheetView>
  </sheetViews>
  <sheetFormatPr baseColWidth="10" defaultColWidth="9" defaultRowHeight="13"/>
  <cols>
    <col min="1" max="1" width="12.59765625" bestFit="1" customWidth="1"/>
    <col min="2" max="3" width="14.19921875" style="1" bestFit="1" customWidth="1"/>
    <col min="4" max="4" width="10.3984375" style="1" customWidth="1"/>
    <col min="5" max="61" width="11.59765625" style="1" customWidth="1"/>
  </cols>
  <sheetData>
    <row r="1" spans="1:27" ht="21">
      <c r="B1" s="1" t="s">
        <v>6</v>
      </c>
      <c r="C1" s="1" t="s">
        <v>7</v>
      </c>
      <c r="G1" s="117" t="s">
        <v>1</v>
      </c>
      <c r="H1" s="117"/>
      <c r="I1" s="117"/>
      <c r="J1" s="117"/>
      <c r="K1" s="117"/>
      <c r="L1" s="117"/>
      <c r="M1"/>
      <c r="N1" s="117" t="s">
        <v>1</v>
      </c>
      <c r="O1" s="117"/>
      <c r="P1" s="117"/>
      <c r="Q1" s="117"/>
      <c r="R1" s="117"/>
      <c r="S1" s="117"/>
      <c r="T1" s="9"/>
      <c r="U1"/>
      <c r="V1" s="118" t="s">
        <v>1</v>
      </c>
      <c r="W1" s="118"/>
      <c r="X1" s="118"/>
      <c r="Y1" s="118"/>
      <c r="Z1" s="118"/>
      <c r="AA1" s="118"/>
    </row>
    <row r="2" spans="1:27" ht="15">
      <c r="B2" s="2" t="e">
        <f>+#REF!+#REF!</f>
        <v>#REF!</v>
      </c>
      <c r="C2" s="2" t="e">
        <f>+#REF!+#REF!</f>
        <v>#REF!</v>
      </c>
      <c r="G2"/>
      <c r="H2"/>
      <c r="I2" s="46" t="s">
        <v>29</v>
      </c>
      <c r="J2"/>
      <c r="K2"/>
      <c r="L2"/>
      <c r="M2"/>
      <c r="N2" s="9"/>
      <c r="O2" s="9"/>
      <c r="P2" s="10" t="s">
        <v>19</v>
      </c>
      <c r="Q2" s="9"/>
      <c r="R2" s="9"/>
      <c r="S2" s="9"/>
      <c r="T2" s="9"/>
      <c r="U2"/>
      <c r="V2" s="119" t="s">
        <v>23</v>
      </c>
      <c r="W2" s="119"/>
      <c r="X2" s="119"/>
      <c r="Y2" s="119"/>
      <c r="Z2" s="119"/>
      <c r="AA2" s="119"/>
    </row>
    <row r="3" spans="1:27" ht="15">
      <c r="G3" s="120" t="s">
        <v>24</v>
      </c>
      <c r="H3" s="124" t="s">
        <v>25</v>
      </c>
      <c r="I3" s="125"/>
      <c r="J3" s="125"/>
      <c r="K3" s="126"/>
      <c r="L3" s="120" t="s">
        <v>26</v>
      </c>
      <c r="M3"/>
      <c r="N3" s="120" t="s">
        <v>24</v>
      </c>
      <c r="O3" s="127" t="s">
        <v>25</v>
      </c>
      <c r="P3" s="128"/>
      <c r="Q3" s="128"/>
      <c r="R3" s="129"/>
      <c r="S3" s="120" t="s">
        <v>26</v>
      </c>
      <c r="T3" s="10"/>
      <c r="U3"/>
      <c r="V3" s="122" t="s">
        <v>24</v>
      </c>
      <c r="W3" s="130" t="s">
        <v>25</v>
      </c>
      <c r="X3" s="131"/>
      <c r="Y3" s="131"/>
      <c r="Z3" s="132"/>
      <c r="AA3" s="122" t="s">
        <v>26</v>
      </c>
    </row>
    <row r="4" spans="1:27" ht="15">
      <c r="A4" s="41" t="s">
        <v>20</v>
      </c>
      <c r="B4" s="41" t="s">
        <v>21</v>
      </c>
      <c r="C4" s="41" t="s">
        <v>22</v>
      </c>
      <c r="G4" s="121"/>
      <c r="H4" s="11">
        <v>1</v>
      </c>
      <c r="I4" s="11">
        <v>2</v>
      </c>
      <c r="J4" s="11">
        <v>3</v>
      </c>
      <c r="K4" s="11">
        <v>4</v>
      </c>
      <c r="L4" s="121"/>
      <c r="M4"/>
      <c r="N4" s="121"/>
      <c r="O4" s="12">
        <v>1</v>
      </c>
      <c r="P4" s="13">
        <v>2</v>
      </c>
      <c r="Q4" s="14">
        <v>3</v>
      </c>
      <c r="R4" s="50">
        <v>4</v>
      </c>
      <c r="S4" s="121"/>
      <c r="T4" s="10"/>
      <c r="U4"/>
      <c r="V4" s="123"/>
      <c r="W4" s="15">
        <v>1</v>
      </c>
      <c r="X4" s="16">
        <v>2</v>
      </c>
      <c r="Y4" s="17">
        <v>3</v>
      </c>
      <c r="Z4" s="51">
        <v>4</v>
      </c>
      <c r="AA4" s="123"/>
    </row>
    <row r="5" spans="1:27" ht="15">
      <c r="A5" s="42">
        <v>5</v>
      </c>
      <c r="B5" s="43">
        <v>0</v>
      </c>
      <c r="C5" s="43">
        <v>0</v>
      </c>
      <c r="E5" s="7">
        <f>+B5/1000</f>
        <v>0</v>
      </c>
      <c r="G5" s="18">
        <v>5</v>
      </c>
      <c r="H5"/>
      <c r="I5"/>
      <c r="J5"/>
      <c r="K5"/>
      <c r="L5" s="19">
        <f>+SUM(H5:K5)</f>
        <v>0</v>
      </c>
      <c r="M5"/>
      <c r="N5" s="20">
        <v>5</v>
      </c>
      <c r="O5" s="21"/>
      <c r="P5" s="21"/>
      <c r="Q5" s="21"/>
      <c r="R5" s="21"/>
      <c r="S5" s="27"/>
      <c r="T5" s="23"/>
      <c r="U5">
        <v>5.25</v>
      </c>
      <c r="V5" s="24">
        <v>5</v>
      </c>
      <c r="W5" s="25">
        <f>+O5*$B5</f>
        <v>0</v>
      </c>
      <c r="X5" s="25">
        <f t="shared" ref="X5:Z5" si="0">+P5*$B5</f>
        <v>0</v>
      </c>
      <c r="Y5" s="25">
        <f t="shared" si="0"/>
        <v>0</v>
      </c>
      <c r="Z5" s="25">
        <f t="shared" si="0"/>
        <v>0</v>
      </c>
      <c r="AA5" s="29">
        <f>SUM(W5:Z5)</f>
        <v>0</v>
      </c>
    </row>
    <row r="6" spans="1:27" ht="15">
      <c r="A6" s="42">
        <f t="shared" ref="A6:A39" si="1">A5+0.5</f>
        <v>5.5</v>
      </c>
      <c r="B6" s="43">
        <v>0</v>
      </c>
      <c r="C6" s="43">
        <v>0</v>
      </c>
      <c r="E6" s="7">
        <f t="shared" ref="E6:E39" si="2">+B6/1000</f>
        <v>0</v>
      </c>
      <c r="G6" s="18">
        <v>5.5</v>
      </c>
      <c r="H6"/>
      <c r="I6"/>
      <c r="J6"/>
      <c r="K6"/>
      <c r="L6" s="19">
        <f t="shared" ref="L6:L33" si="3">+SUM(H6:K6)</f>
        <v>0</v>
      </c>
      <c r="M6"/>
      <c r="N6" s="20">
        <v>5.5</v>
      </c>
      <c r="O6" s="21"/>
      <c r="P6" s="21"/>
      <c r="Q6" s="21"/>
      <c r="R6" s="21"/>
      <c r="S6" s="27"/>
      <c r="T6"/>
      <c r="U6">
        <v>5.75</v>
      </c>
      <c r="V6" s="28">
        <v>5.5</v>
      </c>
      <c r="W6" s="25">
        <f t="shared" ref="W6:W33" si="4">+O6*$B6</f>
        <v>0</v>
      </c>
      <c r="X6" s="25">
        <f t="shared" ref="X6:X33" si="5">+P6*$B6</f>
        <v>0</v>
      </c>
      <c r="Y6" s="25">
        <f t="shared" ref="Y6:Y33" si="6">+Q6*$B6</f>
        <v>0</v>
      </c>
      <c r="Z6" s="25">
        <f t="shared" ref="Z6:Z33" si="7">+R6*$B6</f>
        <v>0</v>
      </c>
      <c r="AA6" s="29">
        <f t="shared" ref="AA6:AA33" si="8">SUM(W6:Z6)</f>
        <v>0</v>
      </c>
    </row>
    <row r="7" spans="1:27" ht="15">
      <c r="A7" s="42">
        <f t="shared" si="1"/>
        <v>6</v>
      </c>
      <c r="B7" s="43">
        <v>0</v>
      </c>
      <c r="C7" s="43">
        <v>0</v>
      </c>
      <c r="E7" s="7">
        <f t="shared" si="2"/>
        <v>0</v>
      </c>
      <c r="G7" s="18">
        <v>6</v>
      </c>
      <c r="H7"/>
      <c r="I7"/>
      <c r="J7"/>
      <c r="K7"/>
      <c r="L7" s="19">
        <f t="shared" si="3"/>
        <v>0</v>
      </c>
      <c r="M7"/>
      <c r="N7" s="20">
        <v>6</v>
      </c>
      <c r="O7" s="21"/>
      <c r="P7" s="21"/>
      <c r="Q7" s="21"/>
      <c r="R7" s="21"/>
      <c r="S7" s="27"/>
      <c r="T7"/>
      <c r="U7">
        <v>6.25</v>
      </c>
      <c r="V7" s="28">
        <v>6</v>
      </c>
      <c r="W7" s="25">
        <f t="shared" si="4"/>
        <v>0</v>
      </c>
      <c r="X7" s="25">
        <f t="shared" si="5"/>
        <v>0</v>
      </c>
      <c r="Y7" s="25">
        <f t="shared" si="6"/>
        <v>0</v>
      </c>
      <c r="Z7" s="25">
        <f t="shared" si="7"/>
        <v>0</v>
      </c>
      <c r="AA7" s="29">
        <f t="shared" si="8"/>
        <v>0</v>
      </c>
    </row>
    <row r="8" spans="1:27" ht="15">
      <c r="A8" s="42">
        <f t="shared" si="1"/>
        <v>6.5</v>
      </c>
      <c r="B8" s="43">
        <v>0</v>
      </c>
      <c r="C8" s="43">
        <v>0</v>
      </c>
      <c r="E8" s="7">
        <f t="shared" si="2"/>
        <v>0</v>
      </c>
      <c r="G8" s="18">
        <v>6.5</v>
      </c>
      <c r="H8"/>
      <c r="I8"/>
      <c r="J8"/>
      <c r="K8"/>
      <c r="L8" s="19">
        <f t="shared" si="3"/>
        <v>0</v>
      </c>
      <c r="M8"/>
      <c r="N8" s="20">
        <v>6.5</v>
      </c>
      <c r="O8" s="21"/>
      <c r="P8" s="21"/>
      <c r="Q8" s="21"/>
      <c r="R8" s="21"/>
      <c r="S8" s="27"/>
      <c r="T8"/>
      <c r="U8">
        <v>6.75</v>
      </c>
      <c r="V8" s="28">
        <v>6.5</v>
      </c>
      <c r="W8" s="25">
        <f t="shared" si="4"/>
        <v>0</v>
      </c>
      <c r="X8" s="25">
        <f t="shared" si="5"/>
        <v>0</v>
      </c>
      <c r="Y8" s="25">
        <f t="shared" si="6"/>
        <v>0</v>
      </c>
      <c r="Z8" s="25">
        <f t="shared" si="7"/>
        <v>0</v>
      </c>
      <c r="AA8" s="29">
        <f t="shared" si="8"/>
        <v>0</v>
      </c>
    </row>
    <row r="9" spans="1:27" ht="15">
      <c r="A9" s="42">
        <f t="shared" si="1"/>
        <v>7</v>
      </c>
      <c r="B9" s="43">
        <v>0</v>
      </c>
      <c r="C9" s="43">
        <v>0</v>
      </c>
      <c r="E9" s="7">
        <f t="shared" si="2"/>
        <v>0</v>
      </c>
      <c r="G9" s="18">
        <v>7</v>
      </c>
      <c r="H9"/>
      <c r="I9"/>
      <c r="J9"/>
      <c r="K9"/>
      <c r="L9" s="19">
        <f t="shared" si="3"/>
        <v>0</v>
      </c>
      <c r="M9"/>
      <c r="N9" s="20">
        <v>7</v>
      </c>
      <c r="O9" s="21"/>
      <c r="P9" s="21"/>
      <c r="Q9" s="21"/>
      <c r="R9" s="21"/>
      <c r="S9" s="27"/>
      <c r="T9"/>
      <c r="U9">
        <v>7.25</v>
      </c>
      <c r="V9" s="28">
        <v>7</v>
      </c>
      <c r="W9" s="25">
        <f t="shared" si="4"/>
        <v>0</v>
      </c>
      <c r="X9" s="25">
        <f t="shared" si="5"/>
        <v>0</v>
      </c>
      <c r="Y9" s="25">
        <f t="shared" si="6"/>
        <v>0</v>
      </c>
      <c r="Z9" s="25">
        <f t="shared" si="7"/>
        <v>0</v>
      </c>
      <c r="AA9" s="29">
        <f t="shared" si="8"/>
        <v>0</v>
      </c>
    </row>
    <row r="10" spans="1:27" ht="15">
      <c r="A10" s="42">
        <f t="shared" si="1"/>
        <v>7.5</v>
      </c>
      <c r="B10" s="43">
        <v>0</v>
      </c>
      <c r="C10" s="43">
        <v>0</v>
      </c>
      <c r="E10" s="7">
        <f t="shared" si="2"/>
        <v>0</v>
      </c>
      <c r="G10" s="18">
        <v>7.5</v>
      </c>
      <c r="H10"/>
      <c r="I10"/>
      <c r="J10"/>
      <c r="K10"/>
      <c r="L10" s="19">
        <f t="shared" si="3"/>
        <v>0</v>
      </c>
      <c r="M10"/>
      <c r="N10" s="20">
        <v>7.5</v>
      </c>
      <c r="O10" s="21"/>
      <c r="P10" s="21"/>
      <c r="Q10" s="21"/>
      <c r="R10" s="21"/>
      <c r="S10" s="27"/>
      <c r="T10"/>
      <c r="U10">
        <v>7.75</v>
      </c>
      <c r="V10" s="28">
        <v>7.5</v>
      </c>
      <c r="W10" s="25">
        <f t="shared" si="4"/>
        <v>0</v>
      </c>
      <c r="X10" s="25">
        <f t="shared" si="5"/>
        <v>0</v>
      </c>
      <c r="Y10" s="25">
        <f t="shared" si="6"/>
        <v>0</v>
      </c>
      <c r="Z10" s="25">
        <f t="shared" si="7"/>
        <v>0</v>
      </c>
      <c r="AA10" s="29">
        <f t="shared" si="8"/>
        <v>0</v>
      </c>
    </row>
    <row r="11" spans="1:27" ht="15">
      <c r="A11" s="42">
        <f t="shared" si="1"/>
        <v>8</v>
      </c>
      <c r="B11" s="43">
        <v>0</v>
      </c>
      <c r="C11" s="43">
        <v>0</v>
      </c>
      <c r="E11" s="7">
        <f t="shared" si="2"/>
        <v>0</v>
      </c>
      <c r="G11" s="18">
        <v>8</v>
      </c>
      <c r="H11"/>
      <c r="I11"/>
      <c r="J11"/>
      <c r="K11"/>
      <c r="L11" s="19">
        <f t="shared" si="3"/>
        <v>0</v>
      </c>
      <c r="M11"/>
      <c r="N11" s="20">
        <v>8</v>
      </c>
      <c r="O11" s="21"/>
      <c r="P11" s="21"/>
      <c r="Q11" s="21"/>
      <c r="R11" s="21"/>
      <c r="S11" s="27"/>
      <c r="T11"/>
      <c r="U11">
        <v>8.25</v>
      </c>
      <c r="V11" s="28">
        <v>8</v>
      </c>
      <c r="W11" s="25">
        <f t="shared" si="4"/>
        <v>0</v>
      </c>
      <c r="X11" s="25">
        <f t="shared" si="5"/>
        <v>0</v>
      </c>
      <c r="Y11" s="25">
        <f t="shared" si="6"/>
        <v>0</v>
      </c>
      <c r="Z11" s="25">
        <f t="shared" si="7"/>
        <v>0</v>
      </c>
      <c r="AA11" s="29">
        <f t="shared" si="8"/>
        <v>0</v>
      </c>
    </row>
    <row r="12" spans="1:27" ht="15">
      <c r="A12" s="42">
        <f t="shared" si="1"/>
        <v>8.5</v>
      </c>
      <c r="B12" s="43">
        <v>0</v>
      </c>
      <c r="C12" s="43">
        <v>0</v>
      </c>
      <c r="E12" s="7">
        <f t="shared" si="2"/>
        <v>0</v>
      </c>
      <c r="G12" s="18">
        <v>8.5</v>
      </c>
      <c r="H12"/>
      <c r="I12"/>
      <c r="J12"/>
      <c r="K12"/>
      <c r="L12" s="19">
        <f t="shared" si="3"/>
        <v>0</v>
      </c>
      <c r="M12"/>
      <c r="N12" s="20">
        <v>8.5</v>
      </c>
      <c r="O12" s="21"/>
      <c r="P12" s="21"/>
      <c r="Q12" s="21"/>
      <c r="R12" s="21"/>
      <c r="S12" s="27"/>
      <c r="T12"/>
      <c r="U12">
        <v>8.75</v>
      </c>
      <c r="V12" s="28">
        <v>8.5</v>
      </c>
      <c r="W12" s="25">
        <f t="shared" si="4"/>
        <v>0</v>
      </c>
      <c r="X12" s="25">
        <f t="shared" si="5"/>
        <v>0</v>
      </c>
      <c r="Y12" s="25">
        <f t="shared" si="6"/>
        <v>0</v>
      </c>
      <c r="Z12" s="25">
        <f t="shared" si="7"/>
        <v>0</v>
      </c>
      <c r="AA12" s="29">
        <f t="shared" si="8"/>
        <v>0</v>
      </c>
    </row>
    <row r="13" spans="1:27" ht="15">
      <c r="A13" s="42">
        <f t="shared" si="1"/>
        <v>9</v>
      </c>
      <c r="B13" s="43">
        <v>0</v>
      </c>
      <c r="C13" s="43">
        <v>0</v>
      </c>
      <c r="E13" s="7">
        <f t="shared" si="2"/>
        <v>0</v>
      </c>
      <c r="G13" s="18">
        <v>9</v>
      </c>
      <c r="H13"/>
      <c r="I13"/>
      <c r="J13"/>
      <c r="K13"/>
      <c r="L13" s="19">
        <f t="shared" si="3"/>
        <v>0</v>
      </c>
      <c r="M13"/>
      <c r="N13" s="20">
        <v>9</v>
      </c>
      <c r="O13" s="21"/>
      <c r="P13" s="21"/>
      <c r="Q13" s="21"/>
      <c r="R13" s="21"/>
      <c r="S13" s="27"/>
      <c r="T13"/>
      <c r="U13">
        <v>9.25</v>
      </c>
      <c r="V13" s="28">
        <v>9</v>
      </c>
      <c r="W13" s="25">
        <f t="shared" si="4"/>
        <v>0</v>
      </c>
      <c r="X13" s="25">
        <f t="shared" si="5"/>
        <v>0</v>
      </c>
      <c r="Y13" s="25">
        <f t="shared" si="6"/>
        <v>0</v>
      </c>
      <c r="Z13" s="25">
        <f t="shared" si="7"/>
        <v>0</v>
      </c>
      <c r="AA13" s="29">
        <f t="shared" si="8"/>
        <v>0</v>
      </c>
    </row>
    <row r="14" spans="1:27" ht="15">
      <c r="A14" s="42">
        <f t="shared" si="1"/>
        <v>9.5</v>
      </c>
      <c r="B14" s="43">
        <v>0</v>
      </c>
      <c r="C14" s="43">
        <v>0</v>
      </c>
      <c r="E14" s="7">
        <f t="shared" si="2"/>
        <v>0</v>
      </c>
      <c r="G14" s="18">
        <v>9.5</v>
      </c>
      <c r="H14"/>
      <c r="I14"/>
      <c r="J14"/>
      <c r="K14"/>
      <c r="L14" s="19">
        <f t="shared" si="3"/>
        <v>0</v>
      </c>
      <c r="M14"/>
      <c r="N14" s="20">
        <v>9.5</v>
      </c>
      <c r="O14" s="21"/>
      <c r="P14" s="21"/>
      <c r="Q14" s="21"/>
      <c r="R14" s="21"/>
      <c r="S14" s="27"/>
      <c r="T14"/>
      <c r="U14">
        <v>9.75</v>
      </c>
      <c r="V14" s="28">
        <v>9.5</v>
      </c>
      <c r="W14" s="25">
        <f t="shared" si="4"/>
        <v>0</v>
      </c>
      <c r="X14" s="25">
        <f t="shared" si="5"/>
        <v>0</v>
      </c>
      <c r="Y14" s="25">
        <f t="shared" si="6"/>
        <v>0</v>
      </c>
      <c r="Z14" s="25">
        <f t="shared" si="7"/>
        <v>0</v>
      </c>
      <c r="AA14" s="29">
        <f t="shared" si="8"/>
        <v>0</v>
      </c>
    </row>
    <row r="15" spans="1:27" ht="15">
      <c r="A15" s="42">
        <f t="shared" si="1"/>
        <v>10</v>
      </c>
      <c r="B15" s="43">
        <v>0</v>
      </c>
      <c r="C15" s="43">
        <v>0</v>
      </c>
      <c r="E15" s="7">
        <f t="shared" si="2"/>
        <v>0</v>
      </c>
      <c r="G15" s="18">
        <v>10</v>
      </c>
      <c r="H15"/>
      <c r="I15"/>
      <c r="J15"/>
      <c r="K15"/>
      <c r="L15" s="19">
        <f t="shared" si="3"/>
        <v>0</v>
      </c>
      <c r="M15"/>
      <c r="N15" s="20">
        <v>10</v>
      </c>
      <c r="O15" s="21"/>
      <c r="P15" s="21"/>
      <c r="Q15" s="21"/>
      <c r="R15" s="21"/>
      <c r="S15" s="27"/>
      <c r="T15"/>
      <c r="U15">
        <v>10.25</v>
      </c>
      <c r="V15" s="28">
        <v>10</v>
      </c>
      <c r="W15" s="25">
        <f t="shared" si="4"/>
        <v>0</v>
      </c>
      <c r="X15" s="25">
        <f t="shared" si="5"/>
        <v>0</v>
      </c>
      <c r="Y15" s="25">
        <f t="shared" si="6"/>
        <v>0</v>
      </c>
      <c r="Z15" s="25">
        <f t="shared" si="7"/>
        <v>0</v>
      </c>
      <c r="AA15" s="29">
        <f t="shared" si="8"/>
        <v>0</v>
      </c>
    </row>
    <row r="16" spans="1:27" ht="15">
      <c r="A16" s="42">
        <f t="shared" si="1"/>
        <v>10.5</v>
      </c>
      <c r="B16" s="43">
        <v>0</v>
      </c>
      <c r="C16" s="43">
        <v>0</v>
      </c>
      <c r="E16" s="7">
        <f t="shared" si="2"/>
        <v>0</v>
      </c>
      <c r="G16" s="18">
        <v>10.5</v>
      </c>
      <c r="H16"/>
      <c r="I16"/>
      <c r="J16"/>
      <c r="K16"/>
      <c r="L16" s="19">
        <f t="shared" si="3"/>
        <v>0</v>
      </c>
      <c r="M16"/>
      <c r="N16" s="20">
        <v>10.5</v>
      </c>
      <c r="O16" s="21"/>
      <c r="P16" s="21"/>
      <c r="Q16" s="21"/>
      <c r="R16" s="21"/>
      <c r="S16" s="27"/>
      <c r="T16"/>
      <c r="U16">
        <v>10.75</v>
      </c>
      <c r="V16" s="28">
        <v>10.5</v>
      </c>
      <c r="W16" s="25">
        <f t="shared" si="4"/>
        <v>0</v>
      </c>
      <c r="X16" s="25">
        <f t="shared" si="5"/>
        <v>0</v>
      </c>
      <c r="Y16" s="25">
        <f t="shared" si="6"/>
        <v>0</v>
      </c>
      <c r="Z16" s="25">
        <f t="shared" si="7"/>
        <v>0</v>
      </c>
      <c r="AA16" s="29">
        <f t="shared" si="8"/>
        <v>0</v>
      </c>
    </row>
    <row r="17" spans="1:27" ht="15">
      <c r="A17" s="42">
        <f t="shared" si="1"/>
        <v>11</v>
      </c>
      <c r="B17" s="43">
        <v>0</v>
      </c>
      <c r="C17" s="43">
        <v>0</v>
      </c>
      <c r="E17" s="7">
        <f t="shared" si="2"/>
        <v>0</v>
      </c>
      <c r="G17" s="18">
        <v>11</v>
      </c>
      <c r="H17"/>
      <c r="I17"/>
      <c r="J17"/>
      <c r="K17"/>
      <c r="L17" s="19">
        <f t="shared" si="3"/>
        <v>0</v>
      </c>
      <c r="M17"/>
      <c r="N17" s="20">
        <v>11</v>
      </c>
      <c r="O17" s="21"/>
      <c r="P17" s="21"/>
      <c r="Q17" s="21"/>
      <c r="R17" s="21"/>
      <c r="S17" s="27"/>
      <c r="T17"/>
      <c r="U17">
        <v>11.25</v>
      </c>
      <c r="V17" s="28">
        <v>11</v>
      </c>
      <c r="W17" s="25">
        <f t="shared" si="4"/>
        <v>0</v>
      </c>
      <c r="X17" s="25">
        <f t="shared" si="5"/>
        <v>0</v>
      </c>
      <c r="Y17" s="25">
        <f t="shared" si="6"/>
        <v>0</v>
      </c>
      <c r="Z17" s="25">
        <f t="shared" si="7"/>
        <v>0</v>
      </c>
      <c r="AA17" s="29">
        <f t="shared" si="8"/>
        <v>0</v>
      </c>
    </row>
    <row r="18" spans="1:27" ht="15">
      <c r="A18" s="42">
        <f t="shared" si="1"/>
        <v>11.5</v>
      </c>
      <c r="B18" s="43">
        <v>189331.96302633712</v>
      </c>
      <c r="C18" s="43">
        <v>2.2624487357559819</v>
      </c>
      <c r="E18" s="7">
        <f t="shared" si="2"/>
        <v>189.33196302633712</v>
      </c>
      <c r="G18" s="18">
        <v>11.5</v>
      </c>
      <c r="H18"/>
      <c r="I18"/>
      <c r="J18"/>
      <c r="K18"/>
      <c r="L18" s="19">
        <f t="shared" si="3"/>
        <v>0</v>
      </c>
      <c r="M18"/>
      <c r="N18" s="20">
        <v>11.5</v>
      </c>
      <c r="O18" s="56">
        <v>1</v>
      </c>
      <c r="P18" s="56">
        <v>0</v>
      </c>
      <c r="Q18" s="56">
        <v>0</v>
      </c>
      <c r="R18" s="56">
        <v>0</v>
      </c>
      <c r="S18" s="55"/>
      <c r="T18"/>
      <c r="U18">
        <v>11.75</v>
      </c>
      <c r="V18" s="28">
        <v>11.5</v>
      </c>
      <c r="W18" s="25">
        <f t="shared" si="4"/>
        <v>189331.96302633712</v>
      </c>
      <c r="X18" s="25">
        <f t="shared" si="5"/>
        <v>0</v>
      </c>
      <c r="Y18" s="25">
        <f t="shared" si="6"/>
        <v>0</v>
      </c>
      <c r="Z18" s="25">
        <f t="shared" si="7"/>
        <v>0</v>
      </c>
      <c r="AA18" s="29">
        <f t="shared" si="8"/>
        <v>189331.96302633712</v>
      </c>
    </row>
    <row r="19" spans="1:27" ht="15">
      <c r="A19" s="42">
        <f t="shared" si="1"/>
        <v>12</v>
      </c>
      <c r="B19" s="43">
        <v>1747679.6587046504</v>
      </c>
      <c r="C19" s="43">
        <v>23.220769976264265</v>
      </c>
      <c r="E19" s="7">
        <f t="shared" si="2"/>
        <v>1747.6796587046504</v>
      </c>
      <c r="G19" s="18">
        <v>12</v>
      </c>
      <c r="H19"/>
      <c r="I19"/>
      <c r="J19"/>
      <c r="K19"/>
      <c r="L19" s="19">
        <f t="shared" si="3"/>
        <v>0</v>
      </c>
      <c r="M19"/>
      <c r="N19" s="20">
        <v>12</v>
      </c>
      <c r="O19" s="56">
        <v>1</v>
      </c>
      <c r="P19" s="56">
        <v>0</v>
      </c>
      <c r="Q19" s="56">
        <v>0</v>
      </c>
      <c r="R19" s="56">
        <v>0</v>
      </c>
      <c r="S19" s="55"/>
      <c r="T19" s="52" t="s">
        <v>0</v>
      </c>
      <c r="U19">
        <v>12.25</v>
      </c>
      <c r="V19" s="28">
        <v>12</v>
      </c>
      <c r="W19" s="25">
        <f t="shared" si="4"/>
        <v>1747679.6587046504</v>
      </c>
      <c r="X19" s="25">
        <f t="shared" si="5"/>
        <v>0</v>
      </c>
      <c r="Y19" s="25">
        <f t="shared" si="6"/>
        <v>0</v>
      </c>
      <c r="Z19" s="25">
        <f t="shared" si="7"/>
        <v>0</v>
      </c>
      <c r="AA19" s="29">
        <f t="shared" si="8"/>
        <v>1747679.6587046504</v>
      </c>
    </row>
    <row r="20" spans="1:27" ht="15">
      <c r="A20" s="42">
        <f t="shared" si="1"/>
        <v>12.5</v>
      </c>
      <c r="B20" s="43">
        <v>3824667.4753226386</v>
      </c>
      <c r="C20" s="43">
        <v>56.263344160648167</v>
      </c>
      <c r="E20" s="7">
        <f t="shared" si="2"/>
        <v>3824.6674753226384</v>
      </c>
      <c r="G20" s="18">
        <v>12.5</v>
      </c>
      <c r="H20"/>
      <c r="I20"/>
      <c r="J20"/>
      <c r="K20"/>
      <c r="L20" s="19">
        <f t="shared" si="3"/>
        <v>0</v>
      </c>
      <c r="M20"/>
      <c r="N20" s="20">
        <v>12.5</v>
      </c>
      <c r="O20" s="56">
        <v>1</v>
      </c>
      <c r="P20" s="56">
        <v>0</v>
      </c>
      <c r="Q20" s="56">
        <v>0</v>
      </c>
      <c r="R20" s="56">
        <v>0</v>
      </c>
      <c r="S20" s="55"/>
      <c r="T20"/>
      <c r="U20">
        <v>12.75</v>
      </c>
      <c r="V20" s="28">
        <v>12.5</v>
      </c>
      <c r="W20" s="25">
        <f t="shared" si="4"/>
        <v>3824667.4753226386</v>
      </c>
      <c r="X20" s="25">
        <f t="shared" si="5"/>
        <v>0</v>
      </c>
      <c r="Y20" s="25">
        <f t="shared" si="6"/>
        <v>0</v>
      </c>
      <c r="Z20" s="25">
        <f t="shared" si="7"/>
        <v>0</v>
      </c>
      <c r="AA20" s="29">
        <f t="shared" si="8"/>
        <v>3824667.4753226386</v>
      </c>
    </row>
    <row r="21" spans="1:27" ht="15">
      <c r="A21" s="42">
        <f t="shared" si="1"/>
        <v>13</v>
      </c>
      <c r="B21" s="43">
        <v>5438034.7158120153</v>
      </c>
      <c r="C21" s="43">
        <v>88.224625820466755</v>
      </c>
      <c r="E21" s="7">
        <f t="shared" si="2"/>
        <v>5438.0347158120157</v>
      </c>
      <c r="G21" s="18">
        <v>13</v>
      </c>
      <c r="H21"/>
      <c r="I21"/>
      <c r="J21"/>
      <c r="K21"/>
      <c r="L21" s="19">
        <f t="shared" si="3"/>
        <v>0</v>
      </c>
      <c r="M21"/>
      <c r="N21" s="20">
        <v>13</v>
      </c>
      <c r="O21" s="56">
        <v>0.88888888888888884</v>
      </c>
      <c r="P21" s="56">
        <v>0.1111111111111111</v>
      </c>
      <c r="Q21" s="56">
        <v>0</v>
      </c>
      <c r="R21" s="56">
        <v>0</v>
      </c>
      <c r="S21" s="55"/>
      <c r="T21"/>
      <c r="U21">
        <v>13.25</v>
      </c>
      <c r="V21" s="28">
        <v>13</v>
      </c>
      <c r="W21" s="25">
        <f t="shared" si="4"/>
        <v>4833808.6362773469</v>
      </c>
      <c r="X21" s="25">
        <f t="shared" si="5"/>
        <v>604226.07953466836</v>
      </c>
      <c r="Y21" s="25">
        <f t="shared" si="6"/>
        <v>0</v>
      </c>
      <c r="Z21" s="25">
        <f t="shared" si="7"/>
        <v>0</v>
      </c>
      <c r="AA21" s="29">
        <f t="shared" si="8"/>
        <v>5438034.7158120153</v>
      </c>
    </row>
    <row r="22" spans="1:27" ht="15">
      <c r="A22" s="42">
        <f t="shared" si="1"/>
        <v>13.5</v>
      </c>
      <c r="B22" s="43">
        <v>4129702.3046428352</v>
      </c>
      <c r="C22" s="43">
        <v>73.621989967133146</v>
      </c>
      <c r="E22" s="7">
        <f t="shared" si="2"/>
        <v>4129.7023046428349</v>
      </c>
      <c r="G22" s="18">
        <v>13.5</v>
      </c>
      <c r="H22"/>
      <c r="I22"/>
      <c r="J22"/>
      <c r="K22"/>
      <c r="L22" s="19">
        <f t="shared" si="3"/>
        <v>0</v>
      </c>
      <c r="M22"/>
      <c r="N22" s="20">
        <v>13.5</v>
      </c>
      <c r="O22" s="56">
        <v>0.72727272727272729</v>
      </c>
      <c r="P22" s="56">
        <v>0.18181818181818182</v>
      </c>
      <c r="Q22" s="56">
        <v>9.0909090909090912E-2</v>
      </c>
      <c r="R22" s="56">
        <v>0</v>
      </c>
      <c r="S22" s="55"/>
      <c r="T22"/>
      <c r="U22">
        <v>13.75</v>
      </c>
      <c r="V22" s="28">
        <v>13.5</v>
      </c>
      <c r="W22" s="25">
        <f t="shared" si="4"/>
        <v>3003419.8579220618</v>
      </c>
      <c r="X22" s="25">
        <f t="shared" si="5"/>
        <v>750854.96448051545</v>
      </c>
      <c r="Y22" s="25">
        <f t="shared" si="6"/>
        <v>375427.48224025773</v>
      </c>
      <c r="Z22" s="25">
        <f t="shared" si="7"/>
        <v>0</v>
      </c>
      <c r="AA22" s="29">
        <f t="shared" si="8"/>
        <v>4129702.3046428352</v>
      </c>
    </row>
    <row r="23" spans="1:27" ht="15">
      <c r="A23" s="42">
        <f t="shared" si="1"/>
        <v>14</v>
      </c>
      <c r="B23" s="43">
        <v>2626374.1537755979</v>
      </c>
      <c r="C23" s="43">
        <v>51.277148321424704</v>
      </c>
      <c r="E23" s="7">
        <f t="shared" si="2"/>
        <v>2626.3741537755977</v>
      </c>
      <c r="G23" s="18">
        <v>14</v>
      </c>
      <c r="H23"/>
      <c r="I23"/>
      <c r="J23"/>
      <c r="K23"/>
      <c r="L23" s="19">
        <f t="shared" si="3"/>
        <v>0</v>
      </c>
      <c r="M23"/>
      <c r="N23" s="20">
        <v>14</v>
      </c>
      <c r="O23" s="56">
        <v>1</v>
      </c>
      <c r="P23" s="56">
        <v>0</v>
      </c>
      <c r="Q23" s="56">
        <v>0</v>
      </c>
      <c r="R23" s="56">
        <v>0</v>
      </c>
      <c r="S23" s="55"/>
      <c r="T23"/>
      <c r="U23">
        <v>14.25</v>
      </c>
      <c r="V23" s="28">
        <v>14</v>
      </c>
      <c r="W23" s="25">
        <f t="shared" si="4"/>
        <v>2626374.1537755979</v>
      </c>
      <c r="X23" s="25">
        <f t="shared" si="5"/>
        <v>0</v>
      </c>
      <c r="Y23" s="25">
        <f t="shared" si="6"/>
        <v>0</v>
      </c>
      <c r="Z23" s="25">
        <f t="shared" si="7"/>
        <v>0</v>
      </c>
      <c r="AA23" s="29">
        <f t="shared" si="8"/>
        <v>2626374.1537755979</v>
      </c>
    </row>
    <row r="24" spans="1:27" ht="15">
      <c r="A24" s="42">
        <f t="shared" si="1"/>
        <v>14.5</v>
      </c>
      <c r="B24" s="43">
        <v>996015.58327102952</v>
      </c>
      <c r="C24" s="43">
        <v>21.230013196686443</v>
      </c>
      <c r="E24" s="7">
        <f t="shared" si="2"/>
        <v>996.01558327102953</v>
      </c>
      <c r="G24" s="18">
        <v>14.5</v>
      </c>
      <c r="H24"/>
      <c r="I24"/>
      <c r="J24"/>
      <c r="K24"/>
      <c r="L24" s="19">
        <f t="shared" si="3"/>
        <v>0</v>
      </c>
      <c r="M24"/>
      <c r="N24" s="20">
        <v>14.5</v>
      </c>
      <c r="O24" s="56">
        <v>0.8571428571428571</v>
      </c>
      <c r="P24" s="56">
        <v>7.1428571428571425E-2</v>
      </c>
      <c r="Q24" s="56">
        <v>7.1428571428571425E-2</v>
      </c>
      <c r="R24" s="56">
        <v>0</v>
      </c>
      <c r="S24" s="55"/>
      <c r="T24"/>
      <c r="U24">
        <v>14.75</v>
      </c>
      <c r="V24" s="28">
        <v>14.5</v>
      </c>
      <c r="W24" s="25">
        <f t="shared" si="4"/>
        <v>853727.64280373952</v>
      </c>
      <c r="X24" s="25">
        <f t="shared" si="5"/>
        <v>71143.970233644955</v>
      </c>
      <c r="Y24" s="25">
        <f t="shared" si="6"/>
        <v>71143.970233644955</v>
      </c>
      <c r="Z24" s="25">
        <f t="shared" si="7"/>
        <v>0</v>
      </c>
      <c r="AA24" s="29">
        <f t="shared" si="8"/>
        <v>996015.58327102941</v>
      </c>
    </row>
    <row r="25" spans="1:27" ht="15">
      <c r="A25" s="42">
        <f t="shared" si="1"/>
        <v>15</v>
      </c>
      <c r="B25" s="43">
        <v>890597.28589812201</v>
      </c>
      <c r="C25" s="43">
        <v>20.663865130152335</v>
      </c>
      <c r="E25" s="7">
        <f t="shared" si="2"/>
        <v>890.59728589812198</v>
      </c>
      <c r="G25" s="18">
        <v>15</v>
      </c>
      <c r="H25"/>
      <c r="I25">
        <v>4</v>
      </c>
      <c r="J25">
        <v>1</v>
      </c>
      <c r="K25"/>
      <c r="L25" s="19">
        <f t="shared" si="3"/>
        <v>5</v>
      </c>
      <c r="M25"/>
      <c r="N25" s="20">
        <v>15</v>
      </c>
      <c r="O25" s="56">
        <v>0.81818181818181823</v>
      </c>
      <c r="P25" s="56">
        <v>9.0909090909090912E-2</v>
      </c>
      <c r="Q25" s="56">
        <v>9.0909090909090912E-2</v>
      </c>
      <c r="R25" s="56">
        <v>0</v>
      </c>
      <c r="S25" s="55"/>
      <c r="T25"/>
      <c r="U25">
        <v>15.25</v>
      </c>
      <c r="V25" s="28">
        <v>15</v>
      </c>
      <c r="W25" s="25">
        <f t="shared" si="4"/>
        <v>728670.50664391799</v>
      </c>
      <c r="X25" s="25">
        <f t="shared" si="5"/>
        <v>80963.389627102006</v>
      </c>
      <c r="Y25" s="25">
        <f t="shared" si="6"/>
        <v>80963.389627102006</v>
      </c>
      <c r="Z25" s="25">
        <f t="shared" si="7"/>
        <v>0</v>
      </c>
      <c r="AA25" s="29">
        <f t="shared" si="8"/>
        <v>890597.28589812201</v>
      </c>
    </row>
    <row r="26" spans="1:27" ht="15">
      <c r="A26" s="42">
        <f t="shared" si="1"/>
        <v>15.5</v>
      </c>
      <c r="B26" s="43">
        <v>716852.74298655358</v>
      </c>
      <c r="C26" s="43">
        <v>18.055828081413562</v>
      </c>
      <c r="E26" s="7">
        <f t="shared" si="2"/>
        <v>716.85274298655361</v>
      </c>
      <c r="G26" s="18">
        <v>15.5</v>
      </c>
      <c r="H26"/>
      <c r="I26">
        <v>2</v>
      </c>
      <c r="J26">
        <v>3</v>
      </c>
      <c r="K26">
        <v>1</v>
      </c>
      <c r="L26" s="19">
        <f t="shared" si="3"/>
        <v>6</v>
      </c>
      <c r="M26"/>
      <c r="N26" s="20">
        <v>15.5</v>
      </c>
      <c r="O26" s="21">
        <f t="shared" ref="O26:O33" si="9">+H26/$L26</f>
        <v>0</v>
      </c>
      <c r="P26" s="21">
        <f t="shared" ref="P26:P33" si="10">+I26/$L26</f>
        <v>0.33333333333333331</v>
      </c>
      <c r="Q26" s="21">
        <f t="shared" ref="Q26:Q33" si="11">+J26/$L26</f>
        <v>0.5</v>
      </c>
      <c r="R26" s="21">
        <f t="shared" ref="R26:R33" si="12">+K26/$L26</f>
        <v>0.16666666666666666</v>
      </c>
      <c r="S26" s="27">
        <f t="shared" ref="S26:S33" si="13">SUM(O26:R26)</f>
        <v>0.99999999999999989</v>
      </c>
      <c r="T26"/>
      <c r="U26">
        <v>15.75</v>
      </c>
      <c r="V26" s="28">
        <v>15.5</v>
      </c>
      <c r="W26" s="25">
        <f t="shared" si="4"/>
        <v>0</v>
      </c>
      <c r="X26" s="25">
        <f t="shared" si="5"/>
        <v>238950.91432885118</v>
      </c>
      <c r="Y26" s="25">
        <f t="shared" si="6"/>
        <v>358426.37149327679</v>
      </c>
      <c r="Z26" s="25">
        <f t="shared" si="7"/>
        <v>119475.45716442559</v>
      </c>
      <c r="AA26" s="29">
        <f t="shared" si="8"/>
        <v>716852.74298655358</v>
      </c>
    </row>
    <row r="27" spans="1:27" ht="15">
      <c r="A27" s="42">
        <f t="shared" si="1"/>
        <v>16</v>
      </c>
      <c r="B27" s="43">
        <v>101631.01915385343</v>
      </c>
      <c r="C27" s="43">
        <v>2.771765817474797</v>
      </c>
      <c r="E27" s="7">
        <f t="shared" si="2"/>
        <v>101.63101915385343</v>
      </c>
      <c r="G27" s="18">
        <v>16</v>
      </c>
      <c r="H27"/>
      <c r="I27">
        <v>5</v>
      </c>
      <c r="J27">
        <v>6</v>
      </c>
      <c r="K27"/>
      <c r="L27" s="19">
        <f t="shared" si="3"/>
        <v>11</v>
      </c>
      <c r="M27"/>
      <c r="N27" s="20">
        <v>16</v>
      </c>
      <c r="O27" s="21">
        <f t="shared" si="9"/>
        <v>0</v>
      </c>
      <c r="P27" s="21">
        <f t="shared" si="10"/>
        <v>0.45454545454545453</v>
      </c>
      <c r="Q27" s="21">
        <f t="shared" si="11"/>
        <v>0.54545454545454541</v>
      </c>
      <c r="R27" s="21">
        <f t="shared" si="12"/>
        <v>0</v>
      </c>
      <c r="S27" s="27">
        <f t="shared" si="13"/>
        <v>1</v>
      </c>
      <c r="T27"/>
      <c r="U27">
        <v>16.25</v>
      </c>
      <c r="V27" s="28">
        <v>16</v>
      </c>
      <c r="W27" s="25">
        <f t="shared" si="4"/>
        <v>0</v>
      </c>
      <c r="X27" s="25">
        <f t="shared" si="5"/>
        <v>46195.917797206101</v>
      </c>
      <c r="Y27" s="25">
        <f t="shared" si="6"/>
        <v>55435.101356647319</v>
      </c>
      <c r="Z27" s="25">
        <f t="shared" si="7"/>
        <v>0</v>
      </c>
      <c r="AA27" s="29">
        <f t="shared" si="8"/>
        <v>101631.01915385341</v>
      </c>
    </row>
    <row r="28" spans="1:27" ht="15">
      <c r="A28" s="42">
        <f t="shared" si="1"/>
        <v>16.5</v>
      </c>
      <c r="B28" s="43">
        <v>116458.13446967556</v>
      </c>
      <c r="C28" s="43">
        <v>3.4308044364547601</v>
      </c>
      <c r="E28" s="7">
        <f t="shared" si="2"/>
        <v>116.45813446967556</v>
      </c>
      <c r="G28" s="18">
        <v>16.5</v>
      </c>
      <c r="H28"/>
      <c r="I28">
        <v>5</v>
      </c>
      <c r="J28">
        <v>5</v>
      </c>
      <c r="K28">
        <v>1</v>
      </c>
      <c r="L28" s="19">
        <f t="shared" si="3"/>
        <v>11</v>
      </c>
      <c r="M28"/>
      <c r="N28" s="20">
        <v>16.5</v>
      </c>
      <c r="O28" s="21">
        <f t="shared" si="9"/>
        <v>0</v>
      </c>
      <c r="P28" s="21">
        <f t="shared" si="10"/>
        <v>0.45454545454545453</v>
      </c>
      <c r="Q28" s="21">
        <f t="shared" si="11"/>
        <v>0.45454545454545453</v>
      </c>
      <c r="R28" s="21">
        <f t="shared" si="12"/>
        <v>9.0909090909090912E-2</v>
      </c>
      <c r="S28" s="27">
        <f t="shared" si="13"/>
        <v>1</v>
      </c>
      <c r="T28"/>
      <c r="U28">
        <v>16.75</v>
      </c>
      <c r="V28" s="28">
        <v>16.5</v>
      </c>
      <c r="W28" s="25">
        <f t="shared" si="4"/>
        <v>0</v>
      </c>
      <c r="X28" s="25">
        <f t="shared" si="5"/>
        <v>52935.515668034343</v>
      </c>
      <c r="Y28" s="25">
        <f t="shared" si="6"/>
        <v>52935.515668034343</v>
      </c>
      <c r="Z28" s="25">
        <f t="shared" si="7"/>
        <v>10587.103133606868</v>
      </c>
      <c r="AA28" s="29">
        <f t="shared" si="8"/>
        <v>116458.13446967556</v>
      </c>
    </row>
    <row r="29" spans="1:27" ht="15">
      <c r="A29" s="42">
        <f t="shared" si="1"/>
        <v>17</v>
      </c>
      <c r="B29" s="43">
        <v>121464.25527391768</v>
      </c>
      <c r="C29" s="43">
        <v>3.8564276577220427</v>
      </c>
      <c r="E29" s="7">
        <f t="shared" si="2"/>
        <v>121.46425527391767</v>
      </c>
      <c r="G29" s="18">
        <v>17</v>
      </c>
      <c r="H29"/>
      <c r="I29">
        <v>5</v>
      </c>
      <c r="J29">
        <v>6</v>
      </c>
      <c r="K29">
        <v>1</v>
      </c>
      <c r="L29" s="19">
        <f t="shared" si="3"/>
        <v>12</v>
      </c>
      <c r="M29"/>
      <c r="N29" s="20">
        <v>17</v>
      </c>
      <c r="O29" s="21">
        <f t="shared" si="9"/>
        <v>0</v>
      </c>
      <c r="P29" s="21">
        <f t="shared" si="10"/>
        <v>0.41666666666666669</v>
      </c>
      <c r="Q29" s="21">
        <f t="shared" si="11"/>
        <v>0.5</v>
      </c>
      <c r="R29" s="21">
        <f t="shared" si="12"/>
        <v>8.3333333333333329E-2</v>
      </c>
      <c r="S29" s="27">
        <f t="shared" si="13"/>
        <v>1</v>
      </c>
      <c r="T29"/>
      <c r="U29">
        <v>17.25</v>
      </c>
      <c r="V29" s="28">
        <v>17</v>
      </c>
      <c r="W29" s="25">
        <f t="shared" si="4"/>
        <v>0</v>
      </c>
      <c r="X29" s="25">
        <f t="shared" si="5"/>
        <v>50610.106364132364</v>
      </c>
      <c r="Y29" s="25">
        <f t="shared" si="6"/>
        <v>60732.127636958838</v>
      </c>
      <c r="Z29" s="25">
        <f t="shared" si="7"/>
        <v>10122.021272826472</v>
      </c>
      <c r="AA29" s="29">
        <f t="shared" si="8"/>
        <v>121464.25527391768</v>
      </c>
    </row>
    <row r="30" spans="1:27" ht="15">
      <c r="A30" s="42">
        <f t="shared" si="1"/>
        <v>17.5</v>
      </c>
      <c r="B30" s="43">
        <v>24113.333439067173</v>
      </c>
      <c r="C30" s="43">
        <v>0.82333297650315429</v>
      </c>
      <c r="E30" s="7">
        <f t="shared" si="2"/>
        <v>24.113333439067173</v>
      </c>
      <c r="G30" s="18">
        <v>17.5</v>
      </c>
      <c r="H30"/>
      <c r="I30">
        <v>7</v>
      </c>
      <c r="J30">
        <v>7</v>
      </c>
      <c r="K30">
        <v>1</v>
      </c>
      <c r="L30" s="19">
        <f t="shared" si="3"/>
        <v>15</v>
      </c>
      <c r="M30"/>
      <c r="N30" s="20">
        <v>17.5</v>
      </c>
      <c r="O30" s="21">
        <f t="shared" si="9"/>
        <v>0</v>
      </c>
      <c r="P30" s="21">
        <f t="shared" si="10"/>
        <v>0.46666666666666667</v>
      </c>
      <c r="Q30" s="21">
        <f t="shared" si="11"/>
        <v>0.46666666666666667</v>
      </c>
      <c r="R30" s="21">
        <f t="shared" si="12"/>
        <v>6.6666666666666666E-2</v>
      </c>
      <c r="S30" s="27">
        <f t="shared" si="13"/>
        <v>1</v>
      </c>
      <c r="T30"/>
      <c r="U30">
        <v>17.75</v>
      </c>
      <c r="V30" s="28">
        <v>17.5</v>
      </c>
      <c r="W30" s="25">
        <f t="shared" si="4"/>
        <v>0</v>
      </c>
      <c r="X30" s="25">
        <f t="shared" si="5"/>
        <v>11252.888938231348</v>
      </c>
      <c r="Y30" s="25">
        <f t="shared" si="6"/>
        <v>11252.888938231348</v>
      </c>
      <c r="Z30" s="25">
        <f t="shared" si="7"/>
        <v>1607.5555626044782</v>
      </c>
      <c r="AA30" s="29">
        <f t="shared" si="8"/>
        <v>24113.333439067173</v>
      </c>
    </row>
    <row r="31" spans="1:27" ht="15">
      <c r="A31" s="42">
        <f t="shared" si="1"/>
        <v>18</v>
      </c>
      <c r="B31" s="43">
        <v>12888.429027070693</v>
      </c>
      <c r="C31" s="43">
        <v>0.47230487098066465</v>
      </c>
      <c r="E31" s="7">
        <f t="shared" si="2"/>
        <v>12.888429027070693</v>
      </c>
      <c r="G31" s="18">
        <v>18</v>
      </c>
      <c r="H31"/>
      <c r="I31">
        <v>2</v>
      </c>
      <c r="J31">
        <v>5</v>
      </c>
      <c r="K31"/>
      <c r="L31" s="19">
        <f t="shared" si="3"/>
        <v>7</v>
      </c>
      <c r="M31"/>
      <c r="N31" s="20">
        <v>18</v>
      </c>
      <c r="O31" s="21">
        <f t="shared" si="9"/>
        <v>0</v>
      </c>
      <c r="P31" s="21">
        <f t="shared" si="10"/>
        <v>0.2857142857142857</v>
      </c>
      <c r="Q31" s="21">
        <f t="shared" si="11"/>
        <v>0.7142857142857143</v>
      </c>
      <c r="R31" s="21">
        <f t="shared" si="12"/>
        <v>0</v>
      </c>
      <c r="S31" s="27">
        <f t="shared" si="13"/>
        <v>1</v>
      </c>
      <c r="T31"/>
      <c r="U31">
        <v>18.25</v>
      </c>
      <c r="V31" s="28">
        <v>18</v>
      </c>
      <c r="W31" s="25">
        <f t="shared" si="4"/>
        <v>0</v>
      </c>
      <c r="X31" s="25">
        <f t="shared" si="5"/>
        <v>3682.4082934487692</v>
      </c>
      <c r="Y31" s="25">
        <f t="shared" si="6"/>
        <v>9206.0207336219246</v>
      </c>
      <c r="Z31" s="25">
        <f t="shared" si="7"/>
        <v>0</v>
      </c>
      <c r="AA31" s="29">
        <f t="shared" si="8"/>
        <v>12888.429027070693</v>
      </c>
    </row>
    <row r="32" spans="1:27" ht="15">
      <c r="A32" s="42">
        <f t="shared" si="1"/>
        <v>18.5</v>
      </c>
      <c r="B32" s="43">
        <v>4601.8998697381503</v>
      </c>
      <c r="C32" s="43">
        <v>0.18064828437337588</v>
      </c>
      <c r="E32" s="7">
        <f t="shared" si="2"/>
        <v>4.6018998697381504</v>
      </c>
      <c r="G32" s="18">
        <v>18.5</v>
      </c>
      <c r="H32"/>
      <c r="I32"/>
      <c r="J32">
        <v>2</v>
      </c>
      <c r="K32"/>
      <c r="L32" s="19">
        <f t="shared" si="3"/>
        <v>2</v>
      </c>
      <c r="N32" s="18">
        <v>18.5</v>
      </c>
      <c r="O32" s="21">
        <f t="shared" si="9"/>
        <v>0</v>
      </c>
      <c r="P32" s="21">
        <f t="shared" si="10"/>
        <v>0</v>
      </c>
      <c r="Q32" s="21">
        <f t="shared" si="11"/>
        <v>1</v>
      </c>
      <c r="R32" s="21">
        <f t="shared" si="12"/>
        <v>0</v>
      </c>
      <c r="S32" s="27">
        <f t="shared" si="13"/>
        <v>1</v>
      </c>
      <c r="T32" s="9"/>
      <c r="U32">
        <v>18.75</v>
      </c>
      <c r="V32" s="28">
        <v>18.5</v>
      </c>
      <c r="W32" s="25">
        <f t="shared" si="4"/>
        <v>0</v>
      </c>
      <c r="X32" s="25">
        <f t="shared" si="5"/>
        <v>0</v>
      </c>
      <c r="Y32" s="25">
        <f t="shared" si="6"/>
        <v>4601.8998697381503</v>
      </c>
      <c r="Z32" s="25">
        <f t="shared" si="7"/>
        <v>0</v>
      </c>
      <c r="AA32" s="29">
        <f t="shared" si="8"/>
        <v>4601.8998697381503</v>
      </c>
    </row>
    <row r="33" spans="1:27" ht="15">
      <c r="A33" s="42">
        <f t="shared" si="1"/>
        <v>19</v>
      </c>
      <c r="B33" s="43">
        <v>1150.4749674345376</v>
      </c>
      <c r="C33" s="43">
        <v>4.8290514254851591E-2</v>
      </c>
      <c r="E33" s="7">
        <f t="shared" si="2"/>
        <v>1.1504749674345376</v>
      </c>
      <c r="G33" s="38">
        <v>19</v>
      </c>
      <c r="H33"/>
      <c r="I33"/>
      <c r="J33" s="52">
        <v>1</v>
      </c>
      <c r="K33" s="52">
        <v>1</v>
      </c>
      <c r="L33" s="19">
        <f t="shared" si="3"/>
        <v>2</v>
      </c>
      <c r="M33"/>
      <c r="N33" s="38">
        <v>19</v>
      </c>
      <c r="O33" s="21">
        <f t="shared" si="9"/>
        <v>0</v>
      </c>
      <c r="P33" s="21">
        <f t="shared" si="10"/>
        <v>0</v>
      </c>
      <c r="Q33" s="21">
        <f t="shared" si="11"/>
        <v>0.5</v>
      </c>
      <c r="R33" s="21">
        <f t="shared" si="12"/>
        <v>0.5</v>
      </c>
      <c r="S33" s="27">
        <f t="shared" si="13"/>
        <v>1</v>
      </c>
      <c r="T33"/>
      <c r="U33">
        <v>19.25</v>
      </c>
      <c r="V33" s="28">
        <v>19</v>
      </c>
      <c r="W33" s="25">
        <f t="shared" si="4"/>
        <v>0</v>
      </c>
      <c r="X33" s="25">
        <f t="shared" si="5"/>
        <v>0</v>
      </c>
      <c r="Y33" s="25">
        <f t="shared" si="6"/>
        <v>575.23748371726879</v>
      </c>
      <c r="Z33" s="25">
        <f t="shared" si="7"/>
        <v>575.23748371726879</v>
      </c>
      <c r="AA33" s="29">
        <f t="shared" si="8"/>
        <v>1150.4749674345376</v>
      </c>
    </row>
    <row r="34" spans="1:27" ht="15">
      <c r="A34" s="42">
        <f t="shared" si="1"/>
        <v>19.5</v>
      </c>
      <c r="B34" s="43">
        <v>0</v>
      </c>
      <c r="C34" s="43">
        <v>0</v>
      </c>
      <c r="E34" s="7">
        <f t="shared" si="2"/>
        <v>0</v>
      </c>
      <c r="G34" s="30" t="s">
        <v>26</v>
      </c>
      <c r="H34" s="13">
        <v>151</v>
      </c>
      <c r="I34" s="13">
        <v>18</v>
      </c>
      <c r="J34" s="13"/>
      <c r="K34" s="13"/>
      <c r="L34" s="31">
        <v>169</v>
      </c>
      <c r="M34"/>
      <c r="N34" s="30" t="s">
        <v>26</v>
      </c>
      <c r="O34" s="13"/>
      <c r="P34" s="13"/>
      <c r="Q34" s="13"/>
      <c r="R34" s="13"/>
      <c r="S34" s="31"/>
      <c r="T34"/>
      <c r="U34"/>
      <c r="V34" s="32" t="s">
        <v>26</v>
      </c>
      <c r="W34" s="16">
        <f>SUM(W5:W33)</f>
        <v>17807679.894476291</v>
      </c>
      <c r="X34" s="16">
        <f t="shared" ref="X34:AA34" si="14">SUM(X5:X33)</f>
        <v>1910816.1552658353</v>
      </c>
      <c r="Y34" s="16">
        <f t="shared" si="14"/>
        <v>1080700.0052812307</v>
      </c>
      <c r="Z34" s="16">
        <f t="shared" si="14"/>
        <v>142367.37461718067</v>
      </c>
      <c r="AA34" s="16">
        <f t="shared" si="14"/>
        <v>20941563.429640535</v>
      </c>
    </row>
    <row r="35" spans="1:27" ht="15">
      <c r="A35" s="42">
        <f t="shared" si="1"/>
        <v>20</v>
      </c>
      <c r="B35" s="43">
        <v>0</v>
      </c>
      <c r="C35" s="43">
        <v>0</v>
      </c>
      <c r="E35" s="7">
        <f t="shared" si="2"/>
        <v>0</v>
      </c>
      <c r="T35"/>
      <c r="U35"/>
      <c r="V35" s="33" t="s">
        <v>19</v>
      </c>
      <c r="W35" s="34">
        <f>+W34/$AA$34*100</f>
        <v>85.035102342318098</v>
      </c>
      <c r="X35" s="34">
        <f t="shared" ref="X35:AA35" si="15">+X34/$AA$34*100</f>
        <v>9.1245152812290993</v>
      </c>
      <c r="Y35" s="34">
        <f t="shared" si="15"/>
        <v>5.1605507340087886</v>
      </c>
      <c r="Z35" s="34">
        <f t="shared" si="15"/>
        <v>0.67983164244401606</v>
      </c>
      <c r="AA35" s="34">
        <f t="shared" si="15"/>
        <v>100</v>
      </c>
    </row>
    <row r="36" spans="1:27" ht="15">
      <c r="A36" s="42">
        <f t="shared" si="1"/>
        <v>20.5</v>
      </c>
      <c r="B36" s="43">
        <v>0</v>
      </c>
      <c r="C36" s="43">
        <v>0</v>
      </c>
      <c r="E36" s="7">
        <f t="shared" si="2"/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 s="33" t="s">
        <v>27</v>
      </c>
      <c r="W36" s="34">
        <f>SUMPRODUCT(W5:W33,$U$5:$U$33)/W$34</f>
        <v>13.414086800562435</v>
      </c>
      <c r="X36" s="34">
        <f t="shared" ref="X36:AA36" si="16">SUMPRODUCT(X5:X33,$U$5:$U$33)/X$34</f>
        <v>14.21126465279286</v>
      </c>
      <c r="Y36" s="34">
        <f t="shared" si="16"/>
        <v>15.167609412290709</v>
      </c>
      <c r="Z36" s="34">
        <f t="shared" si="16"/>
        <v>15.967736524568355</v>
      </c>
      <c r="AA36" s="34">
        <f t="shared" si="16"/>
        <v>13.594677358379304</v>
      </c>
    </row>
    <row r="37" spans="1:27" ht="15">
      <c r="A37" s="42">
        <f t="shared" si="1"/>
        <v>21</v>
      </c>
      <c r="B37" s="43">
        <v>0</v>
      </c>
      <c r="C37" s="43">
        <v>0</v>
      </c>
      <c r="E37" s="7">
        <f t="shared" si="2"/>
        <v>0</v>
      </c>
      <c r="G37" s="37"/>
      <c r="H37" s="37"/>
      <c r="I37" s="37"/>
      <c r="J37" s="37"/>
      <c r="K37" s="37"/>
      <c r="L37" s="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ht="15">
      <c r="A38" s="42">
        <f t="shared" si="1"/>
        <v>21.5</v>
      </c>
      <c r="B38" s="43">
        <v>0</v>
      </c>
      <c r="C38" s="43">
        <v>0</v>
      </c>
      <c r="E38" s="7">
        <f t="shared" si="2"/>
        <v>0</v>
      </c>
      <c r="G38" s="37"/>
      <c r="H38" s="10"/>
      <c r="I38" s="10"/>
      <c r="J38" s="10"/>
      <c r="K38" s="10"/>
      <c r="L38" s="37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ht="15">
      <c r="A39" s="42">
        <f t="shared" si="1"/>
        <v>22</v>
      </c>
      <c r="B39" s="43">
        <v>0</v>
      </c>
      <c r="C39" s="43">
        <v>0</v>
      </c>
      <c r="E39" s="7">
        <f t="shared" si="2"/>
        <v>0</v>
      </c>
      <c r="G39" s="38"/>
      <c r="H39"/>
      <c r="I39"/>
      <c r="J39"/>
      <c r="K39"/>
      <c r="L39" s="9"/>
      <c r="M39"/>
      <c r="N39"/>
      <c r="O39"/>
      <c r="P39"/>
      <c r="Q39"/>
      <c r="R39"/>
      <c r="S39"/>
      <c r="T39"/>
      <c r="U39"/>
      <c r="V39" t="s">
        <v>26</v>
      </c>
      <c r="W39">
        <f>3257930.57678101/1000</f>
        <v>3257.9305767810097</v>
      </c>
      <c r="X39">
        <f>273421.423218991/1000</f>
        <v>273.42142321899104</v>
      </c>
      <c r="Y39">
        <v>0</v>
      </c>
      <c r="Z39"/>
      <c r="AA39">
        <f>3531352/1000</f>
        <v>3531.3519999999999</v>
      </c>
    </row>
    <row r="40" spans="1:27" ht="15">
      <c r="A40" s="47"/>
      <c r="B40" s="43"/>
      <c r="C40" s="43"/>
      <c r="G40" s="38"/>
      <c r="H40"/>
      <c r="I40"/>
      <c r="J40"/>
      <c r="K40"/>
      <c r="L40" s="9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ht="21">
      <c r="A41" s="47"/>
      <c r="B41" s="43">
        <v>20941563.429640535</v>
      </c>
      <c r="C41" s="43">
        <v>366.40360794770902</v>
      </c>
      <c r="D41" s="2"/>
      <c r="G41" s="38"/>
      <c r="H41"/>
      <c r="I41"/>
      <c r="J41"/>
      <c r="K41"/>
      <c r="L41" s="9"/>
      <c r="M41"/>
      <c r="N41"/>
      <c r="O41"/>
      <c r="P41"/>
      <c r="Q41"/>
      <c r="R41"/>
      <c r="S41"/>
      <c r="T41"/>
      <c r="U41"/>
      <c r="V41" s="118" t="s">
        <v>1</v>
      </c>
      <c r="W41" s="118"/>
      <c r="X41" s="118"/>
      <c r="Y41" s="118"/>
      <c r="Z41" s="118"/>
      <c r="AA41" s="118"/>
    </row>
    <row r="42" spans="1:27" ht="15">
      <c r="G42" s="38"/>
      <c r="H42"/>
      <c r="I42"/>
      <c r="J42"/>
      <c r="K42"/>
      <c r="L42" s="9"/>
      <c r="M42"/>
      <c r="N42"/>
      <c r="O42"/>
      <c r="P42"/>
      <c r="Q42"/>
      <c r="R42"/>
      <c r="S42"/>
      <c r="T42"/>
      <c r="U42"/>
      <c r="V42" s="119" t="s">
        <v>28</v>
      </c>
      <c r="W42" s="119"/>
      <c r="X42" s="119"/>
      <c r="Y42" s="119"/>
      <c r="Z42" s="119"/>
      <c r="AA42" s="119"/>
    </row>
    <row r="43" spans="1:27" ht="15">
      <c r="B43" s="2"/>
      <c r="G43" s="38"/>
      <c r="H43"/>
      <c r="I43"/>
      <c r="J43"/>
      <c r="K43"/>
      <c r="L43" s="9"/>
      <c r="M43"/>
      <c r="N43"/>
      <c r="O43"/>
      <c r="P43"/>
      <c r="Q43"/>
      <c r="R43"/>
      <c r="S43"/>
      <c r="T43"/>
      <c r="U43"/>
      <c r="V43" s="122" t="s">
        <v>24</v>
      </c>
      <c r="W43" s="130" t="s">
        <v>25</v>
      </c>
      <c r="X43" s="131"/>
      <c r="Y43" s="131"/>
      <c r="Z43" s="132"/>
      <c r="AA43" s="122" t="s">
        <v>26</v>
      </c>
    </row>
    <row r="44" spans="1:27" ht="15">
      <c r="B44" s="2"/>
      <c r="G44" s="38"/>
      <c r="H44"/>
      <c r="I44"/>
      <c r="J44"/>
      <c r="K44"/>
      <c r="L44" s="9"/>
      <c r="M44"/>
      <c r="N44"/>
      <c r="O44"/>
      <c r="P44"/>
      <c r="Q44"/>
      <c r="R44"/>
      <c r="S44"/>
      <c r="T44"/>
      <c r="U44"/>
      <c r="V44" s="123"/>
      <c r="W44" s="15">
        <v>1</v>
      </c>
      <c r="X44" s="16">
        <v>2</v>
      </c>
      <c r="Y44" s="17">
        <v>3</v>
      </c>
      <c r="Z44" s="51">
        <v>4</v>
      </c>
      <c r="AA44" s="123"/>
    </row>
    <row r="45" spans="1:27" ht="15">
      <c r="G45" s="38"/>
      <c r="H45"/>
      <c r="I45"/>
      <c r="J45"/>
      <c r="K45"/>
      <c r="L45" s="9"/>
      <c r="M45"/>
      <c r="N45"/>
      <c r="O45"/>
      <c r="P45"/>
      <c r="Q45"/>
      <c r="R45"/>
      <c r="S45"/>
      <c r="T45"/>
      <c r="U45"/>
      <c r="V45" s="24">
        <v>5</v>
      </c>
      <c r="W45" s="25">
        <f>O5*$C5</f>
        <v>0</v>
      </c>
      <c r="X45" s="25">
        <f t="shared" ref="X45:Y45" si="17">P5*$C5</f>
        <v>0</v>
      </c>
      <c r="Y45" s="25">
        <f t="shared" si="17"/>
        <v>0</v>
      </c>
      <c r="Z45" s="25">
        <f>R5*$C5</f>
        <v>0</v>
      </c>
      <c r="AA45" s="29">
        <f>SUM(W45:Z45)</f>
        <v>0</v>
      </c>
    </row>
    <row r="46" spans="1:27" ht="15">
      <c r="G46" s="38"/>
      <c r="H46"/>
      <c r="I46"/>
      <c r="J46"/>
      <c r="K46"/>
      <c r="L46" s="9"/>
      <c r="M46"/>
      <c r="N46"/>
      <c r="O46"/>
      <c r="P46"/>
      <c r="Q46"/>
      <c r="R46"/>
      <c r="S46"/>
      <c r="T46"/>
      <c r="U46"/>
      <c r="V46" s="28">
        <v>5.5</v>
      </c>
      <c r="W46" s="25">
        <f t="shared" ref="W46:W73" si="18">O6*$C6</f>
        <v>0</v>
      </c>
      <c r="X46" s="25">
        <f t="shared" ref="X46:X73" si="19">P6*$C6</f>
        <v>0</v>
      </c>
      <c r="Y46" s="25">
        <f t="shared" ref="Y46:Y73" si="20">Q6*$C6</f>
        <v>0</v>
      </c>
      <c r="Z46" s="25">
        <f t="shared" ref="Z46:Z73" si="21">R6*$C6</f>
        <v>0</v>
      </c>
      <c r="AA46" s="29">
        <f t="shared" ref="AA46:AA73" si="22">SUM(W46:Z46)</f>
        <v>0</v>
      </c>
    </row>
    <row r="47" spans="1:27" ht="15">
      <c r="G47" s="38"/>
      <c r="H47"/>
      <c r="I47"/>
      <c r="J47"/>
      <c r="K47"/>
      <c r="L47" s="9"/>
      <c r="M47"/>
      <c r="N47"/>
      <c r="O47"/>
      <c r="P47"/>
      <c r="Q47"/>
      <c r="R47"/>
      <c r="S47"/>
      <c r="T47"/>
      <c r="U47"/>
      <c r="V47" s="28">
        <v>6</v>
      </c>
      <c r="W47" s="25">
        <f t="shared" si="18"/>
        <v>0</v>
      </c>
      <c r="X47" s="25">
        <f t="shared" si="19"/>
        <v>0</v>
      </c>
      <c r="Y47" s="25">
        <f t="shared" si="20"/>
        <v>0</v>
      </c>
      <c r="Z47" s="25">
        <f t="shared" si="21"/>
        <v>0</v>
      </c>
      <c r="AA47" s="29">
        <f t="shared" si="22"/>
        <v>0</v>
      </c>
    </row>
    <row r="48" spans="1:27" ht="15">
      <c r="G48" s="38"/>
      <c r="H48"/>
      <c r="I48"/>
      <c r="J48"/>
      <c r="K48"/>
      <c r="L48" s="9"/>
      <c r="M48"/>
      <c r="N48"/>
      <c r="O48"/>
      <c r="P48"/>
      <c r="Q48"/>
      <c r="R48"/>
      <c r="S48"/>
      <c r="T48"/>
      <c r="U48"/>
      <c r="V48" s="28">
        <v>6.5</v>
      </c>
      <c r="W48" s="25">
        <f t="shared" si="18"/>
        <v>0</v>
      </c>
      <c r="X48" s="25">
        <f t="shared" si="19"/>
        <v>0</v>
      </c>
      <c r="Y48" s="25">
        <f t="shared" si="20"/>
        <v>0</v>
      </c>
      <c r="Z48" s="25">
        <f t="shared" si="21"/>
        <v>0</v>
      </c>
      <c r="AA48" s="29">
        <f t="shared" si="22"/>
        <v>0</v>
      </c>
    </row>
    <row r="49" spans="7:27" ht="15">
      <c r="G49" s="38"/>
      <c r="H49"/>
      <c r="I49"/>
      <c r="J49"/>
      <c r="K49"/>
      <c r="L49" s="9"/>
      <c r="M49"/>
      <c r="N49"/>
      <c r="O49"/>
      <c r="P49"/>
      <c r="Q49"/>
      <c r="R49"/>
      <c r="S49"/>
      <c r="T49"/>
      <c r="U49"/>
      <c r="V49" s="28">
        <v>7</v>
      </c>
      <c r="W49" s="25">
        <f t="shared" si="18"/>
        <v>0</v>
      </c>
      <c r="X49" s="25">
        <f t="shared" si="19"/>
        <v>0</v>
      </c>
      <c r="Y49" s="25">
        <f t="shared" si="20"/>
        <v>0</v>
      </c>
      <c r="Z49" s="25">
        <f t="shared" si="21"/>
        <v>0</v>
      </c>
      <c r="AA49" s="29">
        <f t="shared" si="22"/>
        <v>0</v>
      </c>
    </row>
    <row r="50" spans="7:27" ht="15">
      <c r="G50" s="38"/>
      <c r="H50"/>
      <c r="I50"/>
      <c r="J50"/>
      <c r="K50"/>
      <c r="L50" s="9"/>
      <c r="M50"/>
      <c r="N50"/>
      <c r="O50"/>
      <c r="P50"/>
      <c r="Q50"/>
      <c r="R50"/>
      <c r="S50"/>
      <c r="T50"/>
      <c r="U50"/>
      <c r="V50" s="28">
        <v>7.5</v>
      </c>
      <c r="W50" s="25">
        <f t="shared" si="18"/>
        <v>0</v>
      </c>
      <c r="X50" s="25">
        <f t="shared" si="19"/>
        <v>0</v>
      </c>
      <c r="Y50" s="25">
        <f t="shared" si="20"/>
        <v>0</v>
      </c>
      <c r="Z50" s="25">
        <f t="shared" si="21"/>
        <v>0</v>
      </c>
      <c r="AA50" s="29">
        <f t="shared" si="22"/>
        <v>0</v>
      </c>
    </row>
    <row r="51" spans="7:27" ht="15">
      <c r="G51" s="38"/>
      <c r="H51"/>
      <c r="I51"/>
      <c r="J51"/>
      <c r="K51"/>
      <c r="L51" s="9"/>
      <c r="M51"/>
      <c r="N51"/>
      <c r="O51"/>
      <c r="P51"/>
      <c r="Q51"/>
      <c r="R51"/>
      <c r="S51"/>
      <c r="T51"/>
      <c r="U51"/>
      <c r="V51" s="28">
        <v>8</v>
      </c>
      <c r="W51" s="25">
        <f t="shared" si="18"/>
        <v>0</v>
      </c>
      <c r="X51" s="25">
        <f t="shared" si="19"/>
        <v>0</v>
      </c>
      <c r="Y51" s="25">
        <f t="shared" si="20"/>
        <v>0</v>
      </c>
      <c r="Z51" s="25">
        <f t="shared" si="21"/>
        <v>0</v>
      </c>
      <c r="AA51" s="29">
        <f t="shared" si="22"/>
        <v>0</v>
      </c>
    </row>
    <row r="52" spans="7:27" ht="15">
      <c r="G52" s="38"/>
      <c r="H52"/>
      <c r="I52"/>
      <c r="J52"/>
      <c r="K52"/>
      <c r="L52" s="9"/>
      <c r="M52"/>
      <c r="N52"/>
      <c r="O52"/>
      <c r="P52"/>
      <c r="Q52"/>
      <c r="R52"/>
      <c r="S52"/>
      <c r="T52"/>
      <c r="U52"/>
      <c r="V52" s="28">
        <v>8.5</v>
      </c>
      <c r="W52" s="25">
        <f t="shared" si="18"/>
        <v>0</v>
      </c>
      <c r="X52" s="25">
        <f t="shared" si="19"/>
        <v>0</v>
      </c>
      <c r="Y52" s="25">
        <f t="shared" si="20"/>
        <v>0</v>
      </c>
      <c r="Z52" s="25">
        <f t="shared" si="21"/>
        <v>0</v>
      </c>
      <c r="AA52" s="29">
        <f t="shared" si="22"/>
        <v>0</v>
      </c>
    </row>
    <row r="53" spans="7:27" ht="15">
      <c r="G53" s="38"/>
      <c r="H53"/>
      <c r="I53"/>
      <c r="J53"/>
      <c r="K53"/>
      <c r="L53" s="9"/>
      <c r="M53"/>
      <c r="N53"/>
      <c r="O53"/>
      <c r="P53"/>
      <c r="Q53"/>
      <c r="R53"/>
      <c r="S53"/>
      <c r="T53"/>
      <c r="U53"/>
      <c r="V53" s="28">
        <v>9</v>
      </c>
      <c r="W53" s="25">
        <f t="shared" si="18"/>
        <v>0</v>
      </c>
      <c r="X53" s="25">
        <f t="shared" si="19"/>
        <v>0</v>
      </c>
      <c r="Y53" s="25">
        <f t="shared" si="20"/>
        <v>0</v>
      </c>
      <c r="Z53" s="25">
        <f t="shared" si="21"/>
        <v>0</v>
      </c>
      <c r="AA53" s="29">
        <f t="shared" si="22"/>
        <v>0</v>
      </c>
    </row>
    <row r="54" spans="7:27" ht="15">
      <c r="G54" s="38"/>
      <c r="H54"/>
      <c r="I54"/>
      <c r="J54"/>
      <c r="K54"/>
      <c r="L54" s="9"/>
      <c r="M54"/>
      <c r="N54"/>
      <c r="O54"/>
      <c r="P54"/>
      <c r="Q54"/>
      <c r="R54"/>
      <c r="S54"/>
      <c r="T54"/>
      <c r="U54"/>
      <c r="V54" s="28">
        <v>9.5</v>
      </c>
      <c r="W54" s="25">
        <f t="shared" si="18"/>
        <v>0</v>
      </c>
      <c r="X54" s="25">
        <f t="shared" si="19"/>
        <v>0</v>
      </c>
      <c r="Y54" s="25">
        <f t="shared" si="20"/>
        <v>0</v>
      </c>
      <c r="Z54" s="25">
        <f t="shared" si="21"/>
        <v>0</v>
      </c>
      <c r="AA54" s="29">
        <f t="shared" si="22"/>
        <v>0</v>
      </c>
    </row>
    <row r="55" spans="7:27" ht="15">
      <c r="G55" s="38"/>
      <c r="H55"/>
      <c r="I55"/>
      <c r="J55"/>
      <c r="K55"/>
      <c r="L55" s="9"/>
      <c r="M55"/>
      <c r="N55"/>
      <c r="O55"/>
      <c r="P55"/>
      <c r="Q55"/>
      <c r="R55"/>
      <c r="S55"/>
      <c r="T55"/>
      <c r="U55"/>
      <c r="V55" s="28">
        <v>10</v>
      </c>
      <c r="W55" s="25">
        <f t="shared" si="18"/>
        <v>0</v>
      </c>
      <c r="X55" s="25">
        <f t="shared" si="19"/>
        <v>0</v>
      </c>
      <c r="Y55" s="25">
        <f t="shared" si="20"/>
        <v>0</v>
      </c>
      <c r="Z55" s="25">
        <f t="shared" si="21"/>
        <v>0</v>
      </c>
      <c r="AA55" s="29">
        <f t="shared" si="22"/>
        <v>0</v>
      </c>
    </row>
    <row r="56" spans="7:27" ht="15">
      <c r="G56" s="38"/>
      <c r="H56"/>
      <c r="I56"/>
      <c r="J56"/>
      <c r="K56"/>
      <c r="L56" s="9"/>
      <c r="M56"/>
      <c r="N56"/>
      <c r="O56"/>
      <c r="P56"/>
      <c r="Q56"/>
      <c r="R56"/>
      <c r="S56"/>
      <c r="T56"/>
      <c r="U56"/>
      <c r="V56" s="28">
        <v>10.5</v>
      </c>
      <c r="W56" s="25">
        <f t="shared" si="18"/>
        <v>0</v>
      </c>
      <c r="X56" s="25">
        <f t="shared" si="19"/>
        <v>0</v>
      </c>
      <c r="Y56" s="25">
        <f t="shared" si="20"/>
        <v>0</v>
      </c>
      <c r="Z56" s="25">
        <f t="shared" si="21"/>
        <v>0</v>
      </c>
      <c r="AA56" s="29">
        <f t="shared" si="22"/>
        <v>0</v>
      </c>
    </row>
    <row r="57" spans="7:27" ht="15">
      <c r="G57" s="38"/>
      <c r="H57"/>
      <c r="I57"/>
      <c r="J57"/>
      <c r="K57"/>
      <c r="L57" s="9"/>
      <c r="M57"/>
      <c r="N57"/>
      <c r="O57"/>
      <c r="P57"/>
      <c r="Q57"/>
      <c r="R57"/>
      <c r="S57"/>
      <c r="T57"/>
      <c r="U57"/>
      <c r="V57" s="28">
        <v>11</v>
      </c>
      <c r="W57" s="25">
        <f t="shared" si="18"/>
        <v>0</v>
      </c>
      <c r="X57" s="25">
        <f t="shared" si="19"/>
        <v>0</v>
      </c>
      <c r="Y57" s="25">
        <f t="shared" si="20"/>
        <v>0</v>
      </c>
      <c r="Z57" s="25">
        <f t="shared" si="21"/>
        <v>0</v>
      </c>
      <c r="AA57" s="29">
        <f t="shared" si="22"/>
        <v>0</v>
      </c>
    </row>
    <row r="58" spans="7:27" ht="15">
      <c r="G58" s="38"/>
      <c r="H58"/>
      <c r="I58"/>
      <c r="J58"/>
      <c r="K58"/>
      <c r="L58" s="9"/>
      <c r="M58"/>
      <c r="N58"/>
      <c r="O58"/>
      <c r="P58"/>
      <c r="Q58"/>
      <c r="R58"/>
      <c r="S58"/>
      <c r="T58"/>
      <c r="U58"/>
      <c r="V58" s="28">
        <v>11.5</v>
      </c>
      <c r="W58" s="25">
        <f t="shared" si="18"/>
        <v>2.2624487357559819</v>
      </c>
      <c r="X58" s="25">
        <f t="shared" si="19"/>
        <v>0</v>
      </c>
      <c r="Y58" s="25">
        <f t="shared" si="20"/>
        <v>0</v>
      </c>
      <c r="Z58" s="25">
        <f t="shared" si="21"/>
        <v>0</v>
      </c>
      <c r="AA58" s="29">
        <f t="shared" si="22"/>
        <v>2.2624487357559819</v>
      </c>
    </row>
    <row r="59" spans="7:27" ht="15">
      <c r="G59" s="38"/>
      <c r="H59"/>
      <c r="I59"/>
      <c r="J59"/>
      <c r="K59"/>
      <c r="L59" s="9"/>
      <c r="M59"/>
      <c r="N59"/>
      <c r="O59"/>
      <c r="P59"/>
      <c r="Q59"/>
      <c r="R59"/>
      <c r="S59"/>
      <c r="T59"/>
      <c r="U59"/>
      <c r="V59" s="28">
        <v>12</v>
      </c>
      <c r="W59" s="25">
        <f t="shared" si="18"/>
        <v>23.220769976264265</v>
      </c>
      <c r="X59" s="25">
        <f t="shared" si="19"/>
        <v>0</v>
      </c>
      <c r="Y59" s="25">
        <f t="shared" si="20"/>
        <v>0</v>
      </c>
      <c r="Z59" s="25">
        <f t="shared" si="21"/>
        <v>0</v>
      </c>
      <c r="AA59" s="29">
        <f t="shared" si="22"/>
        <v>23.220769976264265</v>
      </c>
    </row>
    <row r="60" spans="7:27" ht="15">
      <c r="G60" s="38"/>
      <c r="H60"/>
      <c r="I60"/>
      <c r="J60"/>
      <c r="K60"/>
      <c r="L60" s="9"/>
      <c r="M60"/>
      <c r="N60"/>
      <c r="O60"/>
      <c r="P60"/>
      <c r="Q60"/>
      <c r="R60"/>
      <c r="S60"/>
      <c r="T60"/>
      <c r="U60"/>
      <c r="V60" s="28">
        <v>12.5</v>
      </c>
      <c r="W60" s="25">
        <f t="shared" si="18"/>
        <v>56.263344160648167</v>
      </c>
      <c r="X60" s="25">
        <f t="shared" si="19"/>
        <v>0</v>
      </c>
      <c r="Y60" s="25">
        <f t="shared" si="20"/>
        <v>0</v>
      </c>
      <c r="Z60" s="25">
        <f t="shared" si="21"/>
        <v>0</v>
      </c>
      <c r="AA60" s="29">
        <f t="shared" si="22"/>
        <v>56.263344160648167</v>
      </c>
    </row>
    <row r="61" spans="7:27" ht="15">
      <c r="G61" s="38"/>
      <c r="H61"/>
      <c r="I61"/>
      <c r="J61"/>
      <c r="K61"/>
      <c r="L61" s="9"/>
      <c r="M61"/>
      <c r="N61"/>
      <c r="O61"/>
      <c r="P61"/>
      <c r="Q61"/>
      <c r="R61"/>
      <c r="S61"/>
      <c r="T61"/>
      <c r="U61"/>
      <c r="V61" s="28">
        <v>13</v>
      </c>
      <c r="W61" s="25">
        <f t="shared" si="18"/>
        <v>78.421889618192665</v>
      </c>
      <c r="X61" s="25">
        <f t="shared" si="19"/>
        <v>9.8027362022740832</v>
      </c>
      <c r="Y61" s="25">
        <f t="shared" si="20"/>
        <v>0</v>
      </c>
      <c r="Z61" s="25">
        <f t="shared" si="21"/>
        <v>0</v>
      </c>
      <c r="AA61" s="29">
        <f t="shared" si="22"/>
        <v>88.224625820466741</v>
      </c>
    </row>
    <row r="62" spans="7:27" ht="15">
      <c r="G62" s="38"/>
      <c r="H62"/>
      <c r="I62"/>
      <c r="J62"/>
      <c r="K62"/>
      <c r="L62" s="9"/>
      <c r="M62"/>
      <c r="N62"/>
      <c r="O62"/>
      <c r="P62"/>
      <c r="Q62"/>
      <c r="R62"/>
      <c r="S62"/>
      <c r="T62"/>
      <c r="U62"/>
      <c r="V62" s="28">
        <v>13.5</v>
      </c>
      <c r="W62" s="25">
        <f t="shared" si="18"/>
        <v>53.543265430642286</v>
      </c>
      <c r="X62" s="25">
        <f t="shared" si="19"/>
        <v>13.385816357660572</v>
      </c>
      <c r="Y62" s="25">
        <f t="shared" si="20"/>
        <v>6.6929081788302858</v>
      </c>
      <c r="Z62" s="25">
        <f t="shared" si="21"/>
        <v>0</v>
      </c>
      <c r="AA62" s="29">
        <f t="shared" si="22"/>
        <v>73.621989967133132</v>
      </c>
    </row>
    <row r="63" spans="7:27" ht="15">
      <c r="G63" s="38"/>
      <c r="H63"/>
      <c r="I63"/>
      <c r="J63"/>
      <c r="K63"/>
      <c r="L63" s="9"/>
      <c r="M63"/>
      <c r="N63"/>
      <c r="O63"/>
      <c r="P63"/>
      <c r="Q63"/>
      <c r="R63"/>
      <c r="S63"/>
      <c r="T63"/>
      <c r="U63"/>
      <c r="V63" s="28">
        <v>14</v>
      </c>
      <c r="W63" s="25">
        <f t="shared" si="18"/>
        <v>51.277148321424704</v>
      </c>
      <c r="X63" s="25">
        <f t="shared" si="19"/>
        <v>0</v>
      </c>
      <c r="Y63" s="25">
        <f t="shared" si="20"/>
        <v>0</v>
      </c>
      <c r="Z63" s="25">
        <f t="shared" si="21"/>
        <v>0</v>
      </c>
      <c r="AA63" s="29">
        <f t="shared" si="22"/>
        <v>51.277148321424704</v>
      </c>
    </row>
    <row r="64" spans="7:27" ht="15">
      <c r="G64" s="38"/>
      <c r="H64"/>
      <c r="I64"/>
      <c r="J64"/>
      <c r="K64"/>
      <c r="L64" s="9"/>
      <c r="M64"/>
      <c r="N64"/>
      <c r="O64"/>
      <c r="P64"/>
      <c r="Q64"/>
      <c r="R64"/>
      <c r="S64"/>
      <c r="T64"/>
      <c r="U64"/>
      <c r="V64" s="28">
        <v>14.5</v>
      </c>
      <c r="W64" s="25">
        <f t="shared" si="18"/>
        <v>18.19715416858838</v>
      </c>
      <c r="X64" s="25">
        <f t="shared" si="19"/>
        <v>1.5164295140490316</v>
      </c>
      <c r="Y64" s="25">
        <f t="shared" si="20"/>
        <v>1.5164295140490316</v>
      </c>
      <c r="Z64" s="25">
        <f t="shared" si="21"/>
        <v>0</v>
      </c>
      <c r="AA64" s="29">
        <f t="shared" si="22"/>
        <v>21.230013196686446</v>
      </c>
    </row>
    <row r="65" spans="7:27" ht="15">
      <c r="G65" s="38"/>
      <c r="H65"/>
      <c r="I65"/>
      <c r="J65"/>
      <c r="K65"/>
      <c r="L65" s="9"/>
      <c r="M65"/>
      <c r="N65"/>
      <c r="O65"/>
      <c r="P65"/>
      <c r="Q65"/>
      <c r="R65"/>
      <c r="S65"/>
      <c r="T65"/>
      <c r="U65"/>
      <c r="V65" s="28">
        <v>15</v>
      </c>
      <c r="W65" s="25">
        <f t="shared" si="18"/>
        <v>16.906798742851912</v>
      </c>
      <c r="X65" s="25">
        <f t="shared" si="19"/>
        <v>1.8785331936502123</v>
      </c>
      <c r="Y65" s="25">
        <f t="shared" si="20"/>
        <v>1.8785331936502123</v>
      </c>
      <c r="Z65" s="25">
        <f t="shared" si="21"/>
        <v>0</v>
      </c>
      <c r="AA65" s="29">
        <f t="shared" si="22"/>
        <v>20.663865130152338</v>
      </c>
    </row>
    <row r="66" spans="7:27" ht="15">
      <c r="G66" s="10"/>
      <c r="H66" s="9"/>
      <c r="I66" s="9"/>
      <c r="J66" s="9"/>
      <c r="K66" s="9"/>
      <c r="L66" s="9"/>
      <c r="M66"/>
      <c r="N66"/>
      <c r="O66"/>
      <c r="P66"/>
      <c r="Q66"/>
      <c r="R66"/>
      <c r="S66"/>
      <c r="T66"/>
      <c r="U66"/>
      <c r="V66" s="28">
        <v>15.5</v>
      </c>
      <c r="W66" s="25">
        <f t="shared" si="18"/>
        <v>0</v>
      </c>
      <c r="X66" s="25">
        <f t="shared" si="19"/>
        <v>6.0186093604711868</v>
      </c>
      <c r="Y66" s="25">
        <f t="shared" si="20"/>
        <v>9.0279140407067811</v>
      </c>
      <c r="Z66" s="25">
        <f t="shared" si="21"/>
        <v>3.0093046802355934</v>
      </c>
      <c r="AA66" s="29">
        <f t="shared" si="22"/>
        <v>18.055828081413562</v>
      </c>
    </row>
    <row r="67" spans="7:27" ht="15"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 s="28">
        <v>16</v>
      </c>
      <c r="W67" s="25">
        <f t="shared" si="18"/>
        <v>0</v>
      </c>
      <c r="X67" s="25">
        <f t="shared" si="19"/>
        <v>1.259893553397635</v>
      </c>
      <c r="Y67" s="25">
        <f t="shared" si="20"/>
        <v>1.5118722640771618</v>
      </c>
      <c r="Z67" s="25">
        <f t="shared" si="21"/>
        <v>0</v>
      </c>
      <c r="AA67" s="29">
        <f t="shared" si="22"/>
        <v>2.7717658174747966</v>
      </c>
    </row>
    <row r="68" spans="7:27" ht="15"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 s="28">
        <v>16.5</v>
      </c>
      <c r="W68" s="25">
        <f t="shared" si="18"/>
        <v>0</v>
      </c>
      <c r="X68" s="25">
        <f t="shared" si="19"/>
        <v>1.5594565620248908</v>
      </c>
      <c r="Y68" s="25">
        <f t="shared" si="20"/>
        <v>1.5594565620248908</v>
      </c>
      <c r="Z68" s="25">
        <f t="shared" si="21"/>
        <v>0.31189131240497819</v>
      </c>
      <c r="AA68" s="29">
        <f t="shared" si="22"/>
        <v>3.4308044364547596</v>
      </c>
    </row>
    <row r="69" spans="7:27" ht="15"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 s="28">
        <v>17</v>
      </c>
      <c r="W69" s="25">
        <f t="shared" si="18"/>
        <v>0</v>
      </c>
      <c r="X69" s="25">
        <f t="shared" si="19"/>
        <v>1.6068448573841845</v>
      </c>
      <c r="Y69" s="25">
        <f t="shared" si="20"/>
        <v>1.9282138288610213</v>
      </c>
      <c r="Z69" s="25">
        <f t="shared" si="21"/>
        <v>0.32136897147683685</v>
      </c>
      <c r="AA69" s="29">
        <f t="shared" si="22"/>
        <v>3.8564276577220427</v>
      </c>
    </row>
    <row r="70" spans="7:27" ht="15"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 s="28">
        <v>17.5</v>
      </c>
      <c r="W70" s="25">
        <f t="shared" si="18"/>
        <v>0</v>
      </c>
      <c r="X70" s="25">
        <f t="shared" si="19"/>
        <v>0.384222055701472</v>
      </c>
      <c r="Y70" s="25">
        <f t="shared" si="20"/>
        <v>0.384222055701472</v>
      </c>
      <c r="Z70" s="25">
        <f t="shared" si="21"/>
        <v>5.4888865100210286E-2</v>
      </c>
      <c r="AA70" s="29">
        <f t="shared" si="22"/>
        <v>0.82333297650315429</v>
      </c>
    </row>
    <row r="71" spans="7:27" ht="15"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 s="28">
        <v>18</v>
      </c>
      <c r="W71" s="25">
        <f t="shared" si="18"/>
        <v>0</v>
      </c>
      <c r="X71" s="25">
        <f t="shared" si="19"/>
        <v>0.13494424885161846</v>
      </c>
      <c r="Y71" s="25">
        <f t="shared" si="20"/>
        <v>0.33736062212904616</v>
      </c>
      <c r="Z71" s="25">
        <f t="shared" si="21"/>
        <v>0</v>
      </c>
      <c r="AA71" s="29">
        <f t="shared" si="22"/>
        <v>0.47230487098066465</v>
      </c>
    </row>
    <row r="72" spans="7:27" ht="1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 s="28">
        <v>18.5</v>
      </c>
      <c r="W72" s="25">
        <f t="shared" si="18"/>
        <v>0</v>
      </c>
      <c r="X72" s="25">
        <f t="shared" si="19"/>
        <v>0</v>
      </c>
      <c r="Y72" s="25">
        <f t="shared" si="20"/>
        <v>0.18064828437337588</v>
      </c>
      <c r="Z72" s="25">
        <f t="shared" si="21"/>
        <v>0</v>
      </c>
      <c r="AA72" s="29">
        <f t="shared" si="22"/>
        <v>0.18064828437337588</v>
      </c>
    </row>
    <row r="73" spans="7:27" ht="15">
      <c r="V73" s="28">
        <v>19</v>
      </c>
      <c r="W73" s="25">
        <f t="shared" si="18"/>
        <v>0</v>
      </c>
      <c r="X73" s="25">
        <f t="shared" si="19"/>
        <v>0</v>
      </c>
      <c r="Y73" s="25">
        <f t="shared" si="20"/>
        <v>2.4145257127425795E-2</v>
      </c>
      <c r="Z73" s="25">
        <f t="shared" si="21"/>
        <v>2.4145257127425795E-2</v>
      </c>
      <c r="AA73" s="29">
        <f t="shared" si="22"/>
        <v>4.8290514254851591E-2</v>
      </c>
    </row>
    <row r="74" spans="7:27" ht="15">
      <c r="V74" s="32" t="s">
        <v>26</v>
      </c>
      <c r="W74" s="33">
        <f>SUM(W45:W73)</f>
        <v>300.09281915436839</v>
      </c>
      <c r="X74" s="33">
        <f t="shared" ref="X74:Z74" si="23">SUM(X45:X73)</f>
        <v>37.547485905464882</v>
      </c>
      <c r="Y74" s="33">
        <f>SUM(Y45:Y73)</f>
        <v>25.041703801530709</v>
      </c>
      <c r="Z74" s="33">
        <f t="shared" si="23"/>
        <v>3.7215990863450443</v>
      </c>
      <c r="AA74" s="33">
        <f>SUM(AA45:AA73)</f>
        <v>366.40360794770896</v>
      </c>
    </row>
    <row r="75" spans="7:27" ht="15">
      <c r="V75" s="33" t="s">
        <v>19</v>
      </c>
      <c r="W75" s="34">
        <f>+W74/$AA$74*100</f>
        <v>81.902255503225263</v>
      </c>
      <c r="X75" s="34">
        <f t="shared" ref="X75:AA75" si="24">+X74/$AA$74*100</f>
        <v>10.247575376174638</v>
      </c>
      <c r="Y75" s="34">
        <f t="shared" si="24"/>
        <v>6.8344588476608337</v>
      </c>
      <c r="Z75" s="34">
        <f t="shared" si="24"/>
        <v>1.0157102729392802</v>
      </c>
      <c r="AA75" s="34">
        <f t="shared" si="24"/>
        <v>100</v>
      </c>
    </row>
    <row r="76" spans="7:27" ht="15">
      <c r="V76" s="39" t="s">
        <v>33</v>
      </c>
      <c r="W76" s="40">
        <f>W74/W34*1000000</f>
        <v>16.851876321488309</v>
      </c>
      <c r="X76" s="40">
        <f>X74/X34*1000000</f>
        <v>19.649973024349496</v>
      </c>
      <c r="Y76" s="40">
        <f t="shared" ref="Y76:AA76" si="25">Y74/Y34*1000000</f>
        <v>23.171743942958624</v>
      </c>
      <c r="Z76" s="40">
        <f t="shared" si="25"/>
        <v>26.140814188308614</v>
      </c>
      <c r="AA76" s="40">
        <f t="shared" si="25"/>
        <v>17.496478196518222</v>
      </c>
    </row>
  </sheetData>
  <mergeCells count="18">
    <mergeCell ref="V41:AA41"/>
    <mergeCell ref="V42:AA42"/>
    <mergeCell ref="V43:V44"/>
    <mergeCell ref="AA43:AA44"/>
    <mergeCell ref="H3:K3"/>
    <mergeCell ref="O3:R3"/>
    <mergeCell ref="W3:Z3"/>
    <mergeCell ref="W43:Z43"/>
    <mergeCell ref="V3:V4"/>
    <mergeCell ref="G1:L1"/>
    <mergeCell ref="N1:S1"/>
    <mergeCell ref="V1:AA1"/>
    <mergeCell ref="V2:AA2"/>
    <mergeCell ref="G3:G4"/>
    <mergeCell ref="L3:L4"/>
    <mergeCell ref="N3:N4"/>
    <mergeCell ref="S3:S4"/>
    <mergeCell ref="AA3:AA4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76"/>
  <sheetViews>
    <sheetView topLeftCell="J1" zoomScale="110" zoomScaleNormal="110" workbookViewId="0">
      <selection activeCell="O42" sqref="O42"/>
    </sheetView>
  </sheetViews>
  <sheetFormatPr baseColWidth="10" defaultColWidth="9" defaultRowHeight="13"/>
  <cols>
    <col min="1" max="1" width="14" style="5" customWidth="1"/>
    <col min="2" max="6" width="11.59765625" style="5" customWidth="1"/>
    <col min="7" max="7" width="11.59765625" style="1" customWidth="1"/>
    <col min="8" max="8" width="21.19921875" style="1" bestFit="1" customWidth="1"/>
    <col min="9" max="9" width="18.19921875" style="1" customWidth="1"/>
    <col min="10" max="10" width="20.796875" style="1" customWidth="1"/>
    <col min="11" max="11" width="10.3984375" style="1" customWidth="1"/>
    <col min="12" max="65" width="11.59765625" style="1" customWidth="1"/>
  </cols>
  <sheetData>
    <row r="1" spans="1:30" ht="21">
      <c r="B1" s="6" t="s">
        <v>4</v>
      </c>
      <c r="E1" s="5" t="s">
        <v>5</v>
      </c>
      <c r="I1" s="1" t="s">
        <v>6</v>
      </c>
      <c r="J1" s="1" t="s">
        <v>7</v>
      </c>
      <c r="M1" s="117" t="s">
        <v>31</v>
      </c>
      <c r="N1" s="117"/>
      <c r="O1" s="117"/>
      <c r="P1" s="117"/>
      <c r="Q1" s="117"/>
      <c r="R1"/>
      <c r="S1" s="117" t="s">
        <v>31</v>
      </c>
      <c r="T1" s="117"/>
      <c r="U1" s="117"/>
      <c r="V1" s="117"/>
      <c r="W1" s="117"/>
      <c r="X1" s="9"/>
      <c r="Y1"/>
      <c r="Z1" s="118" t="s">
        <v>31</v>
      </c>
      <c r="AA1" s="118"/>
      <c r="AB1" s="118"/>
      <c r="AC1" s="118"/>
      <c r="AD1" s="118"/>
    </row>
    <row r="2" spans="1:30" ht="15">
      <c r="C2" s="6" t="s">
        <v>8</v>
      </c>
      <c r="D2" s="5">
        <v>20</v>
      </c>
      <c r="E2" s="6" t="s">
        <v>9</v>
      </c>
      <c r="F2" s="5">
        <v>1.3599999999999999E-2</v>
      </c>
      <c r="I2" s="2">
        <f>I45/10^6</f>
        <v>1.3880830007771903E-2</v>
      </c>
      <c r="J2" s="2">
        <f>J45</f>
        <v>374.27189271938431</v>
      </c>
      <c r="M2"/>
      <c r="N2"/>
      <c r="O2" s="46" t="s">
        <v>29</v>
      </c>
      <c r="P2"/>
      <c r="Q2"/>
      <c r="R2"/>
      <c r="S2" s="9"/>
      <c r="T2" s="9"/>
      <c r="U2" s="10" t="s">
        <v>19</v>
      </c>
      <c r="V2" s="9"/>
      <c r="W2" s="9"/>
      <c r="X2" s="9"/>
      <c r="Y2"/>
      <c r="Z2" s="119" t="s">
        <v>23</v>
      </c>
      <c r="AA2" s="119"/>
      <c r="AB2" s="119"/>
      <c r="AC2" s="119"/>
      <c r="AD2" s="119"/>
    </row>
    <row r="3" spans="1:30" ht="15">
      <c r="C3" s="5" t="s">
        <v>10</v>
      </c>
      <c r="D3" s="5">
        <v>72.599999999999994</v>
      </c>
      <c r="E3" s="5" t="s">
        <v>11</v>
      </c>
      <c r="F3" s="5">
        <v>2.7069999999999999</v>
      </c>
      <c r="M3" s="120" t="s">
        <v>24</v>
      </c>
      <c r="N3" s="133" t="s">
        <v>25</v>
      </c>
      <c r="O3" s="134"/>
      <c r="P3" s="134"/>
      <c r="Q3" s="120" t="s">
        <v>26</v>
      </c>
      <c r="R3"/>
      <c r="S3" s="120" t="s">
        <v>24</v>
      </c>
      <c r="T3" s="135" t="s">
        <v>25</v>
      </c>
      <c r="U3" s="136"/>
      <c r="V3" s="136"/>
      <c r="W3" s="120" t="s">
        <v>26</v>
      </c>
      <c r="X3" s="10"/>
      <c r="Y3"/>
      <c r="Z3" s="122" t="s">
        <v>24</v>
      </c>
      <c r="AA3" s="137" t="s">
        <v>25</v>
      </c>
      <c r="AB3" s="138"/>
      <c r="AC3" s="138"/>
      <c r="AD3" s="122" t="s">
        <v>26</v>
      </c>
    </row>
    <row r="4" spans="1:30" ht="15">
      <c r="M4" s="121"/>
      <c r="N4" s="11">
        <v>1</v>
      </c>
      <c r="O4" s="11">
        <v>2</v>
      </c>
      <c r="P4" s="11">
        <v>3</v>
      </c>
      <c r="Q4" s="121"/>
      <c r="R4"/>
      <c r="S4" s="121"/>
      <c r="T4" s="12">
        <v>1</v>
      </c>
      <c r="U4" s="13">
        <v>2</v>
      </c>
      <c r="V4" s="14">
        <v>3</v>
      </c>
      <c r="W4" s="121"/>
      <c r="X4" s="10"/>
      <c r="Y4"/>
      <c r="Z4" s="123"/>
      <c r="AA4" s="15">
        <v>1</v>
      </c>
      <c r="AB4" s="16">
        <v>2</v>
      </c>
      <c r="AC4" s="17">
        <v>3</v>
      </c>
      <c r="AD4" s="123"/>
    </row>
    <row r="5" spans="1:30" ht="15">
      <c r="B5" s="5" t="s">
        <v>12</v>
      </c>
      <c r="D5" s="7" t="e">
        <f>#REF!</f>
        <v>#REF!</v>
      </c>
      <c r="E5" s="5" t="s">
        <v>13</v>
      </c>
      <c r="F5" s="8" t="e">
        <f>#REF!</f>
        <v>#REF!</v>
      </c>
      <c r="M5" s="18">
        <v>5</v>
      </c>
      <c r="N5"/>
      <c r="O5"/>
      <c r="P5"/>
      <c r="Q5" s="19">
        <f>+SUM(N5:P5)</f>
        <v>0</v>
      </c>
      <c r="R5"/>
      <c r="S5" s="20">
        <v>5</v>
      </c>
      <c r="T5" s="21"/>
      <c r="U5" s="21"/>
      <c r="V5" s="21"/>
      <c r="W5" s="27">
        <f t="shared" ref="W5:W33" si="0">SUM(T5:V5)</f>
        <v>0</v>
      </c>
      <c r="X5" s="23"/>
      <c r="Y5">
        <v>5.25</v>
      </c>
      <c r="Z5" s="24">
        <v>5</v>
      </c>
      <c r="AA5" s="25">
        <f>+T5*$I9</f>
        <v>0</v>
      </c>
      <c r="AB5" s="25">
        <f t="shared" ref="AB5:AC5" si="1">+U5*$I9</f>
        <v>0</v>
      </c>
      <c r="AC5" s="25">
        <f t="shared" si="1"/>
        <v>0</v>
      </c>
      <c r="AD5" s="26"/>
    </row>
    <row r="6" spans="1:30" ht="15">
      <c r="M6" s="18">
        <v>5.5</v>
      </c>
      <c r="N6"/>
      <c r="O6"/>
      <c r="P6"/>
      <c r="Q6" s="19">
        <f t="shared" ref="Q6:Q33" si="2">+SUM(N6:P6)</f>
        <v>0</v>
      </c>
      <c r="R6"/>
      <c r="S6" s="20">
        <v>5.5</v>
      </c>
      <c r="T6" s="21"/>
      <c r="U6" s="21"/>
      <c r="V6" s="21"/>
      <c r="W6" s="27">
        <f t="shared" si="0"/>
        <v>0</v>
      </c>
      <c r="X6"/>
      <c r="Y6">
        <v>5.75</v>
      </c>
      <c r="Z6" s="28">
        <v>5.5</v>
      </c>
      <c r="AA6" s="25">
        <f t="shared" ref="AA6:AA28" si="3">+T6*$I10</f>
        <v>0</v>
      </c>
      <c r="AB6" s="25">
        <f t="shared" ref="AB6:AB29" si="4">+U6*$I10</f>
        <v>0</v>
      </c>
      <c r="AC6" s="25">
        <f t="shared" ref="AC6:AC29" si="5">+V6*$I10</f>
        <v>0</v>
      </c>
      <c r="AD6" s="29">
        <f>SUM(AA6:AC6)</f>
        <v>0</v>
      </c>
    </row>
    <row r="7" spans="1:30" ht="15">
      <c r="M7" s="18">
        <v>6</v>
      </c>
      <c r="N7"/>
      <c r="O7"/>
      <c r="P7"/>
      <c r="Q7" s="19">
        <f t="shared" si="2"/>
        <v>0</v>
      </c>
      <c r="R7"/>
      <c r="S7" s="20">
        <v>6</v>
      </c>
      <c r="T7" s="21"/>
      <c r="U7" s="21"/>
      <c r="V7" s="21"/>
      <c r="W7" s="27">
        <f t="shared" si="0"/>
        <v>0</v>
      </c>
      <c r="X7"/>
      <c r="Y7">
        <v>6.25</v>
      </c>
      <c r="Z7" s="28">
        <v>6</v>
      </c>
      <c r="AA7" s="25">
        <f t="shared" si="3"/>
        <v>0</v>
      </c>
      <c r="AB7" s="25">
        <f t="shared" si="4"/>
        <v>0</v>
      </c>
      <c r="AC7" s="25">
        <f t="shared" si="5"/>
        <v>0</v>
      </c>
      <c r="AD7" s="29">
        <f t="shared" ref="AD7:AD33" si="6">SUM(AA7:AC7)</f>
        <v>0</v>
      </c>
    </row>
    <row r="8" spans="1:30" ht="15">
      <c r="A8" s="5" t="s">
        <v>14</v>
      </c>
      <c r="B8" s="5" t="s">
        <v>2</v>
      </c>
      <c r="D8" s="6" t="s">
        <v>15</v>
      </c>
      <c r="F8" s="5" t="s">
        <v>16</v>
      </c>
      <c r="H8" s="41" t="s">
        <v>30</v>
      </c>
      <c r="I8" s="41" t="s">
        <v>21</v>
      </c>
      <c r="J8" s="41" t="s">
        <v>22</v>
      </c>
      <c r="M8" s="18">
        <v>6.5</v>
      </c>
      <c r="N8"/>
      <c r="O8"/>
      <c r="P8"/>
      <c r="Q8" s="19">
        <f t="shared" si="2"/>
        <v>0</v>
      </c>
      <c r="R8"/>
      <c r="S8" s="20">
        <v>6.5</v>
      </c>
      <c r="T8" s="21"/>
      <c r="U8" s="21"/>
      <c r="V8" s="21"/>
      <c r="W8" s="27">
        <f t="shared" si="0"/>
        <v>0</v>
      </c>
      <c r="X8"/>
      <c r="Y8">
        <v>6.75</v>
      </c>
      <c r="Z8" s="28">
        <v>6.5</v>
      </c>
      <c r="AA8" s="25">
        <f t="shared" si="3"/>
        <v>0</v>
      </c>
      <c r="AB8" s="25">
        <f t="shared" si="4"/>
        <v>0</v>
      </c>
      <c r="AC8" s="25">
        <f t="shared" si="5"/>
        <v>0</v>
      </c>
      <c r="AD8" s="29">
        <f t="shared" si="6"/>
        <v>0</v>
      </c>
    </row>
    <row r="9" spans="1:30" ht="15">
      <c r="H9" s="41">
        <v>5</v>
      </c>
      <c r="I9" s="43">
        <v>0</v>
      </c>
      <c r="J9" s="44">
        <v>0</v>
      </c>
      <c r="M9" s="18">
        <v>7</v>
      </c>
      <c r="N9"/>
      <c r="O9"/>
      <c r="P9"/>
      <c r="Q9" s="19">
        <f t="shared" si="2"/>
        <v>0</v>
      </c>
      <c r="R9"/>
      <c r="S9" s="20">
        <v>7</v>
      </c>
      <c r="T9" s="21"/>
      <c r="U9" s="21"/>
      <c r="V9" s="21"/>
      <c r="W9" s="27">
        <f t="shared" si="0"/>
        <v>0</v>
      </c>
      <c r="X9"/>
      <c r="Y9">
        <v>7.25</v>
      </c>
      <c r="Z9" s="28">
        <v>7</v>
      </c>
      <c r="AA9" s="25">
        <f t="shared" si="3"/>
        <v>0</v>
      </c>
      <c r="AB9" s="25">
        <f t="shared" si="4"/>
        <v>0</v>
      </c>
      <c r="AC9" s="25">
        <f t="shared" si="5"/>
        <v>0</v>
      </c>
      <c r="AD9" s="29">
        <f t="shared" si="6"/>
        <v>0</v>
      </c>
    </row>
    <row r="10" spans="1:30" ht="15">
      <c r="A10" s="5">
        <v>5</v>
      </c>
      <c r="B10" s="48">
        <v>0</v>
      </c>
      <c r="C10" s="8"/>
      <c r="D10" s="5">
        <f t="shared" ref="D10:D44" si="7">B10/(((A10+0.25)^(-$D$2/10))*(10^($D$3/10))/(4*PI()))</f>
        <v>0</v>
      </c>
      <c r="F10" s="5" t="e">
        <f t="shared" ref="F10:F44" si="8">$D$5*B10/$D$46</f>
        <v>#REF!</v>
      </c>
      <c r="H10" s="41">
        <f t="shared" ref="H10:H43" si="9">H9+0.5</f>
        <v>5.5</v>
      </c>
      <c r="I10" s="43">
        <v>0</v>
      </c>
      <c r="J10" s="44">
        <v>0</v>
      </c>
      <c r="L10" s="2"/>
      <c r="M10" s="18">
        <v>7.5</v>
      </c>
      <c r="N10"/>
      <c r="O10"/>
      <c r="P10"/>
      <c r="Q10" s="19">
        <f t="shared" si="2"/>
        <v>0</v>
      </c>
      <c r="R10"/>
      <c r="S10" s="20">
        <v>7.5</v>
      </c>
      <c r="T10" s="21"/>
      <c r="U10" s="21"/>
      <c r="V10" s="21"/>
      <c r="W10" s="27">
        <f t="shared" si="0"/>
        <v>0</v>
      </c>
      <c r="X10"/>
      <c r="Y10">
        <v>7.75</v>
      </c>
      <c r="Z10" s="28">
        <v>7.5</v>
      </c>
      <c r="AA10" s="25">
        <f t="shared" si="3"/>
        <v>0</v>
      </c>
      <c r="AB10" s="25">
        <f t="shared" si="4"/>
        <v>0</v>
      </c>
      <c r="AC10" s="25">
        <f t="shared" si="5"/>
        <v>0</v>
      </c>
      <c r="AD10" s="29">
        <f t="shared" si="6"/>
        <v>0</v>
      </c>
    </row>
    <row r="11" spans="1:30" ht="15">
      <c r="A11" s="5">
        <f t="shared" ref="A11:A44" si="10">A10+0.5</f>
        <v>5.5</v>
      </c>
      <c r="B11" s="48">
        <v>0</v>
      </c>
      <c r="C11" s="8"/>
      <c r="D11" s="5">
        <f t="shared" si="7"/>
        <v>0</v>
      </c>
      <c r="F11" s="5" t="e">
        <f t="shared" si="8"/>
        <v>#REF!</v>
      </c>
      <c r="H11" s="41">
        <f t="shared" si="9"/>
        <v>6</v>
      </c>
      <c r="I11" s="43">
        <v>0</v>
      </c>
      <c r="J11" s="44">
        <v>0</v>
      </c>
      <c r="L11" s="2"/>
      <c r="M11" s="18">
        <v>8</v>
      </c>
      <c r="N11"/>
      <c r="O11"/>
      <c r="P11"/>
      <c r="Q11" s="19">
        <f t="shared" si="2"/>
        <v>0</v>
      </c>
      <c r="R11"/>
      <c r="S11" s="20">
        <v>8</v>
      </c>
      <c r="T11" s="21"/>
      <c r="U11" s="21"/>
      <c r="V11" s="21"/>
      <c r="W11" s="27">
        <f t="shared" si="0"/>
        <v>0</v>
      </c>
      <c r="X11"/>
      <c r="Y11">
        <v>8.25</v>
      </c>
      <c r="Z11" s="28">
        <v>8</v>
      </c>
      <c r="AA11" s="25">
        <f t="shared" si="3"/>
        <v>0</v>
      </c>
      <c r="AB11" s="25">
        <f t="shared" si="4"/>
        <v>0</v>
      </c>
      <c r="AC11" s="25">
        <f t="shared" si="5"/>
        <v>0</v>
      </c>
      <c r="AD11" s="29">
        <f t="shared" si="6"/>
        <v>0</v>
      </c>
    </row>
    <row r="12" spans="1:30" ht="15">
      <c r="A12" s="5">
        <f t="shared" si="10"/>
        <v>6</v>
      </c>
      <c r="B12" s="48">
        <v>0</v>
      </c>
      <c r="C12" s="8"/>
      <c r="D12" s="5">
        <f t="shared" si="7"/>
        <v>0</v>
      </c>
      <c r="F12" s="5" t="e">
        <f t="shared" si="8"/>
        <v>#REF!</v>
      </c>
      <c r="H12" s="41">
        <f t="shared" si="9"/>
        <v>6.5</v>
      </c>
      <c r="I12" s="43">
        <v>0</v>
      </c>
      <c r="J12" s="44">
        <v>0</v>
      </c>
      <c r="L12" s="2"/>
      <c r="M12" s="18">
        <v>8.5</v>
      </c>
      <c r="N12"/>
      <c r="O12"/>
      <c r="P12"/>
      <c r="Q12" s="19">
        <f t="shared" si="2"/>
        <v>0</v>
      </c>
      <c r="R12"/>
      <c r="S12" s="20">
        <v>8.5</v>
      </c>
      <c r="T12" s="21"/>
      <c r="U12" s="21"/>
      <c r="V12" s="21"/>
      <c r="W12" s="27">
        <f t="shared" si="0"/>
        <v>0</v>
      </c>
      <c r="X12"/>
      <c r="Y12">
        <v>8.75</v>
      </c>
      <c r="Z12" s="28">
        <v>8.5</v>
      </c>
      <c r="AA12" s="25">
        <f t="shared" si="3"/>
        <v>0</v>
      </c>
      <c r="AB12" s="25">
        <f t="shared" si="4"/>
        <v>0</v>
      </c>
      <c r="AC12" s="25">
        <f t="shared" si="5"/>
        <v>0</v>
      </c>
      <c r="AD12" s="29">
        <f t="shared" si="6"/>
        <v>0</v>
      </c>
    </row>
    <row r="13" spans="1:30" ht="15">
      <c r="A13" s="5">
        <f t="shared" si="10"/>
        <v>6.5</v>
      </c>
      <c r="B13" s="48">
        <v>0</v>
      </c>
      <c r="C13" s="8"/>
      <c r="D13" s="5">
        <f t="shared" si="7"/>
        <v>0</v>
      </c>
      <c r="F13" s="5" t="e">
        <f t="shared" si="8"/>
        <v>#REF!</v>
      </c>
      <c r="H13" s="41">
        <f t="shared" si="9"/>
        <v>7</v>
      </c>
      <c r="I13" s="43">
        <v>0</v>
      </c>
      <c r="J13" s="44">
        <v>0</v>
      </c>
      <c r="L13" s="2"/>
      <c r="M13" s="18">
        <v>9</v>
      </c>
      <c r="N13"/>
      <c r="O13"/>
      <c r="P13"/>
      <c r="Q13" s="19">
        <f t="shared" si="2"/>
        <v>0</v>
      </c>
      <c r="R13"/>
      <c r="S13" s="20">
        <v>9</v>
      </c>
      <c r="T13" s="21"/>
      <c r="U13" s="21"/>
      <c r="V13" s="21"/>
      <c r="W13" s="27">
        <f t="shared" si="0"/>
        <v>0</v>
      </c>
      <c r="X13"/>
      <c r="Y13">
        <v>9.25</v>
      </c>
      <c r="Z13" s="28">
        <v>9</v>
      </c>
      <c r="AA13" s="25">
        <f t="shared" si="3"/>
        <v>0</v>
      </c>
      <c r="AB13" s="25">
        <f t="shared" si="4"/>
        <v>0</v>
      </c>
      <c r="AC13" s="25">
        <f t="shared" si="5"/>
        <v>0</v>
      </c>
      <c r="AD13" s="29">
        <f t="shared" si="6"/>
        <v>0</v>
      </c>
    </row>
    <row r="14" spans="1:30" ht="15">
      <c r="A14" s="5">
        <f t="shared" si="10"/>
        <v>7</v>
      </c>
      <c r="B14" s="48">
        <v>0</v>
      </c>
      <c r="C14" s="8"/>
      <c r="D14" s="5">
        <f t="shared" si="7"/>
        <v>0</v>
      </c>
      <c r="F14" s="5" t="e">
        <f t="shared" si="8"/>
        <v>#REF!</v>
      </c>
      <c r="H14" s="41">
        <f t="shared" si="9"/>
        <v>7.5</v>
      </c>
      <c r="I14" s="43">
        <v>0</v>
      </c>
      <c r="J14" s="44">
        <v>0</v>
      </c>
      <c r="L14" s="2"/>
      <c r="M14" s="18">
        <v>9.5</v>
      </c>
      <c r="N14"/>
      <c r="O14"/>
      <c r="P14"/>
      <c r="Q14" s="19">
        <f t="shared" si="2"/>
        <v>0</v>
      </c>
      <c r="R14"/>
      <c r="S14" s="20">
        <v>9.5</v>
      </c>
      <c r="T14" s="21"/>
      <c r="U14" s="21"/>
      <c r="V14" s="21"/>
      <c r="W14" s="27">
        <f t="shared" si="0"/>
        <v>0</v>
      </c>
      <c r="X14"/>
      <c r="Y14">
        <v>9.75</v>
      </c>
      <c r="Z14" s="28">
        <v>9.5</v>
      </c>
      <c r="AA14" s="25">
        <f t="shared" si="3"/>
        <v>0</v>
      </c>
      <c r="AB14" s="25">
        <f t="shared" si="4"/>
        <v>0</v>
      </c>
      <c r="AC14" s="25">
        <f t="shared" si="5"/>
        <v>0</v>
      </c>
      <c r="AD14" s="29">
        <f>SUM(AA14:AC14)</f>
        <v>0</v>
      </c>
    </row>
    <row r="15" spans="1:30" ht="15">
      <c r="A15" s="5">
        <f t="shared" si="10"/>
        <v>7.5</v>
      </c>
      <c r="B15" s="48">
        <v>0</v>
      </c>
      <c r="C15" s="8"/>
      <c r="D15" s="5">
        <f t="shared" si="7"/>
        <v>0</v>
      </c>
      <c r="F15" s="5" t="e">
        <f t="shared" si="8"/>
        <v>#REF!</v>
      </c>
      <c r="H15" s="41">
        <f t="shared" si="9"/>
        <v>8</v>
      </c>
      <c r="I15" s="43">
        <v>0</v>
      </c>
      <c r="J15" s="44">
        <v>0</v>
      </c>
      <c r="L15" s="2"/>
      <c r="M15" s="18">
        <v>10</v>
      </c>
      <c r="N15"/>
      <c r="O15"/>
      <c r="P15"/>
      <c r="Q15" s="19">
        <f t="shared" si="2"/>
        <v>0</v>
      </c>
      <c r="R15"/>
      <c r="S15" s="20">
        <v>10</v>
      </c>
      <c r="T15" s="21"/>
      <c r="U15" s="21"/>
      <c r="V15" s="21"/>
      <c r="W15" s="27">
        <f>SUM(T15:V15)</f>
        <v>0</v>
      </c>
      <c r="X15"/>
      <c r="Y15">
        <v>10.25</v>
      </c>
      <c r="Z15" s="28">
        <v>10</v>
      </c>
      <c r="AA15" s="25">
        <f t="shared" si="3"/>
        <v>0</v>
      </c>
      <c r="AB15" s="25">
        <f t="shared" si="4"/>
        <v>0</v>
      </c>
      <c r="AC15" s="25">
        <f t="shared" si="5"/>
        <v>0</v>
      </c>
      <c r="AD15" s="29">
        <f t="shared" si="6"/>
        <v>0</v>
      </c>
    </row>
    <row r="16" spans="1:30" ht="15">
      <c r="A16" s="5">
        <f t="shared" si="10"/>
        <v>8</v>
      </c>
      <c r="B16" s="48">
        <v>0</v>
      </c>
      <c r="C16" s="8"/>
      <c r="D16" s="5">
        <f t="shared" si="7"/>
        <v>0</v>
      </c>
      <c r="F16" s="5" t="e">
        <f t="shared" si="8"/>
        <v>#REF!</v>
      </c>
      <c r="H16" s="41">
        <f t="shared" si="9"/>
        <v>8.5</v>
      </c>
      <c r="I16" s="43">
        <v>0</v>
      </c>
      <c r="J16" s="44">
        <v>0</v>
      </c>
      <c r="L16" s="2"/>
      <c r="M16" s="18">
        <v>10.5</v>
      </c>
      <c r="N16"/>
      <c r="O16"/>
      <c r="P16"/>
      <c r="Q16" s="19">
        <f t="shared" si="2"/>
        <v>0</v>
      </c>
      <c r="R16"/>
      <c r="S16" s="20">
        <v>10.5</v>
      </c>
      <c r="T16" s="21"/>
      <c r="U16" s="21"/>
      <c r="V16" s="21"/>
      <c r="W16" s="27">
        <f t="shared" si="0"/>
        <v>0</v>
      </c>
      <c r="X16"/>
      <c r="Y16">
        <v>10.75</v>
      </c>
      <c r="Z16" s="28">
        <v>10.5</v>
      </c>
      <c r="AA16" s="25">
        <f t="shared" si="3"/>
        <v>0</v>
      </c>
      <c r="AB16" s="25">
        <f t="shared" si="4"/>
        <v>0</v>
      </c>
      <c r="AC16" s="25">
        <f t="shared" si="5"/>
        <v>0</v>
      </c>
      <c r="AD16" s="29">
        <f t="shared" si="6"/>
        <v>0</v>
      </c>
    </row>
    <row r="17" spans="1:30" ht="15">
      <c r="A17" s="5">
        <f t="shared" si="10"/>
        <v>8.5</v>
      </c>
      <c r="B17" s="48">
        <v>0</v>
      </c>
      <c r="C17" s="8"/>
      <c r="D17" s="5">
        <f t="shared" si="7"/>
        <v>0</v>
      </c>
      <c r="F17" s="5" t="e">
        <f t="shared" si="8"/>
        <v>#REF!</v>
      </c>
      <c r="H17" s="41">
        <f t="shared" si="9"/>
        <v>9</v>
      </c>
      <c r="I17" s="43">
        <v>0</v>
      </c>
      <c r="J17" s="44">
        <v>0</v>
      </c>
      <c r="L17" s="2"/>
      <c r="M17" s="18">
        <v>11</v>
      </c>
      <c r="N17"/>
      <c r="O17"/>
      <c r="P17"/>
      <c r="Q17" s="19">
        <f t="shared" si="2"/>
        <v>0</v>
      </c>
      <c r="R17"/>
      <c r="S17" s="20">
        <v>11</v>
      </c>
      <c r="T17" s="21"/>
      <c r="U17" s="21"/>
      <c r="V17" s="21"/>
      <c r="W17" s="27">
        <f t="shared" si="0"/>
        <v>0</v>
      </c>
      <c r="X17"/>
      <c r="Y17">
        <v>11.25</v>
      </c>
      <c r="Z17" s="28">
        <v>11</v>
      </c>
      <c r="AA17" s="25">
        <f t="shared" si="3"/>
        <v>0</v>
      </c>
      <c r="AB17" s="25">
        <f t="shared" si="4"/>
        <v>0</v>
      </c>
      <c r="AC17" s="25">
        <f t="shared" si="5"/>
        <v>0</v>
      </c>
      <c r="AD17" s="29">
        <f t="shared" si="6"/>
        <v>0</v>
      </c>
    </row>
    <row r="18" spans="1:30" ht="15">
      <c r="A18" s="5">
        <f t="shared" si="10"/>
        <v>9</v>
      </c>
      <c r="B18" s="48">
        <v>0</v>
      </c>
      <c r="C18" s="8"/>
      <c r="D18" s="5">
        <f t="shared" si="7"/>
        <v>0</v>
      </c>
      <c r="F18" s="5" t="e">
        <f t="shared" si="8"/>
        <v>#REF!</v>
      </c>
      <c r="H18" s="41">
        <f t="shared" si="9"/>
        <v>9.5</v>
      </c>
      <c r="I18" s="43">
        <v>0</v>
      </c>
      <c r="J18" s="44">
        <v>0</v>
      </c>
      <c r="L18" s="2"/>
      <c r="M18" s="18">
        <v>11.5</v>
      </c>
      <c r="N18"/>
      <c r="O18"/>
      <c r="P18"/>
      <c r="Q18" s="19">
        <f t="shared" si="2"/>
        <v>0</v>
      </c>
      <c r="R18"/>
      <c r="S18" s="20">
        <v>11.5</v>
      </c>
      <c r="T18" s="21"/>
      <c r="U18" s="21"/>
      <c r="V18" s="21"/>
      <c r="W18" s="27">
        <f t="shared" si="0"/>
        <v>0</v>
      </c>
      <c r="X18"/>
      <c r="Y18">
        <v>11.75</v>
      </c>
      <c r="Z18" s="28">
        <v>11.5</v>
      </c>
      <c r="AA18" s="25">
        <f t="shared" si="3"/>
        <v>0</v>
      </c>
      <c r="AB18" s="25">
        <f t="shared" si="4"/>
        <v>0</v>
      </c>
      <c r="AC18" s="25">
        <f t="shared" si="5"/>
        <v>0</v>
      </c>
      <c r="AD18" s="29">
        <f t="shared" si="6"/>
        <v>0</v>
      </c>
    </row>
    <row r="19" spans="1:30" ht="15">
      <c r="A19" s="5">
        <f t="shared" si="10"/>
        <v>9.5</v>
      </c>
      <c r="B19" s="48">
        <v>0</v>
      </c>
      <c r="C19" s="8"/>
      <c r="D19" s="5">
        <f t="shared" si="7"/>
        <v>0</v>
      </c>
      <c r="F19" s="5" t="e">
        <f t="shared" si="8"/>
        <v>#REF!</v>
      </c>
      <c r="H19" s="41">
        <f t="shared" si="9"/>
        <v>10</v>
      </c>
      <c r="I19" s="43">
        <v>0</v>
      </c>
      <c r="J19" s="44">
        <v>0</v>
      </c>
      <c r="L19" s="2"/>
      <c r="M19" s="18">
        <v>12</v>
      </c>
      <c r="N19">
        <v>1</v>
      </c>
      <c r="O19"/>
      <c r="P19"/>
      <c r="Q19" s="19">
        <f t="shared" si="2"/>
        <v>1</v>
      </c>
      <c r="R19"/>
      <c r="S19" s="20">
        <v>12</v>
      </c>
      <c r="T19" s="21">
        <f t="shared" ref="T19" si="11">+N19/$Q19</f>
        <v>1</v>
      </c>
      <c r="U19" s="21">
        <f t="shared" ref="U19" si="12">+O19/$Q19</f>
        <v>0</v>
      </c>
      <c r="V19" s="21">
        <f t="shared" ref="V19" si="13">+P19/$Q19</f>
        <v>0</v>
      </c>
      <c r="W19" s="27">
        <f t="shared" si="0"/>
        <v>1</v>
      </c>
      <c r="X19"/>
      <c r="Y19">
        <v>12.25</v>
      </c>
      <c r="Z19" s="28">
        <v>12</v>
      </c>
      <c r="AA19" s="25">
        <f t="shared" si="3"/>
        <v>0</v>
      </c>
      <c r="AB19" s="25">
        <f t="shared" si="4"/>
        <v>0</v>
      </c>
      <c r="AC19" s="25">
        <f t="shared" si="5"/>
        <v>0</v>
      </c>
      <c r="AD19" s="29">
        <f t="shared" si="6"/>
        <v>0</v>
      </c>
    </row>
    <row r="20" spans="1:30" ht="15">
      <c r="A20" s="5">
        <f t="shared" si="10"/>
        <v>10</v>
      </c>
      <c r="B20" s="48">
        <v>0</v>
      </c>
      <c r="C20" s="8"/>
      <c r="D20" s="5">
        <f t="shared" si="7"/>
        <v>0</v>
      </c>
      <c r="F20" s="5" t="e">
        <f t="shared" si="8"/>
        <v>#REF!</v>
      </c>
      <c r="H20" s="41">
        <f t="shared" si="9"/>
        <v>10.5</v>
      </c>
      <c r="I20" s="43">
        <v>0</v>
      </c>
      <c r="J20" s="44">
        <v>0</v>
      </c>
      <c r="L20" s="2"/>
      <c r="M20" s="18">
        <v>12.5</v>
      </c>
      <c r="N20"/>
      <c r="O20"/>
      <c r="P20"/>
      <c r="Q20" s="19">
        <f t="shared" si="2"/>
        <v>0</v>
      </c>
      <c r="R20"/>
      <c r="S20" s="20">
        <v>12.5</v>
      </c>
      <c r="T20" s="21"/>
      <c r="U20" s="21"/>
      <c r="V20" s="21"/>
      <c r="W20" s="27">
        <f t="shared" si="0"/>
        <v>0</v>
      </c>
      <c r="X20"/>
      <c r="Y20">
        <v>12.75</v>
      </c>
      <c r="Z20" s="28">
        <v>12.5</v>
      </c>
      <c r="AA20" s="25">
        <f t="shared" si="3"/>
        <v>0</v>
      </c>
      <c r="AB20" s="25">
        <f t="shared" si="4"/>
        <v>0</v>
      </c>
      <c r="AC20" s="25">
        <f t="shared" si="5"/>
        <v>0</v>
      </c>
      <c r="AD20" s="29">
        <f t="shared" si="6"/>
        <v>0</v>
      </c>
    </row>
    <row r="21" spans="1:30" ht="15">
      <c r="A21" s="5">
        <f t="shared" si="10"/>
        <v>10.5</v>
      </c>
      <c r="B21" s="48">
        <v>0</v>
      </c>
      <c r="C21" s="8"/>
      <c r="D21" s="5">
        <f t="shared" si="7"/>
        <v>0</v>
      </c>
      <c r="F21" s="5" t="e">
        <f t="shared" si="8"/>
        <v>#REF!</v>
      </c>
      <c r="H21" s="41">
        <f t="shared" si="9"/>
        <v>11</v>
      </c>
      <c r="I21" s="43">
        <v>0</v>
      </c>
      <c r="J21" s="44">
        <v>0</v>
      </c>
      <c r="L21" s="2"/>
      <c r="M21" s="18">
        <v>13</v>
      </c>
      <c r="N21"/>
      <c r="O21">
        <v>1</v>
      </c>
      <c r="P21"/>
      <c r="Q21" s="19">
        <f t="shared" si="2"/>
        <v>1</v>
      </c>
      <c r="R21"/>
      <c r="S21" s="20">
        <v>13</v>
      </c>
      <c r="T21" s="21">
        <f t="shared" ref="T21:T33" si="14">+N21/$Q21</f>
        <v>0</v>
      </c>
      <c r="U21" s="21">
        <f t="shared" ref="U21:U33" si="15">+O21/$Q21</f>
        <v>1</v>
      </c>
      <c r="V21" s="21">
        <f t="shared" ref="V21:V33" si="16">+P21/$Q21</f>
        <v>0</v>
      </c>
      <c r="W21" s="27">
        <f t="shared" si="0"/>
        <v>1</v>
      </c>
      <c r="X21"/>
      <c r="Y21">
        <v>13.25</v>
      </c>
      <c r="Z21" s="28">
        <v>13</v>
      </c>
      <c r="AA21" s="25">
        <f t="shared" si="3"/>
        <v>0</v>
      </c>
      <c r="AB21" s="25">
        <f t="shared" si="4"/>
        <v>0</v>
      </c>
      <c r="AC21" s="25">
        <f t="shared" si="5"/>
        <v>0</v>
      </c>
      <c r="AD21" s="29">
        <f t="shared" si="6"/>
        <v>0</v>
      </c>
    </row>
    <row r="22" spans="1:30" ht="15">
      <c r="A22" s="5">
        <f t="shared" si="10"/>
        <v>11</v>
      </c>
      <c r="B22" s="48">
        <v>0</v>
      </c>
      <c r="C22" s="8"/>
      <c r="D22" s="5">
        <f t="shared" si="7"/>
        <v>0</v>
      </c>
      <c r="F22" s="5" t="e">
        <f t="shared" si="8"/>
        <v>#REF!</v>
      </c>
      <c r="H22" s="41">
        <f t="shared" si="9"/>
        <v>11.5</v>
      </c>
      <c r="I22" s="43">
        <v>0</v>
      </c>
      <c r="J22" s="44">
        <v>0</v>
      </c>
      <c r="L22" s="2"/>
      <c r="M22" s="18">
        <v>13.5</v>
      </c>
      <c r="N22"/>
      <c r="O22">
        <v>3</v>
      </c>
      <c r="P22"/>
      <c r="Q22" s="19">
        <f t="shared" si="2"/>
        <v>3</v>
      </c>
      <c r="R22"/>
      <c r="S22" s="20">
        <v>13.5</v>
      </c>
      <c r="T22" s="21">
        <f t="shared" si="14"/>
        <v>0</v>
      </c>
      <c r="U22" s="21">
        <f t="shared" si="15"/>
        <v>1</v>
      </c>
      <c r="V22" s="21">
        <f t="shared" si="16"/>
        <v>0</v>
      </c>
      <c r="W22" s="27">
        <f t="shared" si="0"/>
        <v>1</v>
      </c>
      <c r="X22"/>
      <c r="Y22">
        <v>13.75</v>
      </c>
      <c r="Z22" s="28">
        <v>13.5</v>
      </c>
      <c r="AA22" s="25">
        <f t="shared" si="3"/>
        <v>0</v>
      </c>
      <c r="AB22" s="25">
        <f t="shared" si="4"/>
        <v>0</v>
      </c>
      <c r="AC22" s="25">
        <f t="shared" si="5"/>
        <v>0</v>
      </c>
      <c r="AD22" s="29">
        <f t="shared" si="6"/>
        <v>0</v>
      </c>
    </row>
    <row r="23" spans="1:30" ht="15">
      <c r="A23" s="5">
        <f t="shared" si="10"/>
        <v>11.5</v>
      </c>
      <c r="B23" s="48">
        <v>0</v>
      </c>
      <c r="C23" s="8"/>
      <c r="D23" s="5">
        <f t="shared" si="7"/>
        <v>0</v>
      </c>
      <c r="F23" s="5" t="e">
        <f t="shared" si="8"/>
        <v>#REF!</v>
      </c>
      <c r="H23" s="41">
        <f t="shared" si="9"/>
        <v>12</v>
      </c>
      <c r="I23" s="43">
        <v>0</v>
      </c>
      <c r="J23" s="44">
        <v>0</v>
      </c>
      <c r="L23" s="2"/>
      <c r="M23" s="18">
        <v>14</v>
      </c>
      <c r="N23"/>
      <c r="O23"/>
      <c r="P23"/>
      <c r="Q23" s="19">
        <f t="shared" si="2"/>
        <v>0</v>
      </c>
      <c r="R23"/>
      <c r="S23" s="20">
        <v>14</v>
      </c>
      <c r="T23" s="21"/>
      <c r="U23" s="21"/>
      <c r="V23" s="21"/>
      <c r="W23" s="27">
        <f t="shared" si="0"/>
        <v>0</v>
      </c>
      <c r="X23"/>
      <c r="Y23">
        <v>14.25</v>
      </c>
      <c r="Z23" s="28">
        <v>14</v>
      </c>
      <c r="AA23" s="25">
        <f t="shared" si="3"/>
        <v>0</v>
      </c>
      <c r="AB23" s="25">
        <f t="shared" si="4"/>
        <v>0</v>
      </c>
      <c r="AC23" s="25">
        <f t="shared" si="5"/>
        <v>0</v>
      </c>
      <c r="AD23" s="29">
        <f t="shared" si="6"/>
        <v>0</v>
      </c>
    </row>
    <row r="24" spans="1:30" ht="15">
      <c r="A24" s="5">
        <f t="shared" si="10"/>
        <v>12</v>
      </c>
      <c r="B24" s="48">
        <v>0</v>
      </c>
      <c r="C24" s="8"/>
      <c r="D24" s="5">
        <f t="shared" si="7"/>
        <v>0</v>
      </c>
      <c r="F24" s="5" t="e">
        <f t="shared" si="8"/>
        <v>#REF!</v>
      </c>
      <c r="H24" s="41">
        <f t="shared" si="9"/>
        <v>12.5</v>
      </c>
      <c r="I24" s="43">
        <v>0</v>
      </c>
      <c r="J24" s="44">
        <v>0</v>
      </c>
      <c r="L24" s="2"/>
      <c r="M24" s="18">
        <v>14.5</v>
      </c>
      <c r="N24"/>
      <c r="O24">
        <v>1</v>
      </c>
      <c r="P24"/>
      <c r="Q24" s="19">
        <f t="shared" si="2"/>
        <v>1</v>
      </c>
      <c r="R24"/>
      <c r="S24" s="20">
        <v>14.5</v>
      </c>
      <c r="T24" s="21">
        <f t="shared" si="14"/>
        <v>0</v>
      </c>
      <c r="U24" s="21">
        <f t="shared" si="15"/>
        <v>1</v>
      </c>
      <c r="V24" s="21">
        <f t="shared" si="16"/>
        <v>0</v>
      </c>
      <c r="W24" s="27">
        <f t="shared" si="0"/>
        <v>1</v>
      </c>
      <c r="X24"/>
      <c r="Y24">
        <v>14.75</v>
      </c>
      <c r="Z24" s="28">
        <v>14.5</v>
      </c>
      <c r="AA24" s="25">
        <f t="shared" si="3"/>
        <v>0</v>
      </c>
      <c r="AB24" s="25">
        <f t="shared" si="4"/>
        <v>69.404150038859527</v>
      </c>
      <c r="AC24" s="25">
        <f t="shared" si="5"/>
        <v>0</v>
      </c>
      <c r="AD24" s="29">
        <f t="shared" si="6"/>
        <v>69.404150038859527</v>
      </c>
    </row>
    <row r="25" spans="1:30" ht="15">
      <c r="A25" s="5">
        <f t="shared" si="10"/>
        <v>12.5</v>
      </c>
      <c r="B25" s="48">
        <v>0</v>
      </c>
      <c r="D25" s="5">
        <f t="shared" si="7"/>
        <v>0</v>
      </c>
      <c r="F25" s="5" t="e">
        <f t="shared" si="8"/>
        <v>#REF!</v>
      </c>
      <c r="H25" s="41">
        <f t="shared" si="9"/>
        <v>13</v>
      </c>
      <c r="I25" s="43">
        <v>0</v>
      </c>
      <c r="J25" s="44">
        <v>0</v>
      </c>
      <c r="M25" s="18">
        <v>15</v>
      </c>
      <c r="N25"/>
      <c r="O25">
        <v>4</v>
      </c>
      <c r="P25"/>
      <c r="Q25" s="19">
        <f t="shared" si="2"/>
        <v>4</v>
      </c>
      <c r="R25"/>
      <c r="S25" s="20">
        <v>15</v>
      </c>
      <c r="T25" s="21">
        <f t="shared" si="14"/>
        <v>0</v>
      </c>
      <c r="U25" s="21">
        <f t="shared" si="15"/>
        <v>1</v>
      </c>
      <c r="V25" s="21">
        <f t="shared" si="16"/>
        <v>0</v>
      </c>
      <c r="W25" s="27">
        <f t="shared" si="0"/>
        <v>1</v>
      </c>
      <c r="X25"/>
      <c r="Y25">
        <v>15.25</v>
      </c>
      <c r="Z25" s="28">
        <v>15</v>
      </c>
      <c r="AA25" s="25">
        <f t="shared" si="3"/>
        <v>0</v>
      </c>
      <c r="AB25" s="25">
        <f t="shared" si="4"/>
        <v>312.31867517486791</v>
      </c>
      <c r="AC25" s="25">
        <f t="shared" si="5"/>
        <v>0</v>
      </c>
      <c r="AD25" s="29">
        <f t="shared" si="6"/>
        <v>312.31867517486791</v>
      </c>
    </row>
    <row r="26" spans="1:30" ht="15">
      <c r="A26" s="5">
        <f t="shared" si="10"/>
        <v>13</v>
      </c>
      <c r="B26" s="48">
        <v>0</v>
      </c>
      <c r="D26" s="5">
        <f t="shared" si="7"/>
        <v>0</v>
      </c>
      <c r="F26" s="5" t="e">
        <f t="shared" si="8"/>
        <v>#REF!</v>
      </c>
      <c r="H26" s="41">
        <f t="shared" si="9"/>
        <v>13.5</v>
      </c>
      <c r="I26" s="43">
        <v>0</v>
      </c>
      <c r="J26" s="44">
        <v>0</v>
      </c>
      <c r="M26" s="18">
        <v>15.5</v>
      </c>
      <c r="N26"/>
      <c r="O26">
        <v>8</v>
      </c>
      <c r="P26">
        <v>1</v>
      </c>
      <c r="Q26" s="19">
        <f t="shared" si="2"/>
        <v>9</v>
      </c>
      <c r="R26"/>
      <c r="S26" s="20">
        <v>15.5</v>
      </c>
      <c r="T26" s="21">
        <f t="shared" si="14"/>
        <v>0</v>
      </c>
      <c r="U26" s="21">
        <f t="shared" si="15"/>
        <v>0.88888888888888884</v>
      </c>
      <c r="V26" s="21">
        <f t="shared" si="16"/>
        <v>0.1111111111111111</v>
      </c>
      <c r="W26" s="27">
        <f t="shared" si="0"/>
        <v>1</v>
      </c>
      <c r="X26"/>
      <c r="Y26">
        <v>15.75</v>
      </c>
      <c r="Z26" s="28">
        <v>15.5</v>
      </c>
      <c r="AA26" s="25">
        <f t="shared" si="3"/>
        <v>0</v>
      </c>
      <c r="AB26" s="25">
        <f t="shared" si="4"/>
        <v>2128.393934525026</v>
      </c>
      <c r="AC26" s="25">
        <f t="shared" si="5"/>
        <v>266.04924181562825</v>
      </c>
      <c r="AD26" s="29">
        <f>SUM(AA26:AC26)</f>
        <v>2394.4431763406542</v>
      </c>
    </row>
    <row r="27" spans="1:30" ht="15">
      <c r="A27" s="5">
        <f t="shared" si="10"/>
        <v>13.5</v>
      </c>
      <c r="B27" s="48">
        <v>0</v>
      </c>
      <c r="D27" s="5">
        <f t="shared" si="7"/>
        <v>0</v>
      </c>
      <c r="F27" s="5" t="e">
        <f t="shared" si="8"/>
        <v>#REF!</v>
      </c>
      <c r="H27" s="41">
        <f t="shared" si="9"/>
        <v>14</v>
      </c>
      <c r="I27" s="43">
        <v>0</v>
      </c>
      <c r="J27" s="44">
        <v>0</v>
      </c>
      <c r="M27" s="18">
        <v>16</v>
      </c>
      <c r="N27">
        <v>2</v>
      </c>
      <c r="O27">
        <v>7</v>
      </c>
      <c r="P27">
        <v>1</v>
      </c>
      <c r="Q27" s="19">
        <f t="shared" si="2"/>
        <v>10</v>
      </c>
      <c r="R27"/>
      <c r="S27" s="20">
        <v>16</v>
      </c>
      <c r="T27" s="21">
        <f t="shared" si="14"/>
        <v>0.2</v>
      </c>
      <c r="U27" s="21">
        <f t="shared" si="15"/>
        <v>0.7</v>
      </c>
      <c r="V27" s="21">
        <f t="shared" si="16"/>
        <v>0.1</v>
      </c>
      <c r="W27" s="27">
        <f t="shared" si="0"/>
        <v>0.99999999999999989</v>
      </c>
      <c r="X27"/>
      <c r="Y27">
        <v>16.25</v>
      </c>
      <c r="Z27" s="28">
        <v>16</v>
      </c>
      <c r="AA27" s="25">
        <f t="shared" si="3"/>
        <v>818.96897045854257</v>
      </c>
      <c r="AB27" s="25">
        <f t="shared" si="4"/>
        <v>2866.3913966048985</v>
      </c>
      <c r="AC27" s="25">
        <f t="shared" si="5"/>
        <v>409.48448522927129</v>
      </c>
      <c r="AD27" s="29">
        <f t="shared" si="6"/>
        <v>4094.8448522927124</v>
      </c>
    </row>
    <row r="28" spans="1:30" ht="15">
      <c r="A28" s="5">
        <f t="shared" si="10"/>
        <v>14</v>
      </c>
      <c r="B28" s="48">
        <v>0</v>
      </c>
      <c r="D28" s="5">
        <f t="shared" si="7"/>
        <v>0</v>
      </c>
      <c r="F28" s="5" t="e">
        <f t="shared" si="8"/>
        <v>#REF!</v>
      </c>
      <c r="H28" s="57">
        <f t="shared" si="9"/>
        <v>14.5</v>
      </c>
      <c r="I28" s="58">
        <v>69.404150038859527</v>
      </c>
      <c r="J28" s="59">
        <v>1.3767159606545982</v>
      </c>
      <c r="M28" s="18">
        <v>16.5</v>
      </c>
      <c r="N28"/>
      <c r="O28">
        <v>10</v>
      </c>
      <c r="P28">
        <v>1</v>
      </c>
      <c r="Q28" s="19">
        <f t="shared" si="2"/>
        <v>11</v>
      </c>
      <c r="R28"/>
      <c r="S28" s="20">
        <v>16.5</v>
      </c>
      <c r="T28" s="21">
        <f t="shared" si="14"/>
        <v>0</v>
      </c>
      <c r="U28" s="21">
        <f t="shared" si="15"/>
        <v>0.90909090909090906</v>
      </c>
      <c r="V28" s="21">
        <f t="shared" si="16"/>
        <v>9.0909090909090912E-2</v>
      </c>
      <c r="W28" s="27">
        <f t="shared" si="0"/>
        <v>1</v>
      </c>
      <c r="X28"/>
      <c r="Y28">
        <v>16.75</v>
      </c>
      <c r="Z28" s="28">
        <v>16.5</v>
      </c>
      <c r="AA28" s="25">
        <f t="shared" si="3"/>
        <v>0</v>
      </c>
      <c r="AB28" s="25">
        <f t="shared" si="4"/>
        <v>4763.6484799399041</v>
      </c>
      <c r="AC28" s="25">
        <f t="shared" si="5"/>
        <v>476.3648479939904</v>
      </c>
      <c r="AD28" s="29">
        <f t="shared" si="6"/>
        <v>5240.0133279338943</v>
      </c>
    </row>
    <row r="29" spans="1:30" ht="15">
      <c r="A29" s="5">
        <f t="shared" si="10"/>
        <v>14.5</v>
      </c>
      <c r="B29" s="48">
        <v>0.5</v>
      </c>
      <c r="D29" s="5">
        <f t="shared" si="7"/>
        <v>7.512144080854349E-5</v>
      </c>
      <c r="F29" s="5" t="e">
        <f t="shared" si="8"/>
        <v>#REF!</v>
      </c>
      <c r="H29" s="57">
        <f t="shared" si="9"/>
        <v>15</v>
      </c>
      <c r="I29" s="58">
        <v>312.31867517486791</v>
      </c>
      <c r="J29" s="59">
        <v>6.7802909287397508</v>
      </c>
      <c r="M29" s="18">
        <v>17</v>
      </c>
      <c r="N29"/>
      <c r="O29">
        <v>7</v>
      </c>
      <c r="P29">
        <v>3</v>
      </c>
      <c r="Q29" s="19">
        <f t="shared" si="2"/>
        <v>10</v>
      </c>
      <c r="R29"/>
      <c r="S29" s="20">
        <v>17</v>
      </c>
      <c r="T29" s="21">
        <f t="shared" si="14"/>
        <v>0</v>
      </c>
      <c r="U29" s="21">
        <f t="shared" si="15"/>
        <v>0.7</v>
      </c>
      <c r="V29" s="21">
        <f t="shared" si="16"/>
        <v>0.3</v>
      </c>
      <c r="W29" s="27">
        <f t="shared" si="0"/>
        <v>1</v>
      </c>
      <c r="X29"/>
      <c r="Y29">
        <v>17.25</v>
      </c>
      <c r="Z29" s="28">
        <v>17</v>
      </c>
      <c r="AA29" s="25">
        <f>+T29*$I33</f>
        <v>0</v>
      </c>
      <c r="AB29" s="25">
        <f t="shared" si="4"/>
        <v>753.03502792162567</v>
      </c>
      <c r="AC29" s="25">
        <f t="shared" si="5"/>
        <v>322.72929768069673</v>
      </c>
      <c r="AD29" s="29">
        <f t="shared" si="6"/>
        <v>1075.7643256023225</v>
      </c>
    </row>
    <row r="30" spans="1:30" ht="15">
      <c r="A30" s="5">
        <f t="shared" si="10"/>
        <v>15</v>
      </c>
      <c r="B30" s="48">
        <v>2.25</v>
      </c>
      <c r="D30" s="5">
        <f t="shared" si="7"/>
        <v>3.6135333686258445E-4</v>
      </c>
      <c r="F30" s="5" t="e">
        <f t="shared" si="8"/>
        <v>#REF!</v>
      </c>
      <c r="H30" s="57">
        <f t="shared" si="9"/>
        <v>15.5</v>
      </c>
      <c r="I30" s="58">
        <v>2394.4431763406542</v>
      </c>
      <c r="J30" s="59">
        <v>56.725967821570578</v>
      </c>
      <c r="M30" s="18">
        <v>17.5</v>
      </c>
      <c r="N30"/>
      <c r="O30">
        <v>1</v>
      </c>
      <c r="P30"/>
      <c r="Q30" s="19">
        <f t="shared" si="2"/>
        <v>1</v>
      </c>
      <c r="R30"/>
      <c r="S30" s="20">
        <v>17.5</v>
      </c>
      <c r="T30" s="21">
        <f t="shared" si="14"/>
        <v>0</v>
      </c>
      <c r="U30" s="21">
        <f t="shared" si="15"/>
        <v>1</v>
      </c>
      <c r="V30" s="21">
        <f t="shared" si="16"/>
        <v>0</v>
      </c>
      <c r="W30" s="27">
        <f t="shared" si="0"/>
        <v>1</v>
      </c>
      <c r="X30"/>
      <c r="Y30">
        <v>17.75</v>
      </c>
      <c r="Z30" s="28">
        <v>17.5</v>
      </c>
      <c r="AA30" s="25">
        <f t="shared" ref="AA30:AA33" si="17">+T30*$I34</f>
        <v>0</v>
      </c>
      <c r="AB30" s="25">
        <f>+U30*$I34</f>
        <v>347.02075019429765</v>
      </c>
      <c r="AC30" s="25">
        <f t="shared" ref="AC30:AC33" si="18">+V30*$I34</f>
        <v>0</v>
      </c>
      <c r="AD30" s="29">
        <f t="shared" si="6"/>
        <v>347.02075019429765</v>
      </c>
    </row>
    <row r="31" spans="1:30" ht="15">
      <c r="A31" s="5">
        <f t="shared" si="10"/>
        <v>15.5</v>
      </c>
      <c r="B31" s="48">
        <v>17.25</v>
      </c>
      <c r="D31" s="5">
        <f t="shared" si="7"/>
        <v>2.9550176531554905E-3</v>
      </c>
      <c r="F31" s="5" t="e">
        <f t="shared" si="8"/>
        <v>#REF!</v>
      </c>
      <c r="H31" s="57">
        <f t="shared" si="9"/>
        <v>16</v>
      </c>
      <c r="I31" s="58">
        <v>4094.8448522927124</v>
      </c>
      <c r="J31" s="59">
        <v>105.57386470271271</v>
      </c>
      <c r="M31" s="18">
        <v>18</v>
      </c>
      <c r="N31"/>
      <c r="O31" s="61">
        <v>1</v>
      </c>
      <c r="P31" s="61">
        <v>1</v>
      </c>
      <c r="Q31" s="19">
        <f t="shared" si="2"/>
        <v>2</v>
      </c>
      <c r="R31"/>
      <c r="S31" s="20">
        <v>18</v>
      </c>
      <c r="T31" s="21">
        <f t="shared" si="14"/>
        <v>0</v>
      </c>
      <c r="U31" s="21">
        <f t="shared" si="15"/>
        <v>0.5</v>
      </c>
      <c r="V31" s="21">
        <f t="shared" si="16"/>
        <v>0.5</v>
      </c>
      <c r="W31" s="27">
        <f t="shared" si="0"/>
        <v>1</v>
      </c>
      <c r="X31"/>
      <c r="Y31">
        <v>18.25</v>
      </c>
      <c r="Z31" s="28">
        <v>18</v>
      </c>
      <c r="AA31" s="25">
        <f t="shared" si="17"/>
        <v>0</v>
      </c>
      <c r="AB31" s="25">
        <f>+U31*$I35</f>
        <v>86.755187548574412</v>
      </c>
      <c r="AC31" s="25">
        <f t="shared" si="18"/>
        <v>86.755187548574412</v>
      </c>
      <c r="AD31" s="29">
        <f t="shared" si="6"/>
        <v>173.51037509714882</v>
      </c>
    </row>
    <row r="32" spans="1:30" ht="15">
      <c r="A32" s="5">
        <f t="shared" si="10"/>
        <v>16</v>
      </c>
      <c r="B32" s="48">
        <v>29.5</v>
      </c>
      <c r="D32" s="5">
        <f t="shared" si="7"/>
        <v>5.3794591087473935E-3</v>
      </c>
      <c r="F32" s="5" t="e">
        <f t="shared" si="8"/>
        <v>#REF!</v>
      </c>
      <c r="H32" s="57">
        <f t="shared" si="9"/>
        <v>16.5</v>
      </c>
      <c r="I32" s="58">
        <v>5240.0133279338943</v>
      </c>
      <c r="J32" s="59">
        <v>146.64909741672065</v>
      </c>
      <c r="M32" s="18">
        <v>18.5</v>
      </c>
      <c r="O32" s="61"/>
      <c r="P32" s="61"/>
      <c r="Q32" s="19">
        <f t="shared" si="2"/>
        <v>0</v>
      </c>
      <c r="S32" s="18">
        <v>18.5</v>
      </c>
      <c r="T32" s="21"/>
      <c r="U32" s="21"/>
      <c r="V32" s="21"/>
      <c r="W32" s="27"/>
      <c r="X32" s="9"/>
      <c r="Y32">
        <v>18.75</v>
      </c>
      <c r="Z32" s="28">
        <v>18.5</v>
      </c>
      <c r="AA32" s="25">
        <f t="shared" si="17"/>
        <v>0</v>
      </c>
      <c r="AB32" s="25">
        <f>+U32*$I36</f>
        <v>0</v>
      </c>
      <c r="AC32" s="25">
        <f t="shared" si="18"/>
        <v>0</v>
      </c>
      <c r="AD32" s="29">
        <f t="shared" si="6"/>
        <v>0</v>
      </c>
    </row>
    <row r="33" spans="1:30" ht="15">
      <c r="A33" s="5">
        <f t="shared" si="10"/>
        <v>16.5</v>
      </c>
      <c r="B33" s="48">
        <v>37.75</v>
      </c>
      <c r="D33" s="5">
        <f t="shared" si="7"/>
        <v>7.3140250382393423E-3</v>
      </c>
      <c r="F33" s="5" t="e">
        <f t="shared" si="8"/>
        <v>#REF!</v>
      </c>
      <c r="H33" s="57">
        <f t="shared" si="9"/>
        <v>17</v>
      </c>
      <c r="I33" s="58">
        <v>1075.7643256023225</v>
      </c>
      <c r="J33" s="59">
        <v>32.601992158169551</v>
      </c>
      <c r="M33" s="18">
        <v>19</v>
      </c>
      <c r="O33" s="61"/>
      <c r="P33" s="61">
        <v>1</v>
      </c>
      <c r="Q33" s="19">
        <f t="shared" si="2"/>
        <v>1</v>
      </c>
      <c r="S33" s="18">
        <v>19</v>
      </c>
      <c r="T33" s="21">
        <f t="shared" si="14"/>
        <v>0</v>
      </c>
      <c r="U33" s="21">
        <f t="shared" si="15"/>
        <v>0</v>
      </c>
      <c r="V33" s="21">
        <f t="shared" si="16"/>
        <v>1</v>
      </c>
      <c r="W33" s="27">
        <f t="shared" si="0"/>
        <v>1</v>
      </c>
      <c r="X33"/>
      <c r="Y33">
        <v>19.25</v>
      </c>
      <c r="Z33" s="28">
        <v>19</v>
      </c>
      <c r="AA33" s="25">
        <f t="shared" si="17"/>
        <v>0</v>
      </c>
      <c r="AB33" s="25">
        <f t="shared" ref="AB33" si="19">+U33*$I37</f>
        <v>0</v>
      </c>
      <c r="AC33" s="25">
        <f t="shared" si="18"/>
        <v>173.51037509714882</v>
      </c>
      <c r="AD33" s="29">
        <f t="shared" si="6"/>
        <v>173.51037509714882</v>
      </c>
    </row>
    <row r="34" spans="1:30" ht="15">
      <c r="A34" s="5">
        <f t="shared" si="10"/>
        <v>17</v>
      </c>
      <c r="B34" s="48">
        <v>7.75</v>
      </c>
      <c r="D34" s="5">
        <f t="shared" si="7"/>
        <v>1.5925378584277137E-3</v>
      </c>
      <c r="F34" s="5" t="e">
        <f t="shared" si="8"/>
        <v>#REF!</v>
      </c>
      <c r="H34" s="57">
        <f t="shared" si="9"/>
        <v>17.5</v>
      </c>
      <c r="I34" s="58">
        <v>347.02075019429765</v>
      </c>
      <c r="J34" s="59">
        <v>11.362510724651132</v>
      </c>
      <c r="M34" s="30" t="s">
        <v>26</v>
      </c>
      <c r="N34" s="13">
        <f>+SUM(N5:N33)</f>
        <v>3</v>
      </c>
      <c r="O34" s="13">
        <f t="shared" ref="O34:P34" si="20">+SUM(O5:O33)</f>
        <v>43</v>
      </c>
      <c r="P34" s="13">
        <f t="shared" si="20"/>
        <v>8</v>
      </c>
      <c r="Q34" s="13">
        <f>+SUM(Q5:Q33)</f>
        <v>54</v>
      </c>
      <c r="R34"/>
      <c r="S34" s="30" t="s">
        <v>26</v>
      </c>
      <c r="T34" s="13"/>
      <c r="U34" s="13"/>
      <c r="V34" s="13"/>
      <c r="W34" s="31"/>
      <c r="X34"/>
      <c r="Y34"/>
      <c r="Z34" s="32" t="s">
        <v>26</v>
      </c>
      <c r="AA34" s="16">
        <f>SUM(AA5:AA33)</f>
        <v>818.96897045854257</v>
      </c>
      <c r="AB34" s="16">
        <f t="shared" ref="AB34:AD34" si="21">SUM(AB5:AB33)</f>
        <v>11326.967601948054</v>
      </c>
      <c r="AC34" s="16">
        <f t="shared" si="21"/>
        <v>1734.8934353653101</v>
      </c>
      <c r="AD34" s="16">
        <f t="shared" si="21"/>
        <v>13880.830007771903</v>
      </c>
    </row>
    <row r="35" spans="1:30" ht="21">
      <c r="A35" s="5">
        <f t="shared" si="10"/>
        <v>17.5</v>
      </c>
      <c r="B35" s="48">
        <v>2.5</v>
      </c>
      <c r="D35" s="5">
        <f t="shared" si="7"/>
        <v>5.4393447732816391E-4</v>
      </c>
      <c r="F35" s="5" t="e">
        <f t="shared" si="8"/>
        <v>#REF!</v>
      </c>
      <c r="H35" s="57">
        <f t="shared" si="9"/>
        <v>18</v>
      </c>
      <c r="I35" s="58">
        <v>173.51037509714882</v>
      </c>
      <c r="J35" s="59">
        <v>6.1249555719466144</v>
      </c>
      <c r="M35" s="36"/>
      <c r="N35" s="36"/>
      <c r="O35" s="36"/>
      <c r="P35" s="36"/>
      <c r="Q35" s="36"/>
      <c r="R35"/>
      <c r="S35"/>
      <c r="T35"/>
      <c r="U35"/>
      <c r="V35"/>
      <c r="W35"/>
      <c r="X35"/>
      <c r="Y35"/>
      <c r="Z35" s="33" t="s">
        <v>19</v>
      </c>
      <c r="AA35" s="34">
        <f>+AA34/$AD$34*100</f>
        <v>5.9000000000000021</v>
      </c>
      <c r="AB35" s="34">
        <f t="shared" ref="AB35:AD35" si="22">+AB34/$AD$34*100</f>
        <v>81.601515151515173</v>
      </c>
      <c r="AC35" s="34">
        <f t="shared" si="22"/>
        <v>12.498484848484853</v>
      </c>
      <c r="AD35" s="34">
        <f t="shared" si="22"/>
        <v>100</v>
      </c>
    </row>
    <row r="36" spans="1:30" ht="15">
      <c r="A36" s="5">
        <f t="shared" si="10"/>
        <v>18</v>
      </c>
      <c r="B36" s="48">
        <v>1.25</v>
      </c>
      <c r="D36" s="5">
        <f t="shared" si="7"/>
        <v>2.8750514081350779E-4</v>
      </c>
      <c r="F36" s="5" t="e">
        <f t="shared" si="8"/>
        <v>#REF!</v>
      </c>
      <c r="H36" s="57">
        <f t="shared" si="9"/>
        <v>18.5</v>
      </c>
      <c r="I36" s="58">
        <v>0</v>
      </c>
      <c r="J36" s="59">
        <v>0</v>
      </c>
      <c r="M36"/>
      <c r="N36"/>
      <c r="O36"/>
      <c r="P36"/>
      <c r="Q36"/>
      <c r="R36"/>
      <c r="S36"/>
      <c r="T36"/>
      <c r="U36"/>
      <c r="V36"/>
      <c r="W36"/>
      <c r="X36"/>
      <c r="Y36"/>
      <c r="Z36" s="33" t="s">
        <v>27</v>
      </c>
      <c r="AA36" s="34">
        <f>SUMPRODUCT(Y5:Y33,$AA$5:$AA$33)/AA$34</f>
        <v>16.25</v>
      </c>
      <c r="AB36" s="34">
        <f>SUMPRODUCT(Y5:Y33,$AB$5:$AB$33)/AB$34</f>
        <v>16.45731752604118</v>
      </c>
      <c r="AC36" s="34">
        <f>SUMPRODUCT(Y5:Y33,$AC$5:$AC$33)/AC$34</f>
        <v>16.896684446599586</v>
      </c>
      <c r="AD36" s="34">
        <f>SUMPRODUCT(AD5:AD33,$Y$5:$Y$33)/AD$34</f>
        <v>16.500000000000004</v>
      </c>
    </row>
    <row r="37" spans="1:30" ht="15">
      <c r="A37" s="5">
        <f t="shared" si="10"/>
        <v>18.5</v>
      </c>
      <c r="B37" s="48">
        <v>0</v>
      </c>
      <c r="D37" s="5">
        <f t="shared" si="7"/>
        <v>0</v>
      </c>
      <c r="F37" s="5" t="e">
        <f t="shared" si="8"/>
        <v>#REF!</v>
      </c>
      <c r="H37" s="57">
        <f t="shared" si="9"/>
        <v>19</v>
      </c>
      <c r="I37" s="58">
        <v>173.51037509714882</v>
      </c>
      <c r="J37" s="59">
        <v>7.0764974342187861</v>
      </c>
      <c r="M37" s="37"/>
      <c r="N37" s="37"/>
      <c r="O37" s="37"/>
      <c r="P37" s="37"/>
      <c r="Q37" s="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ht="15">
      <c r="A38" s="5">
        <f t="shared" si="10"/>
        <v>19</v>
      </c>
      <c r="B38" s="48">
        <v>1.25</v>
      </c>
      <c r="D38" s="5">
        <f t="shared" si="7"/>
        <v>3.1987577029147824E-4</v>
      </c>
      <c r="F38" s="5" t="e">
        <f t="shared" si="8"/>
        <v>#REF!</v>
      </c>
      <c r="H38" s="41">
        <f t="shared" si="9"/>
        <v>19.5</v>
      </c>
      <c r="I38" s="43">
        <v>0</v>
      </c>
      <c r="J38" s="44">
        <v>0</v>
      </c>
      <c r="M38" s="37"/>
      <c r="N38" s="10"/>
      <c r="O38" s="10"/>
      <c r="P38" s="10"/>
      <c r="Q38" s="37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5">
      <c r="A39" s="5">
        <f t="shared" si="10"/>
        <v>19.5</v>
      </c>
      <c r="B39" s="48">
        <v>0</v>
      </c>
      <c r="D39" s="5">
        <f t="shared" si="7"/>
        <v>0</v>
      </c>
      <c r="F39" s="5" t="e">
        <f t="shared" si="8"/>
        <v>#REF!</v>
      </c>
      <c r="H39" s="41">
        <f t="shared" si="9"/>
        <v>20</v>
      </c>
      <c r="I39" s="43">
        <v>0</v>
      </c>
      <c r="J39" s="44">
        <v>0</v>
      </c>
      <c r="M39" s="38"/>
      <c r="N39"/>
      <c r="O39"/>
      <c r="P39"/>
      <c r="Q39" s="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5">
      <c r="A40" s="5">
        <f t="shared" si="10"/>
        <v>20</v>
      </c>
      <c r="B40" s="48">
        <v>0</v>
      </c>
      <c r="D40" s="5">
        <f t="shared" si="7"/>
        <v>0</v>
      </c>
      <c r="F40" s="5" t="e">
        <f t="shared" si="8"/>
        <v>#REF!</v>
      </c>
      <c r="H40" s="41">
        <f t="shared" si="9"/>
        <v>20.5</v>
      </c>
      <c r="I40" s="43">
        <v>0</v>
      </c>
      <c r="J40" s="44">
        <v>0</v>
      </c>
      <c r="M40" s="38"/>
      <c r="N40"/>
      <c r="O40"/>
      <c r="P40"/>
      <c r="Q40" s="9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21">
      <c r="A41" s="5">
        <f t="shared" si="10"/>
        <v>20.5</v>
      </c>
      <c r="B41" s="48">
        <v>0</v>
      </c>
      <c r="D41" s="5">
        <f t="shared" si="7"/>
        <v>0</v>
      </c>
      <c r="F41" s="5" t="e">
        <f t="shared" si="8"/>
        <v>#REF!</v>
      </c>
      <c r="H41" s="41">
        <f t="shared" si="9"/>
        <v>21</v>
      </c>
      <c r="I41" s="43">
        <v>0</v>
      </c>
      <c r="J41" s="44">
        <v>0</v>
      </c>
      <c r="M41" s="38"/>
      <c r="N41"/>
      <c r="O41"/>
      <c r="P41"/>
      <c r="Q41" s="9"/>
      <c r="R41"/>
      <c r="S41"/>
      <c r="T41"/>
      <c r="U41"/>
      <c r="V41"/>
      <c r="W41"/>
      <c r="X41"/>
      <c r="Y41"/>
      <c r="Z41" s="118" t="s">
        <v>31</v>
      </c>
      <c r="AA41" s="118"/>
      <c r="AB41" s="118"/>
      <c r="AC41" s="118"/>
      <c r="AD41" s="118"/>
    </row>
    <row r="42" spans="1:30" ht="15">
      <c r="A42" s="5">
        <f t="shared" si="10"/>
        <v>21</v>
      </c>
      <c r="B42" s="48">
        <v>0</v>
      </c>
      <c r="D42" s="5">
        <f t="shared" si="7"/>
        <v>0</v>
      </c>
      <c r="F42" s="5" t="e">
        <f t="shared" si="8"/>
        <v>#REF!</v>
      </c>
      <c r="H42" s="41">
        <f t="shared" si="9"/>
        <v>21.5</v>
      </c>
      <c r="I42" s="43">
        <v>0</v>
      </c>
      <c r="J42" s="44">
        <v>0</v>
      </c>
      <c r="M42" s="38"/>
      <c r="N42"/>
      <c r="O42"/>
      <c r="P42"/>
      <c r="Q42" s="9"/>
      <c r="R42"/>
      <c r="S42"/>
      <c r="T42"/>
      <c r="U42"/>
      <c r="V42"/>
      <c r="W42"/>
      <c r="X42"/>
      <c r="Y42"/>
      <c r="Z42" s="119" t="s">
        <v>28</v>
      </c>
      <c r="AA42" s="119"/>
      <c r="AB42" s="119"/>
      <c r="AC42" s="119"/>
      <c r="AD42" s="119"/>
    </row>
    <row r="43" spans="1:30" ht="15">
      <c r="A43" s="5">
        <f t="shared" si="10"/>
        <v>21.5</v>
      </c>
      <c r="B43" s="48">
        <v>0</v>
      </c>
      <c r="D43" s="5">
        <f t="shared" si="7"/>
        <v>0</v>
      </c>
      <c r="F43" s="5" t="e">
        <f t="shared" si="8"/>
        <v>#REF!</v>
      </c>
      <c r="H43" s="41">
        <f t="shared" si="9"/>
        <v>22</v>
      </c>
      <c r="I43" s="43">
        <v>0</v>
      </c>
      <c r="J43" s="44">
        <v>0</v>
      </c>
      <c r="M43" s="38"/>
      <c r="N43"/>
      <c r="O43"/>
      <c r="P43"/>
      <c r="Q43" s="9"/>
      <c r="R43"/>
      <c r="S43"/>
      <c r="T43"/>
      <c r="U43"/>
      <c r="V43"/>
      <c r="W43"/>
      <c r="X43"/>
      <c r="Y43"/>
      <c r="Z43" s="122" t="s">
        <v>24</v>
      </c>
      <c r="AA43" s="137" t="s">
        <v>25</v>
      </c>
      <c r="AB43" s="138"/>
      <c r="AC43" s="138"/>
      <c r="AD43" s="122" t="s">
        <v>26</v>
      </c>
    </row>
    <row r="44" spans="1:30" ht="15">
      <c r="A44" s="5">
        <f t="shared" si="10"/>
        <v>22</v>
      </c>
      <c r="B44" s="48">
        <v>0</v>
      </c>
      <c r="D44" s="5">
        <f t="shared" si="7"/>
        <v>0</v>
      </c>
      <c r="F44" s="5" t="e">
        <f t="shared" si="8"/>
        <v>#REF!</v>
      </c>
      <c r="H44" s="41"/>
      <c r="I44" s="43"/>
      <c r="J44" s="44"/>
      <c r="M44" s="38"/>
      <c r="N44"/>
      <c r="O44"/>
      <c r="P44"/>
      <c r="Q44" s="9"/>
      <c r="R44"/>
      <c r="S44"/>
      <c r="T44"/>
      <c r="U44"/>
      <c r="V44"/>
      <c r="W44"/>
      <c r="X44"/>
      <c r="Y44"/>
      <c r="Z44" s="123"/>
      <c r="AA44" s="15">
        <v>1</v>
      </c>
      <c r="AB44" s="16">
        <v>2</v>
      </c>
      <c r="AC44" s="17">
        <v>3</v>
      </c>
      <c r="AD44" s="123"/>
    </row>
    <row r="45" spans="1:30" ht="15">
      <c r="H45" s="41" t="s">
        <v>3</v>
      </c>
      <c r="I45" s="43">
        <f>+SUM(I9:I43)</f>
        <v>13880.830007771903</v>
      </c>
      <c r="J45" s="43">
        <f>+SUM(J9:J43)</f>
        <v>374.27189271938431</v>
      </c>
      <c r="M45" s="38"/>
      <c r="N45"/>
      <c r="O45"/>
      <c r="P45"/>
      <c r="Q45" s="9"/>
      <c r="R45"/>
      <c r="S45"/>
      <c r="T45"/>
      <c r="U45"/>
      <c r="V45"/>
      <c r="W45"/>
      <c r="X45"/>
      <c r="Y45"/>
      <c r="Z45" s="24">
        <v>5</v>
      </c>
      <c r="AA45" s="25">
        <f>+T5*J9</f>
        <v>0</v>
      </c>
      <c r="AB45" s="25">
        <f>+U5*J9</f>
        <v>0</v>
      </c>
      <c r="AC45" s="25">
        <f>+V5*J9</f>
        <v>0</v>
      </c>
      <c r="AD45" s="29">
        <f>SUM(AA45:AC45)</f>
        <v>0</v>
      </c>
    </row>
    <row r="46" spans="1:30" ht="15">
      <c r="A46" s="5" t="s">
        <v>3</v>
      </c>
      <c r="B46" s="5">
        <f>SUM(B10:B40)</f>
        <v>100</v>
      </c>
      <c r="D46" s="5">
        <f>SUM(D10:D40)</f>
        <v>1.8828829824674213E-2</v>
      </c>
      <c r="F46" s="5" t="e">
        <f>SUM(F10:F40)</f>
        <v>#REF!</v>
      </c>
      <c r="H46" s="42"/>
      <c r="I46" s="42"/>
      <c r="J46" s="42"/>
      <c r="K46" s="2"/>
      <c r="M46" s="38"/>
      <c r="N46"/>
      <c r="O46"/>
      <c r="P46"/>
      <c r="Q46" s="9"/>
      <c r="R46"/>
      <c r="S46"/>
      <c r="T46"/>
      <c r="U46"/>
      <c r="V46"/>
      <c r="W46"/>
      <c r="X46"/>
      <c r="Y46"/>
      <c r="Z46" s="28">
        <v>5.5</v>
      </c>
      <c r="AA46" s="25">
        <f t="shared" ref="AA46:AA73" si="23">+T6*J10</f>
        <v>0</v>
      </c>
      <c r="AB46" s="25">
        <f t="shared" ref="AB46:AB73" si="24">+U6*J10</f>
        <v>0</v>
      </c>
      <c r="AC46" s="25">
        <f t="shared" ref="AC46:AC73" si="25">+V6*J10</f>
        <v>0</v>
      </c>
      <c r="AD46" s="29">
        <f>SUM(AA46:AC46)</f>
        <v>0</v>
      </c>
    </row>
    <row r="47" spans="1:30" ht="15">
      <c r="H47" s="42"/>
      <c r="I47" s="44"/>
      <c r="J47" s="42"/>
      <c r="M47" s="38"/>
      <c r="N47"/>
      <c r="O47"/>
      <c r="P47"/>
      <c r="Q47" s="9"/>
      <c r="R47"/>
      <c r="S47"/>
      <c r="T47"/>
      <c r="U47"/>
      <c r="V47"/>
      <c r="W47"/>
      <c r="X47"/>
      <c r="Y47"/>
      <c r="Z47" s="28">
        <v>6</v>
      </c>
      <c r="AA47" s="25">
        <f t="shared" si="23"/>
        <v>0</v>
      </c>
      <c r="AB47" s="25">
        <f t="shared" si="24"/>
        <v>0</v>
      </c>
      <c r="AC47" s="25">
        <f t="shared" si="25"/>
        <v>0</v>
      </c>
      <c r="AD47" s="29">
        <f t="shared" ref="AD47:AD53" si="26">SUM(AA47:AC47)</f>
        <v>0</v>
      </c>
    </row>
    <row r="48" spans="1:30" ht="15">
      <c r="G48" s="1" t="s">
        <v>17</v>
      </c>
      <c r="H48" s="42"/>
      <c r="I48" s="44">
        <f>((SUMPRODUCT(A10:A44,A10:A44,I9:I43)-I45*(I47-0.25)^2)/(I45-1))^0.5</f>
        <v>16.261120797315623</v>
      </c>
      <c r="J48" s="42"/>
      <c r="M48" s="38"/>
      <c r="N48"/>
      <c r="O48"/>
      <c r="P48"/>
      <c r="Q48" s="9"/>
      <c r="R48"/>
      <c r="S48"/>
      <c r="T48"/>
      <c r="U48"/>
      <c r="V48"/>
      <c r="W48"/>
      <c r="X48"/>
      <c r="Y48"/>
      <c r="Z48" s="28">
        <v>6.5</v>
      </c>
      <c r="AA48" s="25">
        <f t="shared" si="23"/>
        <v>0</v>
      </c>
      <c r="AB48" s="25">
        <f t="shared" si="24"/>
        <v>0</v>
      </c>
      <c r="AC48" s="25">
        <f t="shared" si="25"/>
        <v>0</v>
      </c>
      <c r="AD48" s="29">
        <f t="shared" si="26"/>
        <v>0</v>
      </c>
    </row>
    <row r="49" spans="7:30" ht="15">
      <c r="G49" s="1" t="s">
        <v>18</v>
      </c>
      <c r="M49" s="38"/>
      <c r="N49"/>
      <c r="O49"/>
      <c r="P49"/>
      <c r="Q49" s="9"/>
      <c r="R49"/>
      <c r="S49"/>
      <c r="T49"/>
      <c r="U49"/>
      <c r="V49"/>
      <c r="W49"/>
      <c r="X49"/>
      <c r="Y49"/>
      <c r="Z49" s="28">
        <v>7</v>
      </c>
      <c r="AA49" s="25">
        <f t="shared" si="23"/>
        <v>0</v>
      </c>
      <c r="AB49" s="25">
        <f t="shared" si="24"/>
        <v>0</v>
      </c>
      <c r="AC49" s="25">
        <f t="shared" si="25"/>
        <v>0</v>
      </c>
      <c r="AD49" s="29">
        <f t="shared" si="26"/>
        <v>0</v>
      </c>
    </row>
    <row r="50" spans="7:30" ht="15">
      <c r="M50" s="38"/>
      <c r="N50"/>
      <c r="O50"/>
      <c r="P50"/>
      <c r="Q50" s="9"/>
      <c r="R50"/>
      <c r="S50"/>
      <c r="T50"/>
      <c r="U50"/>
      <c r="V50"/>
      <c r="W50"/>
      <c r="X50"/>
      <c r="Y50"/>
      <c r="Z50" s="28">
        <v>7.5</v>
      </c>
      <c r="AA50" s="25">
        <f t="shared" si="23"/>
        <v>0</v>
      </c>
      <c r="AB50" s="25">
        <f t="shared" si="24"/>
        <v>0</v>
      </c>
      <c r="AC50" s="25">
        <f t="shared" si="25"/>
        <v>0</v>
      </c>
      <c r="AD50" s="29">
        <f t="shared" si="26"/>
        <v>0</v>
      </c>
    </row>
    <row r="51" spans="7:30" ht="15">
      <c r="M51" s="38"/>
      <c r="N51"/>
      <c r="O51"/>
      <c r="P51"/>
      <c r="Q51" s="9"/>
      <c r="R51"/>
      <c r="S51"/>
      <c r="T51"/>
      <c r="U51"/>
      <c r="V51"/>
      <c r="W51"/>
      <c r="X51"/>
      <c r="Y51"/>
      <c r="Z51" s="28">
        <v>8</v>
      </c>
      <c r="AA51" s="25">
        <f t="shared" si="23"/>
        <v>0</v>
      </c>
      <c r="AB51" s="25">
        <f t="shared" si="24"/>
        <v>0</v>
      </c>
      <c r="AC51" s="25">
        <f t="shared" si="25"/>
        <v>0</v>
      </c>
      <c r="AD51" s="29">
        <f t="shared" si="26"/>
        <v>0</v>
      </c>
    </row>
    <row r="52" spans="7:30" ht="15">
      <c r="M52" s="38"/>
      <c r="N52"/>
      <c r="O52"/>
      <c r="P52"/>
      <c r="Q52" s="9"/>
      <c r="R52"/>
      <c r="S52"/>
      <c r="T52"/>
      <c r="U52"/>
      <c r="V52"/>
      <c r="W52"/>
      <c r="X52"/>
      <c r="Y52"/>
      <c r="Z52" s="28">
        <v>8.5</v>
      </c>
      <c r="AA52" s="25">
        <f t="shared" si="23"/>
        <v>0</v>
      </c>
      <c r="AB52" s="25">
        <f t="shared" si="24"/>
        <v>0</v>
      </c>
      <c r="AC52" s="25">
        <f t="shared" si="25"/>
        <v>0</v>
      </c>
      <c r="AD52" s="29">
        <f t="shared" si="26"/>
        <v>0</v>
      </c>
    </row>
    <row r="53" spans="7:30" ht="15">
      <c r="M53" s="38"/>
      <c r="N53"/>
      <c r="O53"/>
      <c r="P53"/>
      <c r="Q53" s="9"/>
      <c r="R53"/>
      <c r="S53"/>
      <c r="T53"/>
      <c r="U53"/>
      <c r="V53"/>
      <c r="W53"/>
      <c r="X53"/>
      <c r="Y53"/>
      <c r="Z53" s="28">
        <v>9</v>
      </c>
      <c r="AA53" s="25">
        <f t="shared" si="23"/>
        <v>0</v>
      </c>
      <c r="AB53" s="25">
        <f t="shared" si="24"/>
        <v>0</v>
      </c>
      <c r="AC53" s="25">
        <f t="shared" si="25"/>
        <v>0</v>
      </c>
      <c r="AD53" s="29">
        <f t="shared" si="26"/>
        <v>0</v>
      </c>
    </row>
    <row r="54" spans="7:30" ht="15">
      <c r="M54" s="38"/>
      <c r="N54"/>
      <c r="O54"/>
      <c r="P54"/>
      <c r="Q54" s="9"/>
      <c r="R54"/>
      <c r="S54"/>
      <c r="T54"/>
      <c r="U54"/>
      <c r="V54"/>
      <c r="W54"/>
      <c r="X54"/>
      <c r="Y54"/>
      <c r="Z54" s="28">
        <v>9.5</v>
      </c>
      <c r="AA54" s="25">
        <f t="shared" si="23"/>
        <v>0</v>
      </c>
      <c r="AB54" s="25">
        <f t="shared" si="24"/>
        <v>0</v>
      </c>
      <c r="AC54" s="25">
        <f t="shared" si="25"/>
        <v>0</v>
      </c>
      <c r="AD54" s="29">
        <f>SUM(AA54:AC54)</f>
        <v>0</v>
      </c>
    </row>
    <row r="55" spans="7:30" ht="15">
      <c r="M55" s="38"/>
      <c r="N55"/>
      <c r="O55"/>
      <c r="P55"/>
      <c r="Q55" s="9"/>
      <c r="R55"/>
      <c r="S55"/>
      <c r="T55"/>
      <c r="U55"/>
      <c r="V55"/>
      <c r="W55"/>
      <c r="X55"/>
      <c r="Y55"/>
      <c r="Z55" s="28">
        <v>10</v>
      </c>
      <c r="AA55" s="25">
        <f t="shared" si="23"/>
        <v>0</v>
      </c>
      <c r="AB55" s="25">
        <f t="shared" si="24"/>
        <v>0</v>
      </c>
      <c r="AC55" s="25">
        <f t="shared" si="25"/>
        <v>0</v>
      </c>
      <c r="AD55" s="29">
        <f t="shared" ref="AD55:AD65" si="27">SUM(AA55:AC55)</f>
        <v>0</v>
      </c>
    </row>
    <row r="56" spans="7:30" ht="15">
      <c r="M56" s="38"/>
      <c r="N56"/>
      <c r="O56"/>
      <c r="P56"/>
      <c r="Q56" s="9"/>
      <c r="R56"/>
      <c r="S56"/>
      <c r="T56"/>
      <c r="U56"/>
      <c r="V56"/>
      <c r="W56"/>
      <c r="X56"/>
      <c r="Y56"/>
      <c r="Z56" s="28">
        <v>10.5</v>
      </c>
      <c r="AA56" s="25">
        <f t="shared" si="23"/>
        <v>0</v>
      </c>
      <c r="AB56" s="25">
        <f t="shared" si="24"/>
        <v>0</v>
      </c>
      <c r="AC56" s="25">
        <f t="shared" si="25"/>
        <v>0</v>
      </c>
      <c r="AD56" s="29">
        <f t="shared" si="27"/>
        <v>0</v>
      </c>
    </row>
    <row r="57" spans="7:30" ht="15">
      <c r="M57" s="38"/>
      <c r="N57"/>
      <c r="O57"/>
      <c r="P57"/>
      <c r="Q57" s="9"/>
      <c r="R57"/>
      <c r="S57"/>
      <c r="T57"/>
      <c r="U57"/>
      <c r="V57"/>
      <c r="W57"/>
      <c r="X57"/>
      <c r="Y57"/>
      <c r="Z57" s="28">
        <v>11</v>
      </c>
      <c r="AA57" s="25">
        <f t="shared" si="23"/>
        <v>0</v>
      </c>
      <c r="AB57" s="25">
        <f t="shared" si="24"/>
        <v>0</v>
      </c>
      <c r="AC57" s="25">
        <f t="shared" si="25"/>
        <v>0</v>
      </c>
      <c r="AD57" s="29">
        <f t="shared" si="27"/>
        <v>0</v>
      </c>
    </row>
    <row r="58" spans="7:30" ht="15">
      <c r="M58" s="38"/>
      <c r="N58"/>
      <c r="O58"/>
      <c r="P58"/>
      <c r="Q58" s="9"/>
      <c r="R58"/>
      <c r="S58"/>
      <c r="T58"/>
      <c r="U58"/>
      <c r="V58"/>
      <c r="W58"/>
      <c r="X58"/>
      <c r="Y58"/>
      <c r="Z58" s="28">
        <v>11.5</v>
      </c>
      <c r="AA58" s="25">
        <f t="shared" si="23"/>
        <v>0</v>
      </c>
      <c r="AB58" s="25">
        <f t="shared" si="24"/>
        <v>0</v>
      </c>
      <c r="AC58" s="25">
        <f t="shared" si="25"/>
        <v>0</v>
      </c>
      <c r="AD58" s="29">
        <f t="shared" si="27"/>
        <v>0</v>
      </c>
    </row>
    <row r="59" spans="7:30" ht="15">
      <c r="M59" s="38"/>
      <c r="N59"/>
      <c r="O59"/>
      <c r="P59"/>
      <c r="Q59" s="9"/>
      <c r="R59"/>
      <c r="S59"/>
      <c r="T59"/>
      <c r="U59"/>
      <c r="V59"/>
      <c r="W59"/>
      <c r="X59"/>
      <c r="Y59"/>
      <c r="Z59" s="28">
        <v>12</v>
      </c>
      <c r="AA59" s="25">
        <f t="shared" si="23"/>
        <v>0</v>
      </c>
      <c r="AB59" s="25">
        <f t="shared" si="24"/>
        <v>0</v>
      </c>
      <c r="AC59" s="25">
        <f t="shared" si="25"/>
        <v>0</v>
      </c>
      <c r="AD59" s="29">
        <f t="shared" si="27"/>
        <v>0</v>
      </c>
    </row>
    <row r="60" spans="7:30" ht="15">
      <c r="M60" s="38"/>
      <c r="N60"/>
      <c r="O60"/>
      <c r="P60"/>
      <c r="Q60" s="9"/>
      <c r="R60"/>
      <c r="S60"/>
      <c r="T60"/>
      <c r="U60"/>
      <c r="V60"/>
      <c r="W60"/>
      <c r="X60"/>
      <c r="Y60"/>
      <c r="Z60" s="28">
        <v>12.5</v>
      </c>
      <c r="AA60" s="25">
        <f t="shared" si="23"/>
        <v>0</v>
      </c>
      <c r="AB60" s="25">
        <f t="shared" si="24"/>
        <v>0</v>
      </c>
      <c r="AC60" s="25">
        <f t="shared" si="25"/>
        <v>0</v>
      </c>
      <c r="AD60" s="29">
        <f t="shared" si="27"/>
        <v>0</v>
      </c>
    </row>
    <row r="61" spans="7:30" ht="15">
      <c r="M61" s="38"/>
      <c r="N61"/>
      <c r="O61"/>
      <c r="P61"/>
      <c r="Q61" s="9"/>
      <c r="R61"/>
      <c r="S61"/>
      <c r="T61"/>
      <c r="U61"/>
      <c r="V61"/>
      <c r="W61"/>
      <c r="X61"/>
      <c r="Y61"/>
      <c r="Z61" s="28">
        <v>13</v>
      </c>
      <c r="AA61" s="25">
        <f t="shared" si="23"/>
        <v>0</v>
      </c>
      <c r="AB61" s="25">
        <f t="shared" si="24"/>
        <v>0</v>
      </c>
      <c r="AC61" s="25">
        <f t="shared" si="25"/>
        <v>0</v>
      </c>
      <c r="AD61" s="29">
        <f>SUM(AA61:AC61)</f>
        <v>0</v>
      </c>
    </row>
    <row r="62" spans="7:30" ht="15">
      <c r="M62" s="38"/>
      <c r="N62"/>
      <c r="O62"/>
      <c r="P62"/>
      <c r="Q62" s="9"/>
      <c r="R62"/>
      <c r="S62"/>
      <c r="T62"/>
      <c r="U62"/>
      <c r="V62"/>
      <c r="W62"/>
      <c r="X62"/>
      <c r="Y62"/>
      <c r="Z62" s="28">
        <v>13.5</v>
      </c>
      <c r="AA62" s="25">
        <f t="shared" si="23"/>
        <v>0</v>
      </c>
      <c r="AB62" s="25">
        <f t="shared" si="24"/>
        <v>0</v>
      </c>
      <c r="AC62" s="25">
        <f t="shared" si="25"/>
        <v>0</v>
      </c>
      <c r="AD62" s="29">
        <f t="shared" si="27"/>
        <v>0</v>
      </c>
    </row>
    <row r="63" spans="7:30" ht="15">
      <c r="M63" s="38"/>
      <c r="N63"/>
      <c r="O63"/>
      <c r="P63"/>
      <c r="Q63" s="9"/>
      <c r="R63"/>
      <c r="S63"/>
      <c r="T63"/>
      <c r="U63"/>
      <c r="V63"/>
      <c r="W63"/>
      <c r="X63"/>
      <c r="Y63"/>
      <c r="Z63" s="28">
        <v>14</v>
      </c>
      <c r="AA63" s="25">
        <f t="shared" si="23"/>
        <v>0</v>
      </c>
      <c r="AB63" s="25">
        <f t="shared" si="24"/>
        <v>0</v>
      </c>
      <c r="AC63" s="25">
        <f t="shared" si="25"/>
        <v>0</v>
      </c>
      <c r="AD63" s="29">
        <f t="shared" si="27"/>
        <v>0</v>
      </c>
    </row>
    <row r="64" spans="7:30" ht="15">
      <c r="M64" s="38"/>
      <c r="N64"/>
      <c r="O64"/>
      <c r="P64"/>
      <c r="Q64" s="9"/>
      <c r="R64"/>
      <c r="S64"/>
      <c r="T64"/>
      <c r="U64"/>
      <c r="V64"/>
      <c r="W64"/>
      <c r="X64"/>
      <c r="Y64"/>
      <c r="Z64" s="28">
        <v>14.5</v>
      </c>
      <c r="AA64" s="25">
        <f t="shared" si="23"/>
        <v>0</v>
      </c>
      <c r="AB64" s="25">
        <f t="shared" si="24"/>
        <v>1.3767159606545982</v>
      </c>
      <c r="AC64" s="25">
        <f t="shared" si="25"/>
        <v>0</v>
      </c>
      <c r="AD64" s="29">
        <f t="shared" si="27"/>
        <v>1.3767159606545982</v>
      </c>
    </row>
    <row r="65" spans="13:30" ht="15">
      <c r="M65" s="38"/>
      <c r="N65"/>
      <c r="O65"/>
      <c r="P65"/>
      <c r="Q65" s="9"/>
      <c r="R65"/>
      <c r="S65"/>
      <c r="T65"/>
      <c r="U65"/>
      <c r="V65"/>
      <c r="W65"/>
      <c r="X65"/>
      <c r="Y65"/>
      <c r="Z65" s="28">
        <v>15</v>
      </c>
      <c r="AA65" s="25">
        <f t="shared" si="23"/>
        <v>0</v>
      </c>
      <c r="AB65" s="25">
        <f t="shared" si="24"/>
        <v>6.7802909287397508</v>
      </c>
      <c r="AC65" s="25">
        <f t="shared" si="25"/>
        <v>0</v>
      </c>
      <c r="AD65" s="29">
        <f t="shared" si="27"/>
        <v>6.7802909287397508</v>
      </c>
    </row>
    <row r="66" spans="13:30" ht="15">
      <c r="M66" s="10"/>
      <c r="N66" s="9"/>
      <c r="O66" s="9"/>
      <c r="P66" s="9"/>
      <c r="Q66" s="9"/>
      <c r="R66"/>
      <c r="S66"/>
      <c r="T66"/>
      <c r="U66"/>
      <c r="V66"/>
      <c r="W66"/>
      <c r="X66"/>
      <c r="Y66"/>
      <c r="Z66" s="28">
        <v>15.5</v>
      </c>
      <c r="AA66" s="25">
        <f t="shared" si="23"/>
        <v>0</v>
      </c>
      <c r="AB66" s="25">
        <f t="shared" si="24"/>
        <v>50.423082508062734</v>
      </c>
      <c r="AC66" s="25">
        <f t="shared" si="25"/>
        <v>6.3028853135078418</v>
      </c>
      <c r="AD66" s="29">
        <f>SUM(AA66:AC66)</f>
        <v>56.725967821570578</v>
      </c>
    </row>
    <row r="67" spans="13:30" ht="15">
      <c r="M67"/>
      <c r="N67"/>
      <c r="O67"/>
      <c r="P67"/>
      <c r="Q67"/>
      <c r="R67"/>
      <c r="S67"/>
      <c r="T67"/>
      <c r="U67"/>
      <c r="V67"/>
      <c r="W67"/>
      <c r="X67"/>
      <c r="Y67"/>
      <c r="Z67" s="28">
        <v>16</v>
      </c>
      <c r="AA67" s="25">
        <f t="shared" si="23"/>
        <v>21.114772940542544</v>
      </c>
      <c r="AB67" s="25">
        <f t="shared" si="24"/>
        <v>73.901705291898892</v>
      </c>
      <c r="AC67" s="25">
        <f t="shared" si="25"/>
        <v>10.557386470271272</v>
      </c>
      <c r="AD67" s="29">
        <f t="shared" ref="AD67:AD73" si="28">SUM(AA67:AC67)</f>
        <v>105.57386470271271</v>
      </c>
    </row>
    <row r="68" spans="13:30" ht="15">
      <c r="M68"/>
      <c r="N68"/>
      <c r="O68"/>
      <c r="P68"/>
      <c r="Q68"/>
      <c r="R68"/>
      <c r="S68"/>
      <c r="T68"/>
      <c r="U68"/>
      <c r="V68"/>
      <c r="W68"/>
      <c r="X68"/>
      <c r="Y68"/>
      <c r="Z68" s="28">
        <v>16.5</v>
      </c>
      <c r="AA68" s="25">
        <f t="shared" si="23"/>
        <v>0</v>
      </c>
      <c r="AB68" s="25">
        <f t="shared" si="24"/>
        <v>133.31736128792787</v>
      </c>
      <c r="AC68" s="25">
        <f t="shared" si="25"/>
        <v>13.331736128792787</v>
      </c>
      <c r="AD68" s="29">
        <f t="shared" si="28"/>
        <v>146.64909741672065</v>
      </c>
    </row>
    <row r="69" spans="13:30" ht="15">
      <c r="M69"/>
      <c r="N69"/>
      <c r="O69"/>
      <c r="P69"/>
      <c r="Q69"/>
      <c r="R69"/>
      <c r="S69"/>
      <c r="T69"/>
      <c r="U69"/>
      <c r="V69"/>
      <c r="W69"/>
      <c r="X69"/>
      <c r="Y69"/>
      <c r="Z69" s="28">
        <v>17</v>
      </c>
      <c r="AA69" s="25">
        <f t="shared" si="23"/>
        <v>0</v>
      </c>
      <c r="AB69" s="25">
        <f t="shared" si="24"/>
        <v>22.821394510718683</v>
      </c>
      <c r="AC69" s="25">
        <f t="shared" si="25"/>
        <v>9.7805976474508647</v>
      </c>
      <c r="AD69" s="29">
        <f t="shared" si="28"/>
        <v>32.601992158169551</v>
      </c>
    </row>
    <row r="70" spans="13:30" ht="15">
      <c r="M70"/>
      <c r="N70"/>
      <c r="O70"/>
      <c r="P70"/>
      <c r="Q70"/>
      <c r="R70"/>
      <c r="S70"/>
      <c r="T70"/>
      <c r="U70"/>
      <c r="V70"/>
      <c r="W70"/>
      <c r="X70"/>
      <c r="Y70"/>
      <c r="Z70" s="28">
        <v>17.5</v>
      </c>
      <c r="AA70" s="25">
        <f t="shared" si="23"/>
        <v>0</v>
      </c>
      <c r="AB70" s="25">
        <f t="shared" si="24"/>
        <v>11.362510724651132</v>
      </c>
      <c r="AC70" s="25">
        <f t="shared" si="25"/>
        <v>0</v>
      </c>
      <c r="AD70" s="29">
        <f t="shared" si="28"/>
        <v>11.362510724651132</v>
      </c>
    </row>
    <row r="71" spans="13:30" ht="15">
      <c r="M71"/>
      <c r="N71"/>
      <c r="O71"/>
      <c r="P71"/>
      <c r="Q71"/>
      <c r="R71"/>
      <c r="S71"/>
      <c r="T71"/>
      <c r="U71"/>
      <c r="V71"/>
      <c r="W71"/>
      <c r="X71"/>
      <c r="Y71"/>
      <c r="Z71" s="28">
        <v>18</v>
      </c>
      <c r="AA71" s="25">
        <f t="shared" si="23"/>
        <v>0</v>
      </c>
      <c r="AB71" s="25">
        <f t="shared" si="24"/>
        <v>3.0624777859733072</v>
      </c>
      <c r="AC71" s="25">
        <f t="shared" si="25"/>
        <v>3.0624777859733072</v>
      </c>
      <c r="AD71" s="29">
        <f t="shared" si="28"/>
        <v>6.1249555719466144</v>
      </c>
    </row>
    <row r="72" spans="13:30" ht="15">
      <c r="M72"/>
      <c r="N72"/>
      <c r="O72"/>
      <c r="P72"/>
      <c r="Q72"/>
      <c r="R72"/>
      <c r="S72"/>
      <c r="T72"/>
      <c r="U72"/>
      <c r="V72"/>
      <c r="W72"/>
      <c r="X72"/>
      <c r="Y72"/>
      <c r="Z72" s="28">
        <v>18.5</v>
      </c>
      <c r="AA72" s="25">
        <f t="shared" si="23"/>
        <v>0</v>
      </c>
      <c r="AB72" s="25">
        <f t="shared" si="24"/>
        <v>0</v>
      </c>
      <c r="AC72" s="25">
        <f t="shared" si="25"/>
        <v>0</v>
      </c>
      <c r="AD72" s="29">
        <f t="shared" si="28"/>
        <v>0</v>
      </c>
    </row>
    <row r="73" spans="13:30" ht="15">
      <c r="Z73" s="28">
        <v>19</v>
      </c>
      <c r="AA73" s="25">
        <f t="shared" si="23"/>
        <v>0</v>
      </c>
      <c r="AB73" s="25">
        <f t="shared" si="24"/>
        <v>0</v>
      </c>
      <c r="AC73" s="25">
        <f t="shared" si="25"/>
        <v>7.0764974342187861</v>
      </c>
      <c r="AD73" s="29">
        <f t="shared" si="28"/>
        <v>7.0764974342187861</v>
      </c>
    </row>
    <row r="74" spans="13:30" ht="15">
      <c r="Z74" s="32" t="s">
        <v>26</v>
      </c>
      <c r="AA74" s="33">
        <f t="shared" ref="AA74:AC74" si="29">SUM(AA45:AA73)</f>
        <v>21.114772940542544</v>
      </c>
      <c r="AB74" s="33">
        <f t="shared" si="29"/>
        <v>303.04553899862697</v>
      </c>
      <c r="AC74" s="33">
        <f t="shared" si="29"/>
        <v>50.111580780214858</v>
      </c>
      <c r="AD74" s="33">
        <f>SUM(AD45:AD73)</f>
        <v>374.27189271938431</v>
      </c>
    </row>
    <row r="75" spans="13:30" ht="15">
      <c r="Z75" s="33" t="s">
        <v>19</v>
      </c>
      <c r="AA75" s="34">
        <f>+AA74/$AD$74*100</f>
        <v>5.6415598796711262</v>
      </c>
      <c r="AB75" s="34">
        <f t="shared" ref="AB75:AD75" si="30">+AB74/$AD$74*100</f>
        <v>80.969355405440425</v>
      </c>
      <c r="AC75" s="34">
        <f t="shared" si="30"/>
        <v>13.389084714888469</v>
      </c>
      <c r="AD75" s="34">
        <f t="shared" si="30"/>
        <v>100</v>
      </c>
    </row>
    <row r="76" spans="13:30" ht="15">
      <c r="Z76" s="39" t="s">
        <v>33</v>
      </c>
      <c r="AA76" s="40">
        <f>AA74/AA34*1000</f>
        <v>25.782140352302157</v>
      </c>
      <c r="AB76" s="40">
        <f t="shared" ref="AB76:AD76" si="31">AB74/AB34*1000</f>
        <v>26.754339700460349</v>
      </c>
      <c r="AC76" s="40">
        <f t="shared" si="31"/>
        <v>28.884529596287884</v>
      </c>
      <c r="AD76" s="40">
        <f t="shared" si="31"/>
        <v>26.96322140029298</v>
      </c>
    </row>
  </sheetData>
  <mergeCells count="18">
    <mergeCell ref="Z41:AD41"/>
    <mergeCell ref="Z42:AD42"/>
    <mergeCell ref="Z43:Z44"/>
    <mergeCell ref="AA43:AC43"/>
    <mergeCell ref="AD43:AD44"/>
    <mergeCell ref="M1:Q1"/>
    <mergeCell ref="S1:W1"/>
    <mergeCell ref="Z1:AD1"/>
    <mergeCell ref="Z2:AD2"/>
    <mergeCell ref="M3:M4"/>
    <mergeCell ref="N3:P3"/>
    <mergeCell ref="Q3:Q4"/>
    <mergeCell ref="S3:S4"/>
    <mergeCell ref="T3:V3"/>
    <mergeCell ref="W3:W4"/>
    <mergeCell ref="Z3:Z4"/>
    <mergeCell ref="AA3:AC3"/>
    <mergeCell ref="AD3:AD4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72"/>
  <sheetViews>
    <sheetView topLeftCell="H2" zoomScale="80" zoomScaleNormal="80" workbookViewId="0">
      <selection activeCell="O37" sqref="O37"/>
    </sheetView>
  </sheetViews>
  <sheetFormatPr baseColWidth="10" defaultColWidth="9" defaultRowHeight="13"/>
  <cols>
    <col min="1" max="1" width="14" style="62" customWidth="1"/>
    <col min="2" max="6" width="11.59765625" style="62" customWidth="1"/>
    <col min="7" max="7" width="11.59765625" style="1" customWidth="1"/>
    <col min="8" max="8" width="14.796875" style="1" customWidth="1"/>
    <col min="9" max="9" width="17.3984375" style="1" customWidth="1"/>
    <col min="10" max="10" width="13.3984375" style="1" customWidth="1"/>
    <col min="11" max="11" width="10.3984375" style="1" customWidth="1"/>
    <col min="12" max="25" width="11.59765625" style="1" customWidth="1"/>
    <col min="26" max="26" width="13.19921875" style="1" bestFit="1" customWidth="1"/>
    <col min="27" max="30" width="13.3984375" style="1" bestFit="1" customWidth="1"/>
    <col min="31" max="65" width="11.59765625" style="1" customWidth="1"/>
  </cols>
  <sheetData>
    <row r="1" spans="1:30" ht="21">
      <c r="B1" s="63" t="s">
        <v>4</v>
      </c>
      <c r="E1" s="62" t="s">
        <v>5</v>
      </c>
      <c r="I1" s="1" t="s">
        <v>6</v>
      </c>
      <c r="J1" s="1" t="s">
        <v>7</v>
      </c>
      <c r="M1" s="117" t="s">
        <v>32</v>
      </c>
      <c r="N1" s="117"/>
      <c r="O1" s="117"/>
      <c r="P1" s="117"/>
      <c r="Q1" s="117"/>
      <c r="R1"/>
      <c r="S1" s="117" t="s">
        <v>32</v>
      </c>
      <c r="T1" s="117"/>
      <c r="U1" s="117"/>
      <c r="V1" s="117"/>
      <c r="W1" s="117"/>
      <c r="X1" s="9"/>
      <c r="Y1"/>
      <c r="Z1" s="118" t="s">
        <v>32</v>
      </c>
      <c r="AA1" s="118"/>
      <c r="AB1" s="118"/>
      <c r="AC1" s="118"/>
      <c r="AD1" s="118"/>
    </row>
    <row r="2" spans="1:30" ht="15">
      <c r="C2" s="63" t="s">
        <v>8</v>
      </c>
      <c r="D2" s="62">
        <v>20</v>
      </c>
      <c r="E2" s="63" t="s">
        <v>9</v>
      </c>
      <c r="F2" s="62">
        <v>4.0600000000000002E-3</v>
      </c>
      <c r="I2" s="2">
        <f>I46/10^6</f>
        <v>3.5374654033146129</v>
      </c>
      <c r="J2" s="2">
        <f>J46</f>
        <v>26411.219943450047</v>
      </c>
      <c r="M2"/>
      <c r="N2"/>
      <c r="O2" s="46" t="s">
        <v>29</v>
      </c>
      <c r="P2"/>
      <c r="Q2"/>
      <c r="R2"/>
      <c r="S2" s="9"/>
      <c r="T2" s="9"/>
      <c r="U2" s="10" t="s">
        <v>19</v>
      </c>
      <c r="V2" s="9"/>
      <c r="W2" s="9"/>
      <c r="X2" s="9"/>
      <c r="Y2"/>
      <c r="Z2" s="119" t="s">
        <v>23</v>
      </c>
      <c r="AA2" s="119"/>
      <c r="AB2" s="119"/>
      <c r="AC2" s="119"/>
      <c r="AD2" s="119"/>
    </row>
    <row r="3" spans="1:30" ht="15">
      <c r="C3" s="62" t="s">
        <v>10</v>
      </c>
      <c r="D3" s="62">
        <v>72.599999999999994</v>
      </c>
      <c r="E3" s="62" t="s">
        <v>11</v>
      </c>
      <c r="F3" s="62">
        <v>3.149</v>
      </c>
      <c r="M3" s="120" t="s">
        <v>24</v>
      </c>
      <c r="N3" s="133" t="s">
        <v>25</v>
      </c>
      <c r="O3" s="134"/>
      <c r="P3" s="134"/>
      <c r="Q3" s="120" t="s">
        <v>26</v>
      </c>
      <c r="R3"/>
      <c r="S3" s="120" t="s">
        <v>24</v>
      </c>
      <c r="T3" s="135" t="s">
        <v>25</v>
      </c>
      <c r="U3" s="136"/>
      <c r="V3" s="136"/>
      <c r="W3" s="120" t="s">
        <v>26</v>
      </c>
      <c r="X3" s="10"/>
      <c r="Y3"/>
      <c r="Z3" s="122" t="s">
        <v>24</v>
      </c>
      <c r="AA3" s="137" t="s">
        <v>25</v>
      </c>
      <c r="AB3" s="138"/>
      <c r="AC3" s="138"/>
      <c r="AD3" s="122" t="s">
        <v>26</v>
      </c>
    </row>
    <row r="4" spans="1:30" ht="15">
      <c r="M4" s="121"/>
      <c r="N4" s="11">
        <v>1</v>
      </c>
      <c r="O4" s="11">
        <v>2</v>
      </c>
      <c r="P4" s="11">
        <v>3</v>
      </c>
      <c r="Q4" s="121"/>
      <c r="R4"/>
      <c r="S4" s="121"/>
      <c r="T4" s="12">
        <v>1</v>
      </c>
      <c r="U4" s="13">
        <v>2</v>
      </c>
      <c r="V4" s="14">
        <v>3</v>
      </c>
      <c r="W4" s="121"/>
      <c r="X4" s="10"/>
      <c r="Y4"/>
      <c r="Z4" s="123"/>
      <c r="AA4" s="15">
        <v>1</v>
      </c>
      <c r="AB4" s="16">
        <v>2</v>
      </c>
      <c r="AC4" s="17">
        <v>3</v>
      </c>
      <c r="AD4" s="123"/>
    </row>
    <row r="5" spans="1:30" ht="15">
      <c r="B5" s="62" t="s">
        <v>12</v>
      </c>
      <c r="D5" s="64" t="e">
        <f>#REF!</f>
        <v>#REF!</v>
      </c>
      <c r="E5" s="62" t="s">
        <v>13</v>
      </c>
      <c r="F5" s="65" t="e">
        <f>#REF!</f>
        <v>#REF!</v>
      </c>
      <c r="M5" s="18">
        <v>5</v>
      </c>
      <c r="N5"/>
      <c r="O5"/>
      <c r="P5"/>
      <c r="Q5" s="19"/>
      <c r="R5"/>
      <c r="S5" s="20">
        <v>5</v>
      </c>
      <c r="T5" s="21"/>
      <c r="U5" s="21"/>
      <c r="V5" s="21"/>
      <c r="W5" s="22"/>
      <c r="X5" s="23"/>
      <c r="Y5">
        <v>5.25</v>
      </c>
      <c r="Z5" s="24">
        <v>5</v>
      </c>
      <c r="AA5" s="25">
        <f>+T5*$I10</f>
        <v>0</v>
      </c>
      <c r="AB5" s="25">
        <f t="shared" ref="AB5:AC5" si="0">+U5*$I10</f>
        <v>0</v>
      </c>
      <c r="AC5" s="25">
        <f t="shared" si="0"/>
        <v>0</v>
      </c>
      <c r="AD5" s="29">
        <f>SUM(AA5:AC5)</f>
        <v>0</v>
      </c>
    </row>
    <row r="6" spans="1:30" ht="15">
      <c r="M6" s="18">
        <v>5.5</v>
      </c>
      <c r="N6"/>
      <c r="O6"/>
      <c r="P6"/>
      <c r="Q6" s="19"/>
      <c r="R6"/>
      <c r="S6" s="20">
        <v>5.5</v>
      </c>
      <c r="T6" s="21"/>
      <c r="U6" s="21"/>
      <c r="V6" s="21"/>
      <c r="W6" s="27"/>
      <c r="X6"/>
      <c r="Y6">
        <v>5.75</v>
      </c>
      <c r="Z6" s="28">
        <v>5.5</v>
      </c>
      <c r="AA6" s="25">
        <f t="shared" ref="AA6:AA31" si="1">+T6*$I11</f>
        <v>0</v>
      </c>
      <c r="AB6" s="25">
        <f t="shared" ref="AB6:AB31" si="2">+U6*$I11</f>
        <v>0</v>
      </c>
      <c r="AC6" s="25">
        <f t="shared" ref="AC6:AC31" si="3">+V6*$I11</f>
        <v>0</v>
      </c>
      <c r="AD6" s="29">
        <f>SUM(AA6:AC6)</f>
        <v>0</v>
      </c>
    </row>
    <row r="7" spans="1:30" ht="15">
      <c r="M7" s="18">
        <v>6</v>
      </c>
      <c r="N7"/>
      <c r="O7"/>
      <c r="P7"/>
      <c r="Q7" s="19"/>
      <c r="R7"/>
      <c r="S7" s="20">
        <v>6</v>
      </c>
      <c r="T7" s="21"/>
      <c r="U7" s="21"/>
      <c r="V7" s="21"/>
      <c r="W7" s="27"/>
      <c r="X7"/>
      <c r="Y7">
        <v>6.25</v>
      </c>
      <c r="Z7" s="28">
        <v>6</v>
      </c>
      <c r="AA7" s="25">
        <f t="shared" si="1"/>
        <v>0</v>
      </c>
      <c r="AB7" s="25">
        <f t="shared" si="2"/>
        <v>0</v>
      </c>
      <c r="AC7" s="25">
        <f t="shared" si="3"/>
        <v>0</v>
      </c>
      <c r="AD7" s="29">
        <f t="shared" ref="AD7:AD31" si="4">SUM(AA7:AC7)</f>
        <v>0</v>
      </c>
    </row>
    <row r="8" spans="1:30" ht="15">
      <c r="A8" s="62" t="s">
        <v>14</v>
      </c>
      <c r="B8" s="62" t="s">
        <v>2</v>
      </c>
      <c r="D8" s="63" t="s">
        <v>15</v>
      </c>
      <c r="F8" s="62" t="s">
        <v>16</v>
      </c>
      <c r="H8" s="41" t="s">
        <v>30</v>
      </c>
      <c r="I8" s="41" t="s">
        <v>21</v>
      </c>
      <c r="J8" s="41" t="s">
        <v>22</v>
      </c>
      <c r="M8" s="18">
        <v>6.5</v>
      </c>
      <c r="N8"/>
      <c r="O8"/>
      <c r="P8"/>
      <c r="Q8" s="19"/>
      <c r="R8"/>
      <c r="S8" s="20">
        <v>6.5</v>
      </c>
      <c r="T8" s="21"/>
      <c r="U8" s="21"/>
      <c r="V8" s="21"/>
      <c r="W8" s="27"/>
      <c r="X8"/>
      <c r="Y8">
        <v>6.75</v>
      </c>
      <c r="Z8" s="28">
        <v>6.5</v>
      </c>
      <c r="AA8" s="25">
        <f t="shared" si="1"/>
        <v>0</v>
      </c>
      <c r="AB8" s="25">
        <f t="shared" si="2"/>
        <v>0</v>
      </c>
      <c r="AC8" s="25">
        <f t="shared" si="3"/>
        <v>0</v>
      </c>
      <c r="AD8" s="29">
        <f t="shared" si="4"/>
        <v>0</v>
      </c>
    </row>
    <row r="9" spans="1:30" ht="15">
      <c r="H9" s="42"/>
      <c r="I9" s="42"/>
      <c r="J9" s="42"/>
      <c r="M9" s="18">
        <v>7</v>
      </c>
      <c r="N9"/>
      <c r="O9"/>
      <c r="P9"/>
      <c r="Q9" s="19"/>
      <c r="R9"/>
      <c r="S9" s="20">
        <v>7</v>
      </c>
      <c r="T9" s="21"/>
      <c r="U9" s="21"/>
      <c r="V9" s="21"/>
      <c r="W9" s="27"/>
      <c r="X9"/>
      <c r="Y9">
        <v>7.25</v>
      </c>
      <c r="Z9" s="28">
        <v>7</v>
      </c>
      <c r="AA9" s="25">
        <f t="shared" si="1"/>
        <v>0</v>
      </c>
      <c r="AB9" s="25">
        <f t="shared" si="2"/>
        <v>0</v>
      </c>
      <c r="AC9" s="25">
        <f t="shared" si="3"/>
        <v>0</v>
      </c>
      <c r="AD9" s="29">
        <f t="shared" si="4"/>
        <v>0</v>
      </c>
    </row>
    <row r="10" spans="1:30" ht="15">
      <c r="A10" s="62">
        <v>5</v>
      </c>
      <c r="B10" s="64">
        <v>0</v>
      </c>
      <c r="C10" s="65"/>
      <c r="D10" s="62">
        <f t="shared" ref="D10:D44" si="5">B10/(((A10+0.25)^(-$D$2/10))*(10^($D$3/10))/(4*PI()))</f>
        <v>0</v>
      </c>
      <c r="F10" s="62" t="e">
        <f t="shared" ref="F10:F44" si="6">$D$5*B10/$D$46</f>
        <v>#REF!</v>
      </c>
      <c r="H10" s="42">
        <v>5</v>
      </c>
      <c r="I10" s="43">
        <v>0</v>
      </c>
      <c r="J10" s="44">
        <v>0</v>
      </c>
      <c r="L10" s="2"/>
      <c r="M10" s="18">
        <v>7.5</v>
      </c>
      <c r="N10"/>
      <c r="O10"/>
      <c r="P10"/>
      <c r="Q10" s="19"/>
      <c r="R10"/>
      <c r="S10" s="20">
        <v>7.5</v>
      </c>
      <c r="T10" s="21"/>
      <c r="U10" s="21"/>
      <c r="V10" s="21"/>
      <c r="W10" s="27"/>
      <c r="X10"/>
      <c r="Y10">
        <v>7.75</v>
      </c>
      <c r="Z10" s="28">
        <v>7.5</v>
      </c>
      <c r="AA10" s="25">
        <f t="shared" si="1"/>
        <v>0</v>
      </c>
      <c r="AB10" s="25">
        <f t="shared" si="2"/>
        <v>0</v>
      </c>
      <c r="AC10" s="25">
        <f t="shared" si="3"/>
        <v>0</v>
      </c>
      <c r="AD10" s="29">
        <f t="shared" si="4"/>
        <v>0</v>
      </c>
    </row>
    <row r="11" spans="1:30" ht="15">
      <c r="A11" s="62">
        <f t="shared" ref="A11:A44" si="7">A10+0.5</f>
        <v>5.5</v>
      </c>
      <c r="B11" s="64">
        <v>0</v>
      </c>
      <c r="C11" s="65"/>
      <c r="D11" s="62">
        <f t="shared" si="5"/>
        <v>0</v>
      </c>
      <c r="F11" s="62" t="e">
        <f t="shared" si="6"/>
        <v>#REF!</v>
      </c>
      <c r="H11" s="42">
        <f t="shared" ref="H11:H44" si="8">H10+0.5</f>
        <v>5.5</v>
      </c>
      <c r="I11" s="43">
        <v>0</v>
      </c>
      <c r="J11" s="44">
        <v>0</v>
      </c>
      <c r="L11" s="2"/>
      <c r="M11" s="18">
        <v>8</v>
      </c>
      <c r="N11" s="49">
        <v>7</v>
      </c>
      <c r="O11" s="49"/>
      <c r="P11" s="49"/>
      <c r="Q11" s="19">
        <f>+SUM(N11:P11)</f>
        <v>7</v>
      </c>
      <c r="R11"/>
      <c r="S11" s="20">
        <v>8</v>
      </c>
      <c r="T11" s="21">
        <f t="shared" ref="T11:T31" si="9">+N11/$Q11</f>
        <v>1</v>
      </c>
      <c r="U11" s="21">
        <f t="shared" ref="U11:U31" si="10">+O11/$Q11</f>
        <v>0</v>
      </c>
      <c r="V11" s="21">
        <f t="shared" ref="V11:V31" si="11">+P11/$Q11</f>
        <v>0</v>
      </c>
      <c r="W11" s="27">
        <f t="shared" ref="W11:W14" si="12">SUM(T11:V11)</f>
        <v>1</v>
      </c>
      <c r="X11"/>
      <c r="Y11">
        <v>8.25</v>
      </c>
      <c r="Z11" s="28">
        <v>8</v>
      </c>
      <c r="AA11" s="25">
        <f t="shared" si="1"/>
        <v>176873.27016573062</v>
      </c>
      <c r="AB11" s="25">
        <f t="shared" si="2"/>
        <v>0</v>
      </c>
      <c r="AC11" s="25">
        <f t="shared" si="3"/>
        <v>0</v>
      </c>
      <c r="AD11" s="29">
        <f t="shared" si="4"/>
        <v>176873.27016573062</v>
      </c>
    </row>
    <row r="12" spans="1:30" ht="15">
      <c r="A12" s="62">
        <f t="shared" si="7"/>
        <v>6</v>
      </c>
      <c r="B12" s="64">
        <v>0</v>
      </c>
      <c r="C12" s="65"/>
      <c r="D12" s="62">
        <f t="shared" si="5"/>
        <v>0</v>
      </c>
      <c r="F12" s="62" t="e">
        <f t="shared" si="6"/>
        <v>#REF!</v>
      </c>
      <c r="H12" s="42">
        <f t="shared" si="8"/>
        <v>6</v>
      </c>
      <c r="I12" s="43">
        <v>0</v>
      </c>
      <c r="J12" s="44">
        <v>0</v>
      </c>
      <c r="L12" s="2"/>
      <c r="M12" s="18">
        <v>8.5</v>
      </c>
      <c r="N12" s="49">
        <v>5</v>
      </c>
      <c r="O12" s="49"/>
      <c r="P12" s="49"/>
      <c r="Q12" s="19">
        <f t="shared" ref="Q12:Q23" si="13">+SUM(N12:P12)</f>
        <v>5</v>
      </c>
      <c r="R12"/>
      <c r="S12" s="20">
        <v>8.5</v>
      </c>
      <c r="T12" s="21">
        <f t="shared" si="9"/>
        <v>1</v>
      </c>
      <c r="U12" s="21">
        <f t="shared" si="10"/>
        <v>0</v>
      </c>
      <c r="V12" s="21">
        <f t="shared" si="11"/>
        <v>0</v>
      </c>
      <c r="W12" s="27">
        <f t="shared" si="12"/>
        <v>1</v>
      </c>
      <c r="X12"/>
      <c r="Y12">
        <v>8.75</v>
      </c>
      <c r="Z12" s="28">
        <v>8.5</v>
      </c>
      <c r="AA12" s="25">
        <f t="shared" si="1"/>
        <v>148573.54693921373</v>
      </c>
      <c r="AB12" s="25">
        <f t="shared" si="2"/>
        <v>0</v>
      </c>
      <c r="AC12" s="25">
        <f t="shared" si="3"/>
        <v>0</v>
      </c>
      <c r="AD12" s="29">
        <f t="shared" si="4"/>
        <v>148573.54693921373</v>
      </c>
    </row>
    <row r="13" spans="1:30" ht="15">
      <c r="A13" s="62">
        <f t="shared" si="7"/>
        <v>6.5</v>
      </c>
      <c r="B13" s="64">
        <v>0</v>
      </c>
      <c r="C13" s="65"/>
      <c r="D13" s="62">
        <f t="shared" si="5"/>
        <v>0</v>
      </c>
      <c r="F13" s="62" t="e">
        <f t="shared" si="6"/>
        <v>#REF!</v>
      </c>
      <c r="H13" s="42">
        <f t="shared" si="8"/>
        <v>6.5</v>
      </c>
      <c r="I13" s="43">
        <v>0</v>
      </c>
      <c r="J13" s="44">
        <v>0</v>
      </c>
      <c r="L13" s="2"/>
      <c r="M13" s="18">
        <v>9</v>
      </c>
      <c r="N13" s="49">
        <v>9</v>
      </c>
      <c r="O13" s="49"/>
      <c r="P13" s="49"/>
      <c r="Q13" s="19">
        <f t="shared" si="13"/>
        <v>9</v>
      </c>
      <c r="R13"/>
      <c r="S13" s="20">
        <v>9</v>
      </c>
      <c r="T13" s="21">
        <f t="shared" si="9"/>
        <v>1</v>
      </c>
      <c r="U13" s="21">
        <f t="shared" si="10"/>
        <v>0</v>
      </c>
      <c r="V13" s="21">
        <f t="shared" si="11"/>
        <v>0</v>
      </c>
      <c r="W13" s="27">
        <f t="shared" si="12"/>
        <v>1</v>
      </c>
      <c r="X13"/>
      <c r="Y13">
        <v>9.25</v>
      </c>
      <c r="Z13" s="28">
        <v>9</v>
      </c>
      <c r="AA13" s="25">
        <f t="shared" si="1"/>
        <v>374971.33275134885</v>
      </c>
      <c r="AB13" s="25">
        <f t="shared" si="2"/>
        <v>0</v>
      </c>
      <c r="AC13" s="25">
        <f t="shared" si="3"/>
        <v>0</v>
      </c>
      <c r="AD13" s="29">
        <f t="shared" si="4"/>
        <v>374971.33275134885</v>
      </c>
    </row>
    <row r="14" spans="1:30" ht="15">
      <c r="A14" s="62">
        <f t="shared" si="7"/>
        <v>7</v>
      </c>
      <c r="B14" s="64">
        <v>0</v>
      </c>
      <c r="C14" s="65"/>
      <c r="D14" s="62">
        <f t="shared" si="5"/>
        <v>0</v>
      </c>
      <c r="F14" s="62" t="e">
        <f t="shared" si="6"/>
        <v>#REF!</v>
      </c>
      <c r="H14" s="42">
        <f t="shared" si="8"/>
        <v>7</v>
      </c>
      <c r="I14" s="43">
        <v>0</v>
      </c>
      <c r="J14" s="44">
        <v>0</v>
      </c>
      <c r="L14" s="2"/>
      <c r="M14" s="18">
        <v>9.5</v>
      </c>
      <c r="N14" s="49">
        <v>11</v>
      </c>
      <c r="O14" s="49"/>
      <c r="P14" s="49"/>
      <c r="Q14" s="19">
        <f t="shared" si="13"/>
        <v>11</v>
      </c>
      <c r="R14"/>
      <c r="S14" s="20">
        <v>9.5</v>
      </c>
      <c r="T14" s="21">
        <f t="shared" si="9"/>
        <v>1</v>
      </c>
      <c r="U14" s="21">
        <f t="shared" si="10"/>
        <v>0</v>
      </c>
      <c r="V14" s="21">
        <f t="shared" si="11"/>
        <v>0</v>
      </c>
      <c r="W14" s="27">
        <f t="shared" si="12"/>
        <v>1</v>
      </c>
      <c r="X14"/>
      <c r="Y14">
        <v>9.75</v>
      </c>
      <c r="Z14" s="28">
        <v>9.5</v>
      </c>
      <c r="AA14" s="25">
        <f t="shared" si="1"/>
        <v>297147.09387842746</v>
      </c>
      <c r="AB14" s="25">
        <f t="shared" si="2"/>
        <v>0</v>
      </c>
      <c r="AC14" s="25">
        <f t="shared" si="3"/>
        <v>0</v>
      </c>
      <c r="AD14" s="29">
        <f>SUM(AA14:AC14)</f>
        <v>297147.09387842746</v>
      </c>
    </row>
    <row r="15" spans="1:30" ht="15">
      <c r="A15" s="62">
        <f t="shared" si="7"/>
        <v>7.5</v>
      </c>
      <c r="B15" s="64">
        <v>0</v>
      </c>
      <c r="C15" s="65"/>
      <c r="D15" s="62">
        <f t="shared" si="5"/>
        <v>0</v>
      </c>
      <c r="F15" s="62" t="e">
        <f t="shared" si="6"/>
        <v>#REF!</v>
      </c>
      <c r="H15" s="42">
        <f t="shared" si="8"/>
        <v>7.5</v>
      </c>
      <c r="I15" s="43">
        <v>0</v>
      </c>
      <c r="J15" s="44">
        <v>0</v>
      </c>
      <c r="L15" s="2"/>
      <c r="M15" s="18">
        <v>10</v>
      </c>
      <c r="N15" s="49">
        <v>11</v>
      </c>
      <c r="O15" s="49"/>
      <c r="P15" s="49"/>
      <c r="Q15" s="19">
        <f t="shared" si="13"/>
        <v>11</v>
      </c>
      <c r="R15"/>
      <c r="S15" s="20">
        <v>10</v>
      </c>
      <c r="T15" s="21">
        <f t="shared" si="9"/>
        <v>1</v>
      </c>
      <c r="U15" s="21">
        <f t="shared" si="10"/>
        <v>0</v>
      </c>
      <c r="V15" s="21">
        <f t="shared" si="11"/>
        <v>0</v>
      </c>
      <c r="W15" s="27">
        <f t="shared" ref="W15:W31" si="14">SUM(T15:V15)</f>
        <v>1</v>
      </c>
      <c r="X15"/>
      <c r="Y15">
        <v>10.25</v>
      </c>
      <c r="Z15" s="28">
        <v>10</v>
      </c>
      <c r="AA15" s="25">
        <f t="shared" si="1"/>
        <v>367896.40194471972</v>
      </c>
      <c r="AB15" s="25">
        <f t="shared" si="2"/>
        <v>0</v>
      </c>
      <c r="AC15" s="25">
        <f t="shared" si="3"/>
        <v>0</v>
      </c>
      <c r="AD15" s="29">
        <f t="shared" si="4"/>
        <v>367896.40194471972</v>
      </c>
    </row>
    <row r="16" spans="1:30" ht="15">
      <c r="A16" s="62">
        <f t="shared" si="7"/>
        <v>8</v>
      </c>
      <c r="B16" s="64">
        <v>5</v>
      </c>
      <c r="C16" s="65"/>
      <c r="D16" s="62">
        <f t="shared" si="5"/>
        <v>2.3501077001006568E-4</v>
      </c>
      <c r="F16" s="62" t="e">
        <f t="shared" si="6"/>
        <v>#REF!</v>
      </c>
      <c r="H16" s="42">
        <f t="shared" si="8"/>
        <v>8</v>
      </c>
      <c r="I16" s="43">
        <v>176873.27016573062</v>
      </c>
      <c r="J16" s="44">
        <v>552.20676526165198</v>
      </c>
      <c r="L16" s="2"/>
      <c r="M16" s="18">
        <v>10.5</v>
      </c>
      <c r="N16" s="49">
        <v>8</v>
      </c>
      <c r="O16" s="49"/>
      <c r="P16" s="49"/>
      <c r="Q16" s="19">
        <f t="shared" si="13"/>
        <v>8</v>
      </c>
      <c r="R16"/>
      <c r="S16" s="20">
        <v>10.5</v>
      </c>
      <c r="T16" s="21">
        <f t="shared" si="9"/>
        <v>1</v>
      </c>
      <c r="U16" s="21">
        <f t="shared" si="10"/>
        <v>0</v>
      </c>
      <c r="V16" s="21">
        <f t="shared" si="11"/>
        <v>0</v>
      </c>
      <c r="W16" s="27">
        <f t="shared" si="14"/>
        <v>1</v>
      </c>
      <c r="X16"/>
      <c r="Y16">
        <v>10.75</v>
      </c>
      <c r="Z16" s="28">
        <v>10.5</v>
      </c>
      <c r="AA16" s="25">
        <f t="shared" si="1"/>
        <v>452795.57162427041</v>
      </c>
      <c r="AB16" s="25">
        <f t="shared" si="2"/>
        <v>0</v>
      </c>
      <c r="AC16" s="25">
        <f t="shared" si="3"/>
        <v>0</v>
      </c>
      <c r="AD16" s="29">
        <f t="shared" si="4"/>
        <v>452795.57162427041</v>
      </c>
    </row>
    <row r="17" spans="1:30" ht="15">
      <c r="A17" s="62">
        <f t="shared" si="7"/>
        <v>8.5</v>
      </c>
      <c r="B17" s="64">
        <v>4.2</v>
      </c>
      <c r="C17" s="65"/>
      <c r="D17" s="62">
        <f t="shared" si="5"/>
        <v>2.2206251821887748E-4</v>
      </c>
      <c r="F17" s="62" t="e">
        <f t="shared" si="6"/>
        <v>#REF!</v>
      </c>
      <c r="H17" s="42">
        <f t="shared" si="8"/>
        <v>8.5</v>
      </c>
      <c r="I17" s="43">
        <v>148573.54693921373</v>
      </c>
      <c r="J17" s="44">
        <v>558.27847571783343</v>
      </c>
      <c r="L17" s="2"/>
      <c r="M17" s="18">
        <v>11</v>
      </c>
      <c r="N17" s="49">
        <v>10</v>
      </c>
      <c r="O17" s="49"/>
      <c r="P17" s="49"/>
      <c r="Q17" s="19">
        <f t="shared" si="13"/>
        <v>10</v>
      </c>
      <c r="R17"/>
      <c r="S17" s="20">
        <v>11</v>
      </c>
      <c r="T17" s="21">
        <f t="shared" si="9"/>
        <v>1</v>
      </c>
      <c r="U17" s="21">
        <f t="shared" si="10"/>
        <v>0</v>
      </c>
      <c r="V17" s="21">
        <f t="shared" si="11"/>
        <v>0</v>
      </c>
      <c r="W17" s="27">
        <f t="shared" si="14"/>
        <v>1</v>
      </c>
      <c r="X17"/>
      <c r="Y17">
        <v>11.25</v>
      </c>
      <c r="Z17" s="28">
        <v>11</v>
      </c>
      <c r="AA17" s="25">
        <f t="shared" si="1"/>
        <v>721642.94227618084</v>
      </c>
      <c r="AB17" s="25">
        <f t="shared" si="2"/>
        <v>0</v>
      </c>
      <c r="AC17" s="25">
        <f t="shared" si="3"/>
        <v>0</v>
      </c>
      <c r="AD17" s="29">
        <f t="shared" si="4"/>
        <v>721642.94227618084</v>
      </c>
    </row>
    <row r="18" spans="1:30" ht="15">
      <c r="A18" s="62">
        <f t="shared" si="7"/>
        <v>9</v>
      </c>
      <c r="B18" s="64">
        <v>10.6</v>
      </c>
      <c r="C18" s="65"/>
      <c r="D18" s="62">
        <f t="shared" si="5"/>
        <v>6.2632420347549442E-4</v>
      </c>
      <c r="F18" s="62" t="e">
        <f t="shared" si="6"/>
        <v>#REF!</v>
      </c>
      <c r="H18" s="42">
        <f t="shared" si="8"/>
        <v>9</v>
      </c>
      <c r="I18" s="43">
        <v>374971.33275134885</v>
      </c>
      <c r="J18" s="44">
        <v>1678.4345716892403</v>
      </c>
      <c r="L18" s="2"/>
      <c r="M18" s="18">
        <v>11.5</v>
      </c>
      <c r="N18" s="49">
        <v>11</v>
      </c>
      <c r="O18" s="49">
        <v>1</v>
      </c>
      <c r="P18" s="49"/>
      <c r="Q18" s="19">
        <f t="shared" si="13"/>
        <v>12</v>
      </c>
      <c r="R18"/>
      <c r="S18" s="20">
        <v>11.5</v>
      </c>
      <c r="T18" s="21">
        <f t="shared" si="9"/>
        <v>0.91666666666666663</v>
      </c>
      <c r="U18" s="21">
        <f t="shared" si="10"/>
        <v>8.3333333333333329E-2</v>
      </c>
      <c r="V18" s="21">
        <f t="shared" si="11"/>
        <v>0</v>
      </c>
      <c r="W18" s="27">
        <f t="shared" si="14"/>
        <v>1</v>
      </c>
      <c r="X18"/>
      <c r="Y18">
        <v>11.75</v>
      </c>
      <c r="Z18" s="28">
        <v>11.5</v>
      </c>
      <c r="AA18" s="25">
        <f t="shared" si="1"/>
        <v>577196.43830750091</v>
      </c>
      <c r="AB18" s="25">
        <f t="shared" si="2"/>
        <v>52472.403482500085</v>
      </c>
      <c r="AC18" s="25">
        <f t="shared" si="3"/>
        <v>0</v>
      </c>
      <c r="AD18" s="29">
        <f t="shared" si="4"/>
        <v>629668.84179000102</v>
      </c>
    </row>
    <row r="19" spans="1:30" ht="15">
      <c r="A19" s="62">
        <f t="shared" si="7"/>
        <v>9.5</v>
      </c>
      <c r="B19" s="64">
        <v>8.4</v>
      </c>
      <c r="C19" s="65"/>
      <c r="D19" s="62">
        <f t="shared" si="5"/>
        <v>5.5144014728312259E-4</v>
      </c>
      <c r="F19" s="62" t="e">
        <f t="shared" si="6"/>
        <v>#REF!</v>
      </c>
      <c r="H19" s="42">
        <f t="shared" si="8"/>
        <v>9.5</v>
      </c>
      <c r="I19" s="43">
        <v>297147.09387842746</v>
      </c>
      <c r="J19" s="44">
        <v>1569.9038538958243</v>
      </c>
      <c r="L19" s="2"/>
      <c r="M19" s="18">
        <v>12</v>
      </c>
      <c r="N19" s="49">
        <v>9</v>
      </c>
      <c r="O19" s="49">
        <v>1</v>
      </c>
      <c r="P19" s="49"/>
      <c r="Q19" s="19">
        <f t="shared" si="13"/>
        <v>10</v>
      </c>
      <c r="R19"/>
      <c r="S19" s="20">
        <v>12</v>
      </c>
      <c r="T19" s="21">
        <f t="shared" si="9"/>
        <v>0.9</v>
      </c>
      <c r="U19" s="21">
        <f t="shared" si="10"/>
        <v>0.1</v>
      </c>
      <c r="V19" s="21">
        <f t="shared" si="11"/>
        <v>0</v>
      </c>
      <c r="W19" s="27">
        <f t="shared" si="14"/>
        <v>1</v>
      </c>
      <c r="X19"/>
      <c r="Y19">
        <v>12.25</v>
      </c>
      <c r="Z19" s="28">
        <v>12</v>
      </c>
      <c r="AA19" s="25">
        <f t="shared" si="1"/>
        <v>222860.32040882058</v>
      </c>
      <c r="AB19" s="25">
        <f t="shared" si="2"/>
        <v>24762.25782320229</v>
      </c>
      <c r="AC19" s="25">
        <f t="shared" si="3"/>
        <v>0</v>
      </c>
      <c r="AD19" s="29">
        <f t="shared" si="4"/>
        <v>247622.57823202288</v>
      </c>
    </row>
    <row r="20" spans="1:30" ht="15">
      <c r="A20" s="62">
        <f t="shared" si="7"/>
        <v>10</v>
      </c>
      <c r="B20" s="64">
        <v>10.4</v>
      </c>
      <c r="C20" s="65"/>
      <c r="D20" s="62">
        <f t="shared" si="5"/>
        <v>7.5455505704756141E-4</v>
      </c>
      <c r="F20" s="62" t="e">
        <f t="shared" si="6"/>
        <v>#REF!</v>
      </c>
      <c r="H20" s="42">
        <f t="shared" si="8"/>
        <v>10</v>
      </c>
      <c r="I20" s="43">
        <v>367896.40194471972</v>
      </c>
      <c r="J20" s="44">
        <v>2275.207580954188</v>
      </c>
      <c r="L20" s="2"/>
      <c r="M20" s="18">
        <v>12.5</v>
      </c>
      <c r="N20" s="49">
        <v>10</v>
      </c>
      <c r="O20" s="49">
        <v>1</v>
      </c>
      <c r="P20" s="49"/>
      <c r="Q20" s="19">
        <f t="shared" si="13"/>
        <v>11</v>
      </c>
      <c r="R20"/>
      <c r="S20" s="20">
        <v>12.5</v>
      </c>
      <c r="T20" s="21">
        <f t="shared" si="9"/>
        <v>0.90909090909090906</v>
      </c>
      <c r="U20" s="21">
        <f t="shared" si="10"/>
        <v>9.0909090909090912E-2</v>
      </c>
      <c r="V20" s="21">
        <f t="shared" si="11"/>
        <v>0</v>
      </c>
      <c r="W20" s="27">
        <f t="shared" si="14"/>
        <v>1</v>
      </c>
      <c r="X20"/>
      <c r="Y20">
        <v>12.75</v>
      </c>
      <c r="Z20" s="28">
        <v>12.5</v>
      </c>
      <c r="AA20" s="25">
        <f t="shared" si="1"/>
        <v>70749.308066292258</v>
      </c>
      <c r="AB20" s="25">
        <f t="shared" si="2"/>
        <v>7074.930806629226</v>
      </c>
      <c r="AC20" s="25">
        <f t="shared" si="3"/>
        <v>0</v>
      </c>
      <c r="AD20" s="29">
        <f t="shared" si="4"/>
        <v>77824.238872921487</v>
      </c>
    </row>
    <row r="21" spans="1:30" ht="15">
      <c r="A21" s="62">
        <f t="shared" si="7"/>
        <v>10.5</v>
      </c>
      <c r="B21" s="64">
        <v>12.8</v>
      </c>
      <c r="C21" s="65"/>
      <c r="D21" s="62">
        <f t="shared" si="5"/>
        <v>1.0214962159746973E-3</v>
      </c>
      <c r="F21" s="62" t="e">
        <f t="shared" si="6"/>
        <v>#REF!</v>
      </c>
      <c r="H21" s="42">
        <f t="shared" si="8"/>
        <v>10.5</v>
      </c>
      <c r="I21" s="43">
        <v>452795.57162427041</v>
      </c>
      <c r="J21" s="44">
        <v>3253.3700048022652</v>
      </c>
      <c r="L21" s="2"/>
      <c r="M21" s="18">
        <v>13</v>
      </c>
      <c r="N21" s="49">
        <v>3</v>
      </c>
      <c r="O21" s="49"/>
      <c r="P21" s="49"/>
      <c r="Q21" s="19">
        <f t="shared" si="13"/>
        <v>3</v>
      </c>
      <c r="R21"/>
      <c r="S21" s="20">
        <v>13</v>
      </c>
      <c r="T21" s="21">
        <f t="shared" si="9"/>
        <v>1</v>
      </c>
      <c r="U21" s="21">
        <f t="shared" si="10"/>
        <v>0</v>
      </c>
      <c r="V21" s="21">
        <f t="shared" si="11"/>
        <v>0</v>
      </c>
      <c r="W21" s="27">
        <f t="shared" si="14"/>
        <v>1</v>
      </c>
      <c r="X21"/>
      <c r="Y21">
        <v>13.25</v>
      </c>
      <c r="Z21" s="28">
        <v>13</v>
      </c>
      <c r="AA21" s="25">
        <f t="shared" si="1"/>
        <v>21224.792419887672</v>
      </c>
      <c r="AB21" s="25">
        <f t="shared" si="2"/>
        <v>0</v>
      </c>
      <c r="AC21" s="25">
        <f t="shared" si="3"/>
        <v>0</v>
      </c>
      <c r="AD21" s="29">
        <f t="shared" si="4"/>
        <v>21224.792419887672</v>
      </c>
    </row>
    <row r="22" spans="1:30" ht="15">
      <c r="A22" s="62">
        <f t="shared" si="7"/>
        <v>11</v>
      </c>
      <c r="B22" s="64">
        <v>20.399999999999999</v>
      </c>
      <c r="C22" s="65"/>
      <c r="D22" s="62">
        <f t="shared" si="5"/>
        <v>1.7829742716466137E-3</v>
      </c>
      <c r="F22" s="62" t="e">
        <f t="shared" si="6"/>
        <v>#REF!</v>
      </c>
      <c r="H22" s="42">
        <f t="shared" si="8"/>
        <v>11</v>
      </c>
      <c r="I22" s="43">
        <v>721642.94227618084</v>
      </c>
      <c r="J22" s="44">
        <v>5983.1197518150657</v>
      </c>
      <c r="L22" s="2"/>
      <c r="M22" s="18">
        <v>13.5</v>
      </c>
      <c r="N22" s="49"/>
      <c r="O22" s="49"/>
      <c r="P22" s="49"/>
      <c r="Q22" s="19">
        <f t="shared" si="13"/>
        <v>0</v>
      </c>
      <c r="R22"/>
      <c r="S22" s="20">
        <v>13.5</v>
      </c>
      <c r="T22" s="21"/>
      <c r="U22" s="21"/>
      <c r="V22" s="21"/>
      <c r="W22" s="27"/>
      <c r="X22"/>
      <c r="Y22">
        <v>13.75</v>
      </c>
      <c r="Z22" s="28">
        <v>13.5</v>
      </c>
      <c r="AA22" s="25">
        <f t="shared" si="1"/>
        <v>0</v>
      </c>
      <c r="AB22" s="25">
        <f t="shared" si="2"/>
        <v>0</v>
      </c>
      <c r="AC22" s="25">
        <f t="shared" si="3"/>
        <v>0</v>
      </c>
      <c r="AD22" s="29">
        <f t="shared" si="4"/>
        <v>0</v>
      </c>
    </row>
    <row r="23" spans="1:30" ht="15">
      <c r="A23" s="62">
        <f t="shared" si="7"/>
        <v>11.5</v>
      </c>
      <c r="B23" s="64">
        <v>17.8</v>
      </c>
      <c r="C23" s="65"/>
      <c r="D23" s="62">
        <f t="shared" si="5"/>
        <v>1.6970928335995931E-3</v>
      </c>
      <c r="F23" s="62" t="e">
        <f t="shared" si="6"/>
        <v>#REF!</v>
      </c>
      <c r="H23" s="42">
        <f t="shared" si="8"/>
        <v>11.5</v>
      </c>
      <c r="I23" s="43">
        <v>629668.84179000102</v>
      </c>
      <c r="J23" s="44">
        <v>5986.6997687967314</v>
      </c>
      <c r="L23" s="2"/>
      <c r="M23" s="18">
        <v>14</v>
      </c>
      <c r="N23" s="60"/>
      <c r="O23" s="60">
        <v>1</v>
      </c>
      <c r="P23" s="60"/>
      <c r="Q23" s="19">
        <f t="shared" si="13"/>
        <v>1</v>
      </c>
      <c r="R23"/>
      <c r="S23" s="20">
        <v>14</v>
      </c>
      <c r="T23" s="21">
        <f t="shared" si="9"/>
        <v>0</v>
      </c>
      <c r="U23" s="21">
        <f t="shared" si="10"/>
        <v>1</v>
      </c>
      <c r="V23" s="21">
        <f t="shared" si="11"/>
        <v>0</v>
      </c>
      <c r="W23" s="27">
        <f t="shared" si="14"/>
        <v>1</v>
      </c>
      <c r="X23"/>
      <c r="Y23">
        <v>14.25</v>
      </c>
      <c r="Z23" s="28">
        <v>14</v>
      </c>
      <c r="AA23" s="25">
        <f t="shared" si="1"/>
        <v>0</v>
      </c>
      <c r="AB23" s="25">
        <f t="shared" si="2"/>
        <v>7074.9308066292251</v>
      </c>
      <c r="AC23" s="25">
        <f t="shared" si="3"/>
        <v>0</v>
      </c>
      <c r="AD23" s="29">
        <f t="shared" si="4"/>
        <v>7074.9308066292251</v>
      </c>
    </row>
    <row r="24" spans="1:30" ht="15">
      <c r="A24" s="62">
        <f t="shared" si="7"/>
        <v>12</v>
      </c>
      <c r="B24" s="64">
        <v>7</v>
      </c>
      <c r="C24" s="65"/>
      <c r="D24" s="62">
        <f t="shared" si="5"/>
        <v>7.2540422618166641E-4</v>
      </c>
      <c r="F24" s="62" t="e">
        <f t="shared" si="6"/>
        <v>#REF!</v>
      </c>
      <c r="H24" s="42">
        <f t="shared" si="8"/>
        <v>12</v>
      </c>
      <c r="I24" s="43">
        <v>247622.57823202288</v>
      </c>
      <c r="J24" s="44">
        <v>2684.4592639393131</v>
      </c>
      <c r="L24" s="2"/>
      <c r="M24" s="18">
        <v>14.5</v>
      </c>
      <c r="N24" s="52"/>
      <c r="O24" s="52"/>
      <c r="P24" s="52"/>
      <c r="Q24" s="19"/>
      <c r="R24"/>
      <c r="S24" s="20">
        <v>14.5</v>
      </c>
      <c r="T24" s="21"/>
      <c r="U24" s="21"/>
      <c r="V24" s="21"/>
      <c r="W24" s="27"/>
      <c r="X24"/>
      <c r="Y24">
        <v>14.75</v>
      </c>
      <c r="Z24" s="28">
        <v>14.5</v>
      </c>
      <c r="AA24" s="25">
        <f t="shared" si="1"/>
        <v>0</v>
      </c>
      <c r="AB24" s="25">
        <f t="shared" si="2"/>
        <v>0</v>
      </c>
      <c r="AC24" s="25">
        <f t="shared" si="3"/>
        <v>0</v>
      </c>
      <c r="AD24" s="29">
        <f t="shared" si="4"/>
        <v>0</v>
      </c>
    </row>
    <row r="25" spans="1:30" ht="15">
      <c r="A25" s="62">
        <f t="shared" si="7"/>
        <v>12.5</v>
      </c>
      <c r="B25" s="64">
        <v>2.2000000000000002</v>
      </c>
      <c r="D25" s="62">
        <f t="shared" si="5"/>
        <v>2.4697495466512355E-4</v>
      </c>
      <c r="F25" s="62" t="e">
        <f t="shared" si="6"/>
        <v>#REF!</v>
      </c>
      <c r="H25" s="42">
        <f t="shared" si="8"/>
        <v>12.5</v>
      </c>
      <c r="I25" s="43">
        <v>77824.238872921487</v>
      </c>
      <c r="J25" s="44">
        <v>956.95714052715539</v>
      </c>
      <c r="M25" s="18">
        <v>15</v>
      </c>
      <c r="N25" s="52"/>
      <c r="O25" s="52"/>
      <c r="P25" s="52"/>
      <c r="Q25" s="19"/>
      <c r="R25"/>
      <c r="S25" s="20">
        <v>15</v>
      </c>
      <c r="T25" s="21"/>
      <c r="U25" s="21"/>
      <c r="V25" s="21"/>
      <c r="W25" s="27"/>
      <c r="X25"/>
      <c r="Y25">
        <v>15.25</v>
      </c>
      <c r="Z25" s="28">
        <v>15</v>
      </c>
      <c r="AA25" s="25">
        <f t="shared" si="1"/>
        <v>0</v>
      </c>
      <c r="AB25" s="25">
        <f t="shared" si="2"/>
        <v>0</v>
      </c>
      <c r="AC25" s="25">
        <f t="shared" si="3"/>
        <v>0</v>
      </c>
      <c r="AD25" s="29">
        <f t="shared" si="4"/>
        <v>0</v>
      </c>
    </row>
    <row r="26" spans="1:30" ht="15">
      <c r="A26" s="62">
        <f t="shared" si="7"/>
        <v>13</v>
      </c>
      <c r="B26" s="64">
        <v>0.6</v>
      </c>
      <c r="D26" s="62">
        <f t="shared" si="5"/>
        <v>7.2743278562895249E-5</v>
      </c>
      <c r="F26" s="62" t="e">
        <f t="shared" si="6"/>
        <v>#REF!</v>
      </c>
      <c r="H26" s="42">
        <f t="shared" si="8"/>
        <v>13</v>
      </c>
      <c r="I26" s="43">
        <v>21224.792419887672</v>
      </c>
      <c r="J26" s="44">
        <v>294.59629848617914</v>
      </c>
      <c r="M26" s="18">
        <v>15.5</v>
      </c>
      <c r="N26" s="52"/>
      <c r="O26" s="52"/>
      <c r="P26" s="52"/>
      <c r="Q26" s="19"/>
      <c r="R26"/>
      <c r="S26" s="20">
        <v>15.5</v>
      </c>
      <c r="T26" s="21"/>
      <c r="U26" s="21"/>
      <c r="V26" s="21"/>
      <c r="W26" s="27"/>
      <c r="X26"/>
      <c r="Y26">
        <v>15.75</v>
      </c>
      <c r="Z26" s="28">
        <v>15.5</v>
      </c>
      <c r="AA26" s="25">
        <f t="shared" si="1"/>
        <v>0</v>
      </c>
      <c r="AB26" s="25">
        <f t="shared" si="2"/>
        <v>0</v>
      </c>
      <c r="AC26" s="25">
        <f t="shared" si="3"/>
        <v>0</v>
      </c>
      <c r="AD26" s="29">
        <f>SUM(AA26:AC26)</f>
        <v>0</v>
      </c>
    </row>
    <row r="27" spans="1:30" ht="15">
      <c r="A27" s="62">
        <f t="shared" si="7"/>
        <v>13.5</v>
      </c>
      <c r="B27" s="64">
        <v>0</v>
      </c>
      <c r="D27" s="62">
        <f t="shared" si="5"/>
        <v>0</v>
      </c>
      <c r="F27" s="62" t="e">
        <f t="shared" si="6"/>
        <v>#REF!</v>
      </c>
      <c r="H27" s="42">
        <f t="shared" si="8"/>
        <v>13.5</v>
      </c>
      <c r="I27" s="43">
        <v>0</v>
      </c>
      <c r="J27" s="44">
        <v>0</v>
      </c>
      <c r="M27" s="18">
        <v>16</v>
      </c>
      <c r="N27" s="52"/>
      <c r="O27" s="52"/>
      <c r="P27" s="52"/>
      <c r="Q27" s="19"/>
      <c r="R27"/>
      <c r="S27" s="20">
        <v>16</v>
      </c>
      <c r="T27" s="21"/>
      <c r="U27" s="21"/>
      <c r="V27" s="21"/>
      <c r="W27" s="27"/>
      <c r="X27"/>
      <c r="Y27">
        <v>16.25</v>
      </c>
      <c r="Z27" s="28">
        <v>16</v>
      </c>
      <c r="AA27" s="25">
        <f t="shared" si="1"/>
        <v>0</v>
      </c>
      <c r="AB27" s="25">
        <f t="shared" si="2"/>
        <v>0</v>
      </c>
      <c r="AC27" s="25">
        <f t="shared" si="3"/>
        <v>0</v>
      </c>
      <c r="AD27" s="29">
        <f t="shared" si="4"/>
        <v>0</v>
      </c>
    </row>
    <row r="28" spans="1:30" ht="15">
      <c r="A28" s="62">
        <f t="shared" si="7"/>
        <v>14</v>
      </c>
      <c r="B28" s="64">
        <v>0.2</v>
      </c>
      <c r="D28" s="62">
        <f t="shared" si="5"/>
        <v>2.8045913379713619E-5</v>
      </c>
      <c r="F28" s="62" t="e">
        <f t="shared" si="6"/>
        <v>#REF!</v>
      </c>
      <c r="H28" s="42">
        <f t="shared" si="8"/>
        <v>14</v>
      </c>
      <c r="I28" s="43">
        <v>7074.9308066292251</v>
      </c>
      <c r="J28" s="44">
        <v>123.48415612789394</v>
      </c>
      <c r="M28" s="18">
        <v>16.5</v>
      </c>
      <c r="N28" s="52"/>
      <c r="O28" s="52"/>
      <c r="P28" s="52"/>
      <c r="Q28" s="19"/>
      <c r="R28"/>
      <c r="S28" s="20">
        <v>16.5</v>
      </c>
      <c r="T28" s="21"/>
      <c r="U28" s="21"/>
      <c r="V28" s="21"/>
      <c r="W28" s="27"/>
      <c r="X28"/>
      <c r="Y28">
        <v>16.75</v>
      </c>
      <c r="Z28" s="28">
        <v>16.5</v>
      </c>
      <c r="AA28" s="25">
        <f t="shared" si="1"/>
        <v>0</v>
      </c>
      <c r="AB28" s="25">
        <f t="shared" si="2"/>
        <v>0</v>
      </c>
      <c r="AC28" s="25">
        <f t="shared" si="3"/>
        <v>0</v>
      </c>
      <c r="AD28" s="29">
        <f t="shared" si="4"/>
        <v>0</v>
      </c>
    </row>
    <row r="29" spans="1:30" ht="15">
      <c r="A29" s="62">
        <f t="shared" si="7"/>
        <v>14.5</v>
      </c>
      <c r="B29" s="64">
        <v>0</v>
      </c>
      <c r="D29" s="62">
        <f t="shared" si="5"/>
        <v>0</v>
      </c>
      <c r="F29" s="62" t="e">
        <f t="shared" si="6"/>
        <v>#REF!</v>
      </c>
      <c r="H29" s="42">
        <f t="shared" si="8"/>
        <v>14.5</v>
      </c>
      <c r="I29" s="43">
        <v>0</v>
      </c>
      <c r="J29" s="44">
        <v>0</v>
      </c>
      <c r="M29" s="18">
        <v>17</v>
      </c>
      <c r="N29" s="60"/>
      <c r="O29" s="60">
        <v>7</v>
      </c>
      <c r="P29" s="60">
        <v>3</v>
      </c>
      <c r="Q29" s="19">
        <f t="shared" ref="Q29" si="15">+SUM(N29:P29)</f>
        <v>10</v>
      </c>
      <c r="R29"/>
      <c r="S29" s="20">
        <v>17</v>
      </c>
      <c r="T29" s="21">
        <f t="shared" si="9"/>
        <v>0</v>
      </c>
      <c r="U29" s="21">
        <f t="shared" si="10"/>
        <v>0.7</v>
      </c>
      <c r="V29" s="21">
        <f t="shared" si="11"/>
        <v>0.3</v>
      </c>
      <c r="W29" s="27">
        <f t="shared" si="14"/>
        <v>1</v>
      </c>
      <c r="X29"/>
      <c r="Y29">
        <v>17.25</v>
      </c>
      <c r="Z29" s="28">
        <v>17</v>
      </c>
      <c r="AA29" s="25">
        <f t="shared" si="1"/>
        <v>0</v>
      </c>
      <c r="AB29" s="25">
        <f t="shared" si="2"/>
        <v>4952.451564640457</v>
      </c>
      <c r="AC29" s="25">
        <f t="shared" si="3"/>
        <v>2122.4792419887676</v>
      </c>
      <c r="AD29" s="29">
        <f t="shared" si="4"/>
        <v>7074.9308066292251</v>
      </c>
    </row>
    <row r="30" spans="1:30" ht="15">
      <c r="A30" s="62">
        <f t="shared" si="7"/>
        <v>15</v>
      </c>
      <c r="B30" s="64">
        <v>0</v>
      </c>
      <c r="D30" s="62">
        <f t="shared" si="5"/>
        <v>0</v>
      </c>
      <c r="F30" s="62" t="e">
        <f t="shared" si="6"/>
        <v>#REF!</v>
      </c>
      <c r="H30" s="42">
        <f t="shared" si="8"/>
        <v>15</v>
      </c>
      <c r="I30" s="43">
        <v>0</v>
      </c>
      <c r="J30" s="44">
        <v>0</v>
      </c>
      <c r="M30" s="18">
        <v>17.5</v>
      </c>
      <c r="N30" s="52"/>
      <c r="O30" s="52"/>
      <c r="P30" s="52"/>
      <c r="Q30" s="19"/>
      <c r="R30"/>
      <c r="S30" s="20">
        <v>17.5</v>
      </c>
      <c r="T30" s="21"/>
      <c r="U30" s="21"/>
      <c r="V30" s="21"/>
      <c r="W30" s="27"/>
      <c r="X30"/>
      <c r="Y30">
        <v>17.75</v>
      </c>
      <c r="Z30" s="28">
        <v>17.5</v>
      </c>
      <c r="AA30" s="25">
        <f t="shared" si="1"/>
        <v>0</v>
      </c>
      <c r="AB30" s="25">
        <f t="shared" si="2"/>
        <v>0</v>
      </c>
      <c r="AC30" s="25">
        <f t="shared" si="3"/>
        <v>0</v>
      </c>
      <c r="AD30" s="29">
        <f t="shared" si="4"/>
        <v>0</v>
      </c>
    </row>
    <row r="31" spans="1:30" ht="15">
      <c r="A31" s="62">
        <f t="shared" si="7"/>
        <v>15.5</v>
      </c>
      <c r="B31" s="64">
        <v>0</v>
      </c>
      <c r="D31" s="62">
        <f t="shared" si="5"/>
        <v>0</v>
      </c>
      <c r="F31" s="62" t="e">
        <f t="shared" si="6"/>
        <v>#REF!</v>
      </c>
      <c r="H31" s="42">
        <f t="shared" si="8"/>
        <v>15.5</v>
      </c>
      <c r="I31" s="43">
        <v>0</v>
      </c>
      <c r="J31" s="44">
        <v>0</v>
      </c>
      <c r="M31" s="18">
        <v>18</v>
      </c>
      <c r="N31" s="60"/>
      <c r="O31" s="60">
        <v>1</v>
      </c>
      <c r="P31" s="60">
        <v>1</v>
      </c>
      <c r="Q31" s="19">
        <f t="shared" ref="Q31" si="16">+SUM(N31:P31)</f>
        <v>2</v>
      </c>
      <c r="R31"/>
      <c r="S31" s="20">
        <v>18</v>
      </c>
      <c r="T31" s="21">
        <f t="shared" si="9"/>
        <v>0</v>
      </c>
      <c r="U31" s="21">
        <f t="shared" si="10"/>
        <v>0.5</v>
      </c>
      <c r="V31" s="21">
        <f t="shared" si="11"/>
        <v>0.5</v>
      </c>
      <c r="W31" s="27">
        <f t="shared" si="14"/>
        <v>1</v>
      </c>
      <c r="X31"/>
      <c r="Y31">
        <v>18.25</v>
      </c>
      <c r="Z31" s="28">
        <v>18</v>
      </c>
      <c r="AA31" s="25">
        <f t="shared" si="1"/>
        <v>0</v>
      </c>
      <c r="AB31" s="25">
        <f t="shared" si="2"/>
        <v>3537.4654033146126</v>
      </c>
      <c r="AC31" s="25">
        <f t="shared" si="3"/>
        <v>3537.4654033146126</v>
      </c>
      <c r="AD31" s="29">
        <f t="shared" si="4"/>
        <v>7074.9308066292251</v>
      </c>
    </row>
    <row r="32" spans="1:30" ht="15">
      <c r="A32" s="62">
        <f t="shared" si="7"/>
        <v>16</v>
      </c>
      <c r="B32" s="64">
        <v>0</v>
      </c>
      <c r="D32" s="62">
        <f t="shared" si="5"/>
        <v>0</v>
      </c>
      <c r="F32" s="62" t="e">
        <f t="shared" si="6"/>
        <v>#REF!</v>
      </c>
      <c r="H32" s="42">
        <f t="shared" si="8"/>
        <v>16</v>
      </c>
      <c r="I32" s="43">
        <v>0</v>
      </c>
      <c r="J32" s="44">
        <v>0</v>
      </c>
      <c r="M32" s="30" t="s">
        <v>26</v>
      </c>
      <c r="N32" s="13">
        <f>+SUM(N5:N31)</f>
        <v>94</v>
      </c>
      <c r="O32" s="13">
        <f t="shared" ref="O32:Q32" si="17">+SUM(O5:O31)</f>
        <v>12</v>
      </c>
      <c r="P32" s="13">
        <f t="shared" si="17"/>
        <v>4</v>
      </c>
      <c r="Q32" s="13">
        <f t="shared" si="17"/>
        <v>110</v>
      </c>
      <c r="R32"/>
      <c r="S32" s="30" t="s">
        <v>26</v>
      </c>
      <c r="T32" s="13"/>
      <c r="U32" s="13"/>
      <c r="V32" s="13"/>
      <c r="W32" s="31"/>
      <c r="X32" s="9"/>
      <c r="Y32"/>
      <c r="Z32" s="32" t="s">
        <v>26</v>
      </c>
      <c r="AA32" s="16">
        <f>SUM(AA5:AA31)</f>
        <v>3431931.0187823931</v>
      </c>
      <c r="AB32" s="16">
        <f>SUM(AB5:AB31)</f>
        <v>99874.439886915905</v>
      </c>
      <c r="AC32" s="16">
        <f t="shared" ref="AC32" si="18">SUM(AC5:AC31)</f>
        <v>5659.9446453033797</v>
      </c>
      <c r="AD32" s="33">
        <f>SUM(AD5:AD31)</f>
        <v>3537465.4033146128</v>
      </c>
    </row>
    <row r="33" spans="1:30" ht="15">
      <c r="A33" s="62">
        <f t="shared" si="7"/>
        <v>16.5</v>
      </c>
      <c r="B33" s="64">
        <v>0</v>
      </c>
      <c r="D33" s="62">
        <f t="shared" si="5"/>
        <v>0</v>
      </c>
      <c r="F33" s="62" t="e">
        <f t="shared" si="6"/>
        <v>#REF!</v>
      </c>
      <c r="H33" s="42">
        <f t="shared" si="8"/>
        <v>16.5</v>
      </c>
      <c r="I33" s="43">
        <v>0</v>
      </c>
      <c r="J33" s="44">
        <v>0</v>
      </c>
      <c r="M33"/>
      <c r="N33"/>
      <c r="O33"/>
      <c r="P33"/>
      <c r="Q33"/>
      <c r="R33"/>
      <c r="S33"/>
      <c r="T33"/>
      <c r="U33"/>
      <c r="V33"/>
      <c r="W33"/>
      <c r="X33"/>
      <c r="Y33"/>
      <c r="Z33" s="33" t="s">
        <v>19</v>
      </c>
      <c r="AA33" s="34">
        <f>+AA32/$AD$32*100</f>
        <v>97.016666666666652</v>
      </c>
      <c r="AB33" s="34">
        <f t="shared" ref="AB33:AD33" si="19">+AB32/$AD$32*100</f>
        <v>2.8233333333333337</v>
      </c>
      <c r="AC33" s="34">
        <f t="shared" si="19"/>
        <v>0.15999999999999998</v>
      </c>
      <c r="AD33" s="34">
        <f t="shared" si="19"/>
        <v>100</v>
      </c>
    </row>
    <row r="34" spans="1:30" ht="15">
      <c r="A34" s="62">
        <f t="shared" si="7"/>
        <v>17</v>
      </c>
      <c r="B34" s="64">
        <v>0.2</v>
      </c>
      <c r="D34" s="62">
        <f t="shared" si="5"/>
        <v>4.1097751185231324E-5</v>
      </c>
      <c r="F34" s="62" t="e">
        <f t="shared" si="6"/>
        <v>#REF!</v>
      </c>
      <c r="H34" s="42">
        <f t="shared" si="8"/>
        <v>17</v>
      </c>
      <c r="I34" s="43">
        <v>7074.9308066292251</v>
      </c>
      <c r="J34" s="44">
        <v>225.37051878225807</v>
      </c>
      <c r="M34"/>
      <c r="N34"/>
      <c r="O34"/>
      <c r="P34"/>
      <c r="Q34"/>
      <c r="R34"/>
      <c r="S34"/>
      <c r="T34"/>
      <c r="U34"/>
      <c r="V34"/>
      <c r="W34"/>
      <c r="X34"/>
      <c r="Y34"/>
      <c r="Z34" s="33" t="s">
        <v>27</v>
      </c>
      <c r="AA34" s="34">
        <f>SUMPRODUCT(Y5:Y31,$AA$5:$AA$31)/AA$32</f>
        <v>10.657919601443053</v>
      </c>
      <c r="AB34" s="34">
        <f>SUMPRODUCT(Y5:Y31,$AB$5:$AB$31)/AB$32</f>
        <v>12.624852420306963</v>
      </c>
      <c r="AC34" s="34">
        <f>SUMPRODUCT(Y5:Y31,$AC$5:$AC$31)/AC$32</f>
        <v>17.875</v>
      </c>
      <c r="AD34" s="35">
        <f>SUMPRODUCT(AD5:AD31,$Y$5:$Y$31)/AD$32</f>
        <v>10.724999999999996</v>
      </c>
    </row>
    <row r="35" spans="1:30" ht="21">
      <c r="A35" s="62">
        <f t="shared" si="7"/>
        <v>17.5</v>
      </c>
      <c r="B35" s="64">
        <v>0</v>
      </c>
      <c r="D35" s="62">
        <f t="shared" si="5"/>
        <v>0</v>
      </c>
      <c r="F35" s="62" t="e">
        <f t="shared" si="6"/>
        <v>#REF!</v>
      </c>
      <c r="H35" s="42">
        <f t="shared" si="8"/>
        <v>17.5</v>
      </c>
      <c r="I35" s="43">
        <v>0</v>
      </c>
      <c r="J35" s="44">
        <v>0</v>
      </c>
      <c r="M35" s="36"/>
      <c r="N35" s="36"/>
      <c r="O35" s="36"/>
      <c r="P35" s="36"/>
      <c r="Q35" s="36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>
      <c r="A36" s="62">
        <f t="shared" si="7"/>
        <v>18</v>
      </c>
      <c r="B36" s="64">
        <v>0.2</v>
      </c>
      <c r="D36" s="62">
        <f t="shared" si="5"/>
        <v>4.6000822530161251E-5</v>
      </c>
      <c r="F36" s="62" t="e">
        <f t="shared" si="6"/>
        <v>#REF!</v>
      </c>
      <c r="H36" s="42">
        <f t="shared" si="8"/>
        <v>18</v>
      </c>
      <c r="I36" s="43">
        <v>7074.9308066292251</v>
      </c>
      <c r="J36" s="44">
        <v>269.13179265444307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ht="15">
      <c r="A37" s="62">
        <f t="shared" si="7"/>
        <v>18.5</v>
      </c>
      <c r="B37" s="64">
        <v>0</v>
      </c>
      <c r="D37" s="62">
        <f t="shared" si="5"/>
        <v>0</v>
      </c>
      <c r="F37" s="62" t="e">
        <f t="shared" si="6"/>
        <v>#REF!</v>
      </c>
      <c r="H37" s="42">
        <f t="shared" si="8"/>
        <v>18.5</v>
      </c>
      <c r="I37" s="43">
        <v>0</v>
      </c>
      <c r="J37" s="43">
        <v>0</v>
      </c>
      <c r="M37" s="37"/>
      <c r="N37" s="37"/>
      <c r="O37" s="37"/>
      <c r="P37" s="37"/>
      <c r="Q37" s="37"/>
      <c r="R37"/>
      <c r="S37"/>
      <c r="T37"/>
      <c r="U37"/>
      <c r="V37"/>
      <c r="W37"/>
      <c r="X37"/>
      <c r="Y37"/>
      <c r="Z37" t="s">
        <v>26</v>
      </c>
      <c r="AA37">
        <f>3257930.57678101/1000</f>
        <v>3257.9305767810097</v>
      </c>
      <c r="AB37">
        <f>273421.423218991/1000</f>
        <v>273.42142321899104</v>
      </c>
      <c r="AC37">
        <v>0</v>
      </c>
      <c r="AD37">
        <f>3531352/1000</f>
        <v>3531.3519999999999</v>
      </c>
    </row>
    <row r="38" spans="1:30" ht="15">
      <c r="A38" s="62">
        <f t="shared" si="7"/>
        <v>19</v>
      </c>
      <c r="B38" s="64">
        <v>0</v>
      </c>
      <c r="D38" s="62">
        <f t="shared" si="5"/>
        <v>0</v>
      </c>
      <c r="F38" s="62" t="e">
        <f t="shared" si="6"/>
        <v>#REF!</v>
      </c>
      <c r="H38" s="42">
        <f t="shared" si="8"/>
        <v>19</v>
      </c>
      <c r="I38" s="43">
        <v>0</v>
      </c>
      <c r="J38" s="43">
        <v>0</v>
      </c>
      <c r="M38" s="37"/>
      <c r="N38" s="10"/>
      <c r="O38" s="10"/>
      <c r="P38" s="10"/>
      <c r="Q38" s="37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21">
      <c r="A39" s="62">
        <f t="shared" si="7"/>
        <v>19.5</v>
      </c>
      <c r="B39" s="64">
        <v>0</v>
      </c>
      <c r="D39" s="62">
        <f t="shared" si="5"/>
        <v>0</v>
      </c>
      <c r="F39" s="62" t="e">
        <f t="shared" si="6"/>
        <v>#REF!</v>
      </c>
      <c r="H39" s="42">
        <f t="shared" si="8"/>
        <v>19.5</v>
      </c>
      <c r="I39" s="43">
        <v>0</v>
      </c>
      <c r="J39" s="43">
        <v>0</v>
      </c>
      <c r="M39" s="38"/>
      <c r="N39"/>
      <c r="O39"/>
      <c r="P39"/>
      <c r="Q39" s="9"/>
      <c r="R39"/>
      <c r="S39"/>
      <c r="T39"/>
      <c r="U39"/>
      <c r="V39"/>
      <c r="W39"/>
      <c r="X39"/>
      <c r="Y39"/>
      <c r="Z39" s="118" t="s">
        <v>32</v>
      </c>
      <c r="AA39" s="118"/>
      <c r="AB39" s="118"/>
      <c r="AC39" s="118"/>
      <c r="AD39" s="118"/>
    </row>
    <row r="40" spans="1:30" ht="15">
      <c r="A40" s="62">
        <f t="shared" si="7"/>
        <v>20</v>
      </c>
      <c r="B40" s="64">
        <v>0</v>
      </c>
      <c r="D40" s="62">
        <f t="shared" si="5"/>
        <v>0</v>
      </c>
      <c r="F40" s="62" t="e">
        <f t="shared" si="6"/>
        <v>#REF!</v>
      </c>
      <c r="H40" s="42">
        <f t="shared" si="8"/>
        <v>20</v>
      </c>
      <c r="I40" s="43">
        <v>0</v>
      </c>
      <c r="J40" s="43">
        <v>0</v>
      </c>
      <c r="M40" s="38"/>
      <c r="N40"/>
      <c r="O40"/>
      <c r="P40"/>
      <c r="Q40" s="9"/>
      <c r="R40"/>
      <c r="S40"/>
      <c r="T40"/>
      <c r="U40"/>
      <c r="V40"/>
      <c r="W40"/>
      <c r="X40"/>
      <c r="Y40"/>
      <c r="Z40" s="119" t="s">
        <v>28</v>
      </c>
      <c r="AA40" s="119"/>
      <c r="AB40" s="119"/>
      <c r="AC40" s="119"/>
      <c r="AD40" s="119"/>
    </row>
    <row r="41" spans="1:30" ht="15">
      <c r="A41" s="62">
        <f t="shared" si="7"/>
        <v>20.5</v>
      </c>
      <c r="B41" s="64">
        <v>0</v>
      </c>
      <c r="D41" s="62">
        <f t="shared" si="5"/>
        <v>0</v>
      </c>
      <c r="F41" s="62" t="e">
        <f t="shared" si="6"/>
        <v>#REF!</v>
      </c>
      <c r="H41" s="42">
        <f t="shared" si="8"/>
        <v>20.5</v>
      </c>
      <c r="I41" s="43">
        <v>0</v>
      </c>
      <c r="J41" s="43">
        <v>0</v>
      </c>
      <c r="M41" s="38"/>
      <c r="N41"/>
      <c r="O41"/>
      <c r="P41"/>
      <c r="Q41" s="9"/>
      <c r="R41"/>
      <c r="S41"/>
      <c r="T41"/>
      <c r="U41"/>
      <c r="V41"/>
      <c r="W41"/>
      <c r="X41"/>
      <c r="Y41"/>
      <c r="Z41" s="122" t="s">
        <v>24</v>
      </c>
      <c r="AA41" s="137" t="s">
        <v>25</v>
      </c>
      <c r="AB41" s="138"/>
      <c r="AC41" s="138"/>
      <c r="AD41" s="122" t="s">
        <v>26</v>
      </c>
    </row>
    <row r="42" spans="1:30" ht="15">
      <c r="A42" s="62">
        <f t="shared" si="7"/>
        <v>21</v>
      </c>
      <c r="B42" s="64">
        <v>0</v>
      </c>
      <c r="D42" s="62">
        <f t="shared" si="5"/>
        <v>0</v>
      </c>
      <c r="F42" s="62" t="e">
        <f t="shared" si="6"/>
        <v>#REF!</v>
      </c>
      <c r="H42" s="42">
        <f t="shared" si="8"/>
        <v>21</v>
      </c>
      <c r="I42" s="43">
        <v>0</v>
      </c>
      <c r="J42" s="43">
        <v>0</v>
      </c>
      <c r="M42" s="38"/>
      <c r="N42"/>
      <c r="O42"/>
      <c r="P42"/>
      <c r="Q42" s="9"/>
      <c r="R42"/>
      <c r="S42"/>
      <c r="T42"/>
      <c r="U42"/>
      <c r="V42"/>
      <c r="W42"/>
      <c r="X42"/>
      <c r="Y42"/>
      <c r="Z42" s="123"/>
      <c r="AA42" s="15">
        <v>1</v>
      </c>
      <c r="AB42" s="16">
        <v>2</v>
      </c>
      <c r="AC42" s="17">
        <v>3</v>
      </c>
      <c r="AD42" s="123"/>
    </row>
    <row r="43" spans="1:30" ht="15">
      <c r="A43" s="62">
        <f t="shared" si="7"/>
        <v>21.5</v>
      </c>
      <c r="B43" s="64">
        <v>0</v>
      </c>
      <c r="D43" s="62">
        <f t="shared" si="5"/>
        <v>0</v>
      </c>
      <c r="F43" s="62" t="e">
        <f t="shared" si="6"/>
        <v>#REF!</v>
      </c>
      <c r="H43" s="42">
        <f t="shared" si="8"/>
        <v>21.5</v>
      </c>
      <c r="I43" s="43">
        <v>0</v>
      </c>
      <c r="J43" s="43">
        <v>0</v>
      </c>
      <c r="M43" s="38"/>
      <c r="N43"/>
      <c r="O43"/>
      <c r="P43"/>
      <c r="Q43" s="9"/>
      <c r="R43"/>
      <c r="S43"/>
      <c r="T43"/>
      <c r="U43"/>
      <c r="V43"/>
      <c r="W43"/>
      <c r="X43"/>
      <c r="Y43"/>
      <c r="Z43" s="24">
        <v>5</v>
      </c>
      <c r="AA43" s="25">
        <f t="shared" ref="AA43:AA51" si="20">T5*J10</f>
        <v>0</v>
      </c>
      <c r="AB43" s="25">
        <f>U5*J10</f>
        <v>0</v>
      </c>
      <c r="AC43" s="25">
        <f>V5*J10</f>
        <v>0</v>
      </c>
      <c r="AD43" s="26"/>
    </row>
    <row r="44" spans="1:30" ht="15">
      <c r="A44" s="62">
        <f t="shared" si="7"/>
        <v>22</v>
      </c>
      <c r="B44" s="64">
        <v>0</v>
      </c>
      <c r="D44" s="62">
        <f t="shared" si="5"/>
        <v>0</v>
      </c>
      <c r="F44" s="62" t="e">
        <f t="shared" si="6"/>
        <v>#REF!</v>
      </c>
      <c r="H44" s="42">
        <f t="shared" si="8"/>
        <v>22</v>
      </c>
      <c r="I44" s="43">
        <v>0</v>
      </c>
      <c r="J44" s="43">
        <v>0</v>
      </c>
      <c r="M44" s="38"/>
      <c r="N44"/>
      <c r="O44"/>
      <c r="P44"/>
      <c r="Q44" s="9"/>
      <c r="R44"/>
      <c r="S44"/>
      <c r="T44"/>
      <c r="U44"/>
      <c r="V44"/>
      <c r="W44"/>
      <c r="X44"/>
      <c r="Y44"/>
      <c r="Z44" s="28">
        <v>5.5</v>
      </c>
      <c r="AA44" s="25">
        <f t="shared" si="20"/>
        <v>0</v>
      </c>
      <c r="AB44" s="25">
        <f t="shared" ref="AB44:AB69" si="21">U6*J11</f>
        <v>0</v>
      </c>
      <c r="AC44" s="25">
        <f t="shared" ref="AC44:AC69" si="22">V6*J11</f>
        <v>0</v>
      </c>
      <c r="AD44" s="29">
        <f>SUM(AA44:AC44)</f>
        <v>0</v>
      </c>
    </row>
    <row r="45" spans="1:30" ht="15">
      <c r="H45" s="42"/>
      <c r="I45" s="43"/>
      <c r="J45" s="44"/>
      <c r="M45" s="38"/>
      <c r="N45"/>
      <c r="O45"/>
      <c r="P45"/>
      <c r="Q45" s="9"/>
      <c r="R45"/>
      <c r="S45"/>
      <c r="T45"/>
      <c r="U45"/>
      <c r="V45"/>
      <c r="W45"/>
      <c r="X45"/>
      <c r="Y45"/>
      <c r="Z45" s="28">
        <v>6</v>
      </c>
      <c r="AA45" s="25">
        <f t="shared" si="20"/>
        <v>0</v>
      </c>
      <c r="AB45" s="25">
        <f t="shared" si="21"/>
        <v>0</v>
      </c>
      <c r="AC45" s="25">
        <f t="shared" si="22"/>
        <v>0</v>
      </c>
      <c r="AD45" s="29">
        <f t="shared" ref="AD45:AD51" si="23">SUM(AA45:AC45)</f>
        <v>0</v>
      </c>
    </row>
    <row r="46" spans="1:30" ht="15">
      <c r="A46" s="62" t="s">
        <v>3</v>
      </c>
      <c r="B46" s="62">
        <f>SUM(B10:B40)</f>
        <v>99.999999999999986</v>
      </c>
      <c r="D46" s="62">
        <f>SUM(D10:D40)</f>
        <v>8.0512229637608162E-3</v>
      </c>
      <c r="F46" s="62" t="e">
        <f>SUM(F10:F40)</f>
        <v>#REF!</v>
      </c>
      <c r="H46" s="42" t="s">
        <v>3</v>
      </c>
      <c r="I46" s="45">
        <f>SUM(I10:I44)</f>
        <v>3537465.4033146128</v>
      </c>
      <c r="J46" s="44">
        <f>SUM(J10:J44)</f>
        <v>26411.219943450047</v>
      </c>
      <c r="K46" s="2"/>
      <c r="M46" s="38"/>
      <c r="N46"/>
      <c r="O46"/>
      <c r="P46"/>
      <c r="Q46" s="9"/>
      <c r="R46"/>
      <c r="S46"/>
      <c r="T46"/>
      <c r="U46"/>
      <c r="V46"/>
      <c r="W46"/>
      <c r="X46"/>
      <c r="Y46"/>
      <c r="Z46" s="28">
        <v>6.5</v>
      </c>
      <c r="AA46" s="25">
        <f t="shared" si="20"/>
        <v>0</v>
      </c>
      <c r="AB46" s="25">
        <f t="shared" si="21"/>
        <v>0</v>
      </c>
      <c r="AC46" s="25">
        <f t="shared" si="22"/>
        <v>0</v>
      </c>
      <c r="AD46" s="29">
        <f t="shared" si="23"/>
        <v>0</v>
      </c>
    </row>
    <row r="47" spans="1:30" ht="15">
      <c r="H47" s="42"/>
      <c r="I47" s="42"/>
      <c r="J47" s="42"/>
      <c r="M47" s="38"/>
      <c r="N47"/>
      <c r="O47"/>
      <c r="P47"/>
      <c r="Q47" s="9"/>
      <c r="R47"/>
      <c r="S47"/>
      <c r="T47"/>
      <c r="U47"/>
      <c r="V47"/>
      <c r="W47"/>
      <c r="X47"/>
      <c r="Y47"/>
      <c r="Z47" s="28">
        <v>7</v>
      </c>
      <c r="AA47" s="25">
        <f t="shared" si="20"/>
        <v>0</v>
      </c>
      <c r="AB47" s="25">
        <f t="shared" si="21"/>
        <v>0</v>
      </c>
      <c r="AC47" s="25">
        <f t="shared" si="22"/>
        <v>0</v>
      </c>
      <c r="AD47" s="29">
        <f t="shared" si="23"/>
        <v>0</v>
      </c>
    </row>
    <row r="48" spans="1:30" ht="15">
      <c r="G48" s="1" t="s">
        <v>17</v>
      </c>
      <c r="H48" s="42"/>
      <c r="I48" s="44">
        <f>0.25+SUMPRODUCT(A10:A44,I10:I44)/I46</f>
        <v>10.725</v>
      </c>
      <c r="J48" s="42"/>
      <c r="M48" s="38"/>
      <c r="N48"/>
      <c r="O48"/>
      <c r="P48"/>
      <c r="Q48" s="9"/>
      <c r="R48"/>
      <c r="S48"/>
      <c r="T48"/>
      <c r="U48"/>
      <c r="V48"/>
      <c r="W48"/>
      <c r="X48"/>
      <c r="Y48"/>
      <c r="Z48" s="28">
        <v>7.5</v>
      </c>
      <c r="AA48" s="25">
        <f t="shared" si="20"/>
        <v>0</v>
      </c>
      <c r="AB48" s="25">
        <f t="shared" si="21"/>
        <v>0</v>
      </c>
      <c r="AC48" s="25">
        <f t="shared" si="22"/>
        <v>0</v>
      </c>
      <c r="AD48" s="29">
        <f t="shared" si="23"/>
        <v>0</v>
      </c>
    </row>
    <row r="49" spans="7:30" ht="15">
      <c r="G49" s="1" t="s">
        <v>18</v>
      </c>
      <c r="H49" s="42"/>
      <c r="I49" s="44">
        <f>((SUMPRODUCT(A10:A44,A10:A44,I10:I44)-I46*(I48-0.25)^2)/(I46-1))^0.5</f>
        <v>1.2497501516398621</v>
      </c>
      <c r="J49" s="42"/>
      <c r="M49" s="38"/>
      <c r="N49"/>
      <c r="O49"/>
      <c r="P49"/>
      <c r="Q49" s="9"/>
      <c r="R49"/>
      <c r="S49"/>
      <c r="T49"/>
      <c r="U49"/>
      <c r="V49"/>
      <c r="W49"/>
      <c r="X49"/>
      <c r="Y49"/>
      <c r="Z49" s="28">
        <v>8</v>
      </c>
      <c r="AA49" s="25">
        <f t="shared" si="20"/>
        <v>552.20676526165198</v>
      </c>
      <c r="AB49" s="25">
        <f t="shared" si="21"/>
        <v>0</v>
      </c>
      <c r="AC49" s="25">
        <f t="shared" si="22"/>
        <v>0</v>
      </c>
      <c r="AD49" s="29">
        <f t="shared" si="23"/>
        <v>552.20676526165198</v>
      </c>
    </row>
    <row r="50" spans="7:30" ht="15">
      <c r="H50" s="42"/>
      <c r="I50" s="42"/>
      <c r="J50" s="42"/>
      <c r="M50" s="38"/>
      <c r="N50"/>
      <c r="O50"/>
      <c r="P50"/>
      <c r="Q50" s="9"/>
      <c r="R50"/>
      <c r="S50"/>
      <c r="T50"/>
      <c r="U50"/>
      <c r="V50"/>
      <c r="W50"/>
      <c r="X50"/>
      <c r="Y50"/>
      <c r="Z50" s="28">
        <v>8.5</v>
      </c>
      <c r="AA50" s="25">
        <f t="shared" si="20"/>
        <v>558.27847571783343</v>
      </c>
      <c r="AB50" s="25">
        <f t="shared" si="21"/>
        <v>0</v>
      </c>
      <c r="AC50" s="25">
        <f t="shared" si="22"/>
        <v>0</v>
      </c>
      <c r="AD50" s="29">
        <f t="shared" si="23"/>
        <v>558.27847571783343</v>
      </c>
    </row>
    <row r="51" spans="7:30" ht="15">
      <c r="M51" s="38"/>
      <c r="N51"/>
      <c r="O51"/>
      <c r="P51"/>
      <c r="Q51" s="9"/>
      <c r="R51"/>
      <c r="S51"/>
      <c r="T51"/>
      <c r="U51"/>
      <c r="V51"/>
      <c r="W51"/>
      <c r="X51"/>
      <c r="Y51"/>
      <c r="Z51" s="28">
        <v>9</v>
      </c>
      <c r="AA51" s="25">
        <f t="shared" si="20"/>
        <v>1678.4345716892403</v>
      </c>
      <c r="AB51" s="25">
        <f t="shared" si="21"/>
        <v>0</v>
      </c>
      <c r="AC51" s="25">
        <f t="shared" si="22"/>
        <v>0</v>
      </c>
      <c r="AD51" s="29">
        <f t="shared" si="23"/>
        <v>1678.4345716892403</v>
      </c>
    </row>
    <row r="52" spans="7:30" ht="15">
      <c r="M52" s="38"/>
      <c r="N52"/>
      <c r="O52"/>
      <c r="P52"/>
      <c r="Q52" s="9"/>
      <c r="R52"/>
      <c r="S52"/>
      <c r="T52"/>
      <c r="U52"/>
      <c r="V52"/>
      <c r="W52"/>
      <c r="X52"/>
      <c r="Y52"/>
      <c r="Z52" s="28">
        <v>9.5</v>
      </c>
      <c r="AA52" s="25">
        <f>T14*J19</f>
        <v>1569.9038538958243</v>
      </c>
      <c r="AB52" s="25">
        <f t="shared" si="21"/>
        <v>0</v>
      </c>
      <c r="AC52" s="25">
        <f t="shared" si="22"/>
        <v>0</v>
      </c>
      <c r="AD52" s="29">
        <f>SUM(AA52:AC52)</f>
        <v>1569.9038538958243</v>
      </c>
    </row>
    <row r="53" spans="7:30" ht="15">
      <c r="M53" s="38"/>
      <c r="N53"/>
      <c r="O53"/>
      <c r="P53"/>
      <c r="Q53" s="9"/>
      <c r="R53"/>
      <c r="S53"/>
      <c r="T53"/>
      <c r="U53"/>
      <c r="V53"/>
      <c r="W53"/>
      <c r="X53"/>
      <c r="Y53"/>
      <c r="Z53" s="28">
        <v>10</v>
      </c>
      <c r="AA53" s="25">
        <f t="shared" ref="AA53:AA69" si="24">T15*J20</f>
        <v>2275.207580954188</v>
      </c>
      <c r="AB53" s="25">
        <f t="shared" si="21"/>
        <v>0</v>
      </c>
      <c r="AC53" s="25">
        <f t="shared" si="22"/>
        <v>0</v>
      </c>
      <c r="AD53" s="29">
        <f t="shared" ref="AD53:AD63" si="25">SUM(AA53:AC53)</f>
        <v>2275.207580954188</v>
      </c>
    </row>
    <row r="54" spans="7:30" ht="15">
      <c r="M54" s="38"/>
      <c r="N54"/>
      <c r="O54"/>
      <c r="P54"/>
      <c r="Q54" s="9"/>
      <c r="R54"/>
      <c r="S54"/>
      <c r="T54"/>
      <c r="U54"/>
      <c r="V54"/>
      <c r="W54"/>
      <c r="X54"/>
      <c r="Y54"/>
      <c r="Z54" s="28">
        <v>10.5</v>
      </c>
      <c r="AA54" s="25">
        <f t="shared" si="24"/>
        <v>3253.3700048022652</v>
      </c>
      <c r="AB54" s="25">
        <f t="shared" si="21"/>
        <v>0</v>
      </c>
      <c r="AC54" s="25">
        <f t="shared" si="22"/>
        <v>0</v>
      </c>
      <c r="AD54" s="29">
        <f t="shared" si="25"/>
        <v>3253.3700048022652</v>
      </c>
    </row>
    <row r="55" spans="7:30" ht="15">
      <c r="M55" s="38"/>
      <c r="N55"/>
      <c r="O55"/>
      <c r="P55"/>
      <c r="Q55" s="9"/>
      <c r="R55"/>
      <c r="S55"/>
      <c r="T55"/>
      <c r="U55"/>
      <c r="V55"/>
      <c r="W55"/>
      <c r="X55"/>
      <c r="Y55"/>
      <c r="Z55" s="28">
        <v>11</v>
      </c>
      <c r="AA55" s="25">
        <f t="shared" si="24"/>
        <v>5983.1197518150657</v>
      </c>
      <c r="AB55" s="25">
        <f t="shared" si="21"/>
        <v>0</v>
      </c>
      <c r="AC55" s="25">
        <f t="shared" si="22"/>
        <v>0</v>
      </c>
      <c r="AD55" s="29">
        <f t="shared" si="25"/>
        <v>5983.1197518150657</v>
      </c>
    </row>
    <row r="56" spans="7:30" ht="15">
      <c r="M56" s="38"/>
      <c r="N56"/>
      <c r="O56"/>
      <c r="P56"/>
      <c r="Q56" s="9"/>
      <c r="R56"/>
      <c r="S56"/>
      <c r="T56"/>
      <c r="U56"/>
      <c r="V56"/>
      <c r="W56"/>
      <c r="X56"/>
      <c r="Y56"/>
      <c r="Z56" s="28">
        <v>11.5</v>
      </c>
      <c r="AA56" s="25">
        <f t="shared" si="24"/>
        <v>5487.8081213970036</v>
      </c>
      <c r="AB56" s="25">
        <f t="shared" si="21"/>
        <v>498.89164739972762</v>
      </c>
      <c r="AC56" s="25">
        <f t="shared" si="22"/>
        <v>0</v>
      </c>
      <c r="AD56" s="29">
        <f t="shared" si="25"/>
        <v>5986.6997687967314</v>
      </c>
    </row>
    <row r="57" spans="7:30" ht="15">
      <c r="M57" s="38"/>
      <c r="N57"/>
      <c r="O57"/>
      <c r="P57"/>
      <c r="Q57" s="9"/>
      <c r="R57"/>
      <c r="S57"/>
      <c r="T57"/>
      <c r="U57"/>
      <c r="V57"/>
      <c r="W57"/>
      <c r="X57"/>
      <c r="Y57"/>
      <c r="Z57" s="28">
        <v>12</v>
      </c>
      <c r="AA57" s="25">
        <f t="shared" si="24"/>
        <v>2416.013337545382</v>
      </c>
      <c r="AB57" s="25">
        <f t="shared" si="21"/>
        <v>268.4459263939313</v>
      </c>
      <c r="AC57" s="25">
        <f t="shared" si="22"/>
        <v>0</v>
      </c>
      <c r="AD57" s="29">
        <f t="shared" si="25"/>
        <v>2684.4592639393131</v>
      </c>
    </row>
    <row r="58" spans="7:30" ht="15">
      <c r="M58" s="38"/>
      <c r="N58"/>
      <c r="O58"/>
      <c r="P58"/>
      <c r="Q58" s="9"/>
      <c r="R58"/>
      <c r="S58"/>
      <c r="T58"/>
      <c r="U58"/>
      <c r="V58"/>
      <c r="W58"/>
      <c r="X58"/>
      <c r="Y58"/>
      <c r="Z58" s="28">
        <v>12.5</v>
      </c>
      <c r="AA58" s="25">
        <f t="shared" si="24"/>
        <v>869.96103684286845</v>
      </c>
      <c r="AB58" s="25">
        <f t="shared" si="21"/>
        <v>86.996103684286851</v>
      </c>
      <c r="AC58" s="25">
        <f t="shared" si="22"/>
        <v>0</v>
      </c>
      <c r="AD58" s="29">
        <f t="shared" si="25"/>
        <v>956.95714052715527</v>
      </c>
    </row>
    <row r="59" spans="7:30" ht="15">
      <c r="M59" s="38"/>
      <c r="N59"/>
      <c r="O59"/>
      <c r="P59"/>
      <c r="Q59" s="9"/>
      <c r="R59"/>
      <c r="S59"/>
      <c r="T59"/>
      <c r="U59"/>
      <c r="V59"/>
      <c r="W59"/>
      <c r="X59"/>
      <c r="Y59"/>
      <c r="Z59" s="28">
        <v>13</v>
      </c>
      <c r="AA59" s="25">
        <f t="shared" si="24"/>
        <v>294.59629848617914</v>
      </c>
      <c r="AB59" s="25">
        <f t="shared" si="21"/>
        <v>0</v>
      </c>
      <c r="AC59" s="25">
        <f t="shared" si="22"/>
        <v>0</v>
      </c>
      <c r="AD59" s="29">
        <f>SUM(AA59:AC59)</f>
        <v>294.59629848617914</v>
      </c>
    </row>
    <row r="60" spans="7:30" ht="15">
      <c r="M60" s="38"/>
      <c r="N60"/>
      <c r="O60"/>
      <c r="P60"/>
      <c r="Q60" s="9"/>
      <c r="R60"/>
      <c r="S60"/>
      <c r="T60"/>
      <c r="U60"/>
      <c r="V60"/>
      <c r="W60"/>
      <c r="X60"/>
      <c r="Y60"/>
      <c r="Z60" s="28">
        <v>13.5</v>
      </c>
      <c r="AA60" s="25">
        <f t="shared" si="24"/>
        <v>0</v>
      </c>
      <c r="AB60" s="25">
        <f t="shared" si="21"/>
        <v>0</v>
      </c>
      <c r="AC60" s="25">
        <f t="shared" si="22"/>
        <v>0</v>
      </c>
      <c r="AD60" s="29">
        <f t="shared" si="25"/>
        <v>0</v>
      </c>
    </row>
    <row r="61" spans="7:30" ht="15">
      <c r="M61" s="38"/>
      <c r="N61"/>
      <c r="O61"/>
      <c r="P61"/>
      <c r="Q61" s="9"/>
      <c r="R61"/>
      <c r="S61"/>
      <c r="T61"/>
      <c r="U61"/>
      <c r="V61"/>
      <c r="W61"/>
      <c r="X61"/>
      <c r="Y61"/>
      <c r="Z61" s="28">
        <v>14</v>
      </c>
      <c r="AA61" s="25">
        <f t="shared" si="24"/>
        <v>0</v>
      </c>
      <c r="AB61" s="25">
        <f t="shared" si="21"/>
        <v>123.48415612789394</v>
      </c>
      <c r="AC61" s="25">
        <f t="shared" si="22"/>
        <v>0</v>
      </c>
      <c r="AD61" s="29">
        <f t="shared" si="25"/>
        <v>123.48415612789394</v>
      </c>
    </row>
    <row r="62" spans="7:30" ht="15">
      <c r="M62" s="38"/>
      <c r="N62"/>
      <c r="O62"/>
      <c r="P62"/>
      <c r="Q62" s="9"/>
      <c r="R62"/>
      <c r="S62"/>
      <c r="T62"/>
      <c r="U62"/>
      <c r="V62"/>
      <c r="W62"/>
      <c r="X62"/>
      <c r="Y62"/>
      <c r="Z62" s="28">
        <v>14.5</v>
      </c>
      <c r="AA62" s="25">
        <f t="shared" si="24"/>
        <v>0</v>
      </c>
      <c r="AB62" s="25">
        <f t="shared" si="21"/>
        <v>0</v>
      </c>
      <c r="AC62" s="25">
        <f t="shared" si="22"/>
        <v>0</v>
      </c>
      <c r="AD62" s="29">
        <f t="shared" si="25"/>
        <v>0</v>
      </c>
    </row>
    <row r="63" spans="7:30" ht="15">
      <c r="M63" s="38"/>
      <c r="N63"/>
      <c r="O63"/>
      <c r="P63"/>
      <c r="Q63" s="9"/>
      <c r="R63"/>
      <c r="S63"/>
      <c r="T63"/>
      <c r="U63"/>
      <c r="V63"/>
      <c r="W63"/>
      <c r="X63"/>
      <c r="Y63"/>
      <c r="Z63" s="28">
        <v>15</v>
      </c>
      <c r="AA63" s="25">
        <f t="shared" si="24"/>
        <v>0</v>
      </c>
      <c r="AB63" s="25">
        <f t="shared" si="21"/>
        <v>0</v>
      </c>
      <c r="AC63" s="25">
        <f t="shared" si="22"/>
        <v>0</v>
      </c>
      <c r="AD63" s="29">
        <f t="shared" si="25"/>
        <v>0</v>
      </c>
    </row>
    <row r="64" spans="7:30" ht="15">
      <c r="M64" s="38"/>
      <c r="N64"/>
      <c r="O64"/>
      <c r="P64"/>
      <c r="Q64" s="9"/>
      <c r="R64"/>
      <c r="S64"/>
      <c r="T64"/>
      <c r="U64"/>
      <c r="V64"/>
      <c r="W64"/>
      <c r="X64"/>
      <c r="Y64"/>
      <c r="Z64" s="28">
        <v>15.5</v>
      </c>
      <c r="AA64" s="25">
        <f t="shared" si="24"/>
        <v>0</v>
      </c>
      <c r="AB64" s="25">
        <f t="shared" si="21"/>
        <v>0</v>
      </c>
      <c r="AC64" s="25">
        <f t="shared" si="22"/>
        <v>0</v>
      </c>
      <c r="AD64" s="29">
        <f>SUM(AA64:AC64)</f>
        <v>0</v>
      </c>
    </row>
    <row r="65" spans="13:30" ht="15">
      <c r="M65" s="38"/>
      <c r="N65"/>
      <c r="O65"/>
      <c r="P65"/>
      <c r="Q65" s="9"/>
      <c r="R65"/>
      <c r="S65"/>
      <c r="T65"/>
      <c r="U65"/>
      <c r="V65"/>
      <c r="W65"/>
      <c r="X65"/>
      <c r="Y65"/>
      <c r="Z65" s="28">
        <v>16</v>
      </c>
      <c r="AA65" s="25">
        <f t="shared" si="24"/>
        <v>0</v>
      </c>
      <c r="AB65" s="25">
        <f t="shared" si="21"/>
        <v>0</v>
      </c>
      <c r="AC65" s="25">
        <f t="shared" si="22"/>
        <v>0</v>
      </c>
      <c r="AD65" s="29">
        <f t="shared" ref="AD65:AD69" si="26">SUM(AA65:AC65)</f>
        <v>0</v>
      </c>
    </row>
    <row r="66" spans="13:30" ht="15">
      <c r="M66" s="10"/>
      <c r="N66" s="9"/>
      <c r="O66" s="9"/>
      <c r="P66" s="9"/>
      <c r="Q66" s="9"/>
      <c r="R66"/>
      <c r="S66"/>
      <c r="T66"/>
      <c r="U66"/>
      <c r="V66"/>
      <c r="W66"/>
      <c r="X66"/>
      <c r="Y66"/>
      <c r="Z66" s="28">
        <v>16.5</v>
      </c>
      <c r="AA66" s="25">
        <f t="shared" si="24"/>
        <v>0</v>
      </c>
      <c r="AB66" s="25">
        <f t="shared" si="21"/>
        <v>0</v>
      </c>
      <c r="AC66" s="25">
        <f t="shared" si="22"/>
        <v>0</v>
      </c>
      <c r="AD66" s="29">
        <f t="shared" si="26"/>
        <v>0</v>
      </c>
    </row>
    <row r="67" spans="13:30" ht="15">
      <c r="M67"/>
      <c r="N67"/>
      <c r="O67"/>
      <c r="P67"/>
      <c r="Q67"/>
      <c r="R67"/>
      <c r="S67"/>
      <c r="T67"/>
      <c r="U67"/>
      <c r="V67"/>
      <c r="W67"/>
      <c r="X67"/>
      <c r="Y67"/>
      <c r="Z67" s="28">
        <v>17</v>
      </c>
      <c r="AA67" s="25">
        <f t="shared" si="24"/>
        <v>0</v>
      </c>
      <c r="AB67" s="25">
        <f t="shared" si="21"/>
        <v>157.75936314758064</v>
      </c>
      <c r="AC67" s="25">
        <f t="shared" si="22"/>
        <v>67.611155634677417</v>
      </c>
      <c r="AD67" s="29">
        <f t="shared" si="26"/>
        <v>225.37051878225805</v>
      </c>
    </row>
    <row r="68" spans="13:30" ht="15">
      <c r="M68"/>
      <c r="N68"/>
      <c r="O68"/>
      <c r="P68"/>
      <c r="Q68"/>
      <c r="R68"/>
      <c r="S68"/>
      <c r="T68"/>
      <c r="U68"/>
      <c r="V68"/>
      <c r="W68"/>
      <c r="X68"/>
      <c r="Y68"/>
      <c r="Z68" s="28">
        <v>17.5</v>
      </c>
      <c r="AA68" s="25">
        <f t="shared" si="24"/>
        <v>0</v>
      </c>
      <c r="AB68" s="25">
        <f t="shared" si="21"/>
        <v>0</v>
      </c>
      <c r="AC68" s="25">
        <f t="shared" si="22"/>
        <v>0</v>
      </c>
      <c r="AD68" s="29">
        <f t="shared" si="26"/>
        <v>0</v>
      </c>
    </row>
    <row r="69" spans="13:30" ht="15">
      <c r="M69"/>
      <c r="N69"/>
      <c r="O69"/>
      <c r="P69"/>
      <c r="Q69"/>
      <c r="R69"/>
      <c r="S69"/>
      <c r="T69"/>
      <c r="U69"/>
      <c r="V69"/>
      <c r="W69"/>
      <c r="X69"/>
      <c r="Y69"/>
      <c r="Z69" s="28">
        <v>18</v>
      </c>
      <c r="AA69" s="25">
        <f t="shared" si="24"/>
        <v>0</v>
      </c>
      <c r="AB69" s="25">
        <f t="shared" si="21"/>
        <v>134.56589632722154</v>
      </c>
      <c r="AC69" s="25">
        <f t="shared" si="22"/>
        <v>134.56589632722154</v>
      </c>
      <c r="AD69" s="29">
        <f t="shared" si="26"/>
        <v>269.13179265444307</v>
      </c>
    </row>
    <row r="70" spans="13:30" ht="15">
      <c r="M70"/>
      <c r="N70"/>
      <c r="O70"/>
      <c r="P70"/>
      <c r="Q70"/>
      <c r="R70"/>
      <c r="S70"/>
      <c r="T70"/>
      <c r="U70"/>
      <c r="V70"/>
      <c r="W70"/>
      <c r="X70"/>
      <c r="Y70"/>
      <c r="Z70" s="32" t="s">
        <v>26</v>
      </c>
      <c r="AA70" s="16">
        <f>SUM(AA43:AA69)</f>
        <v>24938.899798407503</v>
      </c>
      <c r="AB70" s="16">
        <f>SUM(AB43:AB69)</f>
        <v>1270.1430930806418</v>
      </c>
      <c r="AC70" s="16">
        <f t="shared" ref="AC70" si="27">SUM(AC43:AC69)</f>
        <v>202.17705196189894</v>
      </c>
      <c r="AD70" s="33">
        <f>SUM(AD43:AD69)</f>
        <v>26411.219943450047</v>
      </c>
    </row>
    <row r="71" spans="13:30" ht="15">
      <c r="M71"/>
      <c r="N71"/>
      <c r="O71"/>
      <c r="P71"/>
      <c r="Q71"/>
      <c r="R71"/>
      <c r="S71"/>
      <c r="T71"/>
      <c r="U71"/>
      <c r="V71"/>
      <c r="W71"/>
      <c r="X71"/>
      <c r="Y71"/>
      <c r="Z71" s="33" t="s">
        <v>19</v>
      </c>
      <c r="AA71" s="34">
        <f>+AA70/$AD$70*100</f>
        <v>94.425398947133161</v>
      </c>
      <c r="AB71" s="34">
        <f t="shared" ref="AB71:AD71" si="28">+AB70/$AD$70*100</f>
        <v>4.8091042208583623</v>
      </c>
      <c r="AC71" s="34">
        <f t="shared" si="28"/>
        <v>0.76549683200846852</v>
      </c>
      <c r="AD71" s="34">
        <f t="shared" si="28"/>
        <v>100</v>
      </c>
    </row>
    <row r="72" spans="13:30" ht="15">
      <c r="M72"/>
      <c r="N72"/>
      <c r="O72"/>
      <c r="P72"/>
      <c r="Q72"/>
      <c r="R72"/>
      <c r="S72"/>
      <c r="T72"/>
      <c r="U72"/>
      <c r="V72"/>
      <c r="W72"/>
      <c r="X72"/>
      <c r="Y72"/>
      <c r="Z72" s="39" t="s">
        <v>33</v>
      </c>
      <c r="AA72" s="40">
        <f>AA70/AA32*1000</f>
        <v>7.2667252523203452</v>
      </c>
      <c r="AB72" s="40">
        <f t="shared" ref="AB72:AD72" si="29">AB70/AB32*1000</f>
        <v>12.717398911260752</v>
      </c>
      <c r="AC72" s="40">
        <f t="shared" si="29"/>
        <v>35.72067654931314</v>
      </c>
      <c r="AD72" s="40">
        <f t="shared" si="29"/>
        <v>7.4661422606996179</v>
      </c>
    </row>
  </sheetData>
  <mergeCells count="18">
    <mergeCell ref="Z39:AD39"/>
    <mergeCell ref="Z40:AD40"/>
    <mergeCell ref="Z41:Z42"/>
    <mergeCell ref="AA41:AC41"/>
    <mergeCell ref="AD41:AD42"/>
    <mergeCell ref="M1:Q1"/>
    <mergeCell ref="S1:W1"/>
    <mergeCell ref="Z1:AD1"/>
    <mergeCell ref="Z2:AD2"/>
    <mergeCell ref="M3:M4"/>
    <mergeCell ref="N3:P3"/>
    <mergeCell ref="Q3:Q4"/>
    <mergeCell ref="S3:S4"/>
    <mergeCell ref="T3:V3"/>
    <mergeCell ref="W3:W4"/>
    <mergeCell ref="Z3:Z4"/>
    <mergeCell ref="AA3:AC3"/>
    <mergeCell ref="AD3:AD4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5770-E6C7-5C4B-8CC2-011962CDBCB7}">
  <dimension ref="A1:AI46"/>
  <sheetViews>
    <sheetView tabSelected="1" topLeftCell="T1" workbookViewId="0">
      <selection activeCell="AE41" sqref="AE41"/>
    </sheetView>
  </sheetViews>
  <sheetFormatPr baseColWidth="10" defaultRowHeight="13"/>
  <sheetData>
    <row r="1" spans="1:35" ht="16" thickBot="1">
      <c r="A1" s="67" t="s">
        <v>34</v>
      </c>
      <c r="B1" s="67" t="s">
        <v>35</v>
      </c>
      <c r="C1" s="67" t="s">
        <v>36</v>
      </c>
      <c r="Y1" s="139" t="s">
        <v>37</v>
      </c>
      <c r="Z1" s="141" t="s">
        <v>38</v>
      </c>
      <c r="AA1" s="142"/>
      <c r="AB1" s="142"/>
      <c r="AC1" s="143" t="s">
        <v>26</v>
      </c>
      <c r="AE1" s="68" t="s">
        <v>39</v>
      </c>
      <c r="AF1">
        <v>2.3914000000000001E-3</v>
      </c>
      <c r="AG1" s="68" t="s">
        <v>40</v>
      </c>
      <c r="AH1">
        <v>3.4183086999999999</v>
      </c>
      <c r="AI1" s="69" t="s">
        <v>41</v>
      </c>
    </row>
    <row r="2" spans="1:35" ht="16" thickBot="1">
      <c r="A2" s="49">
        <v>5</v>
      </c>
      <c r="B2" s="147">
        <f>('9a-Algarve'!I9+'9a-Cadiz'!I10)</f>
        <v>0</v>
      </c>
      <c r="C2" s="116">
        <f>('9a-Algarve'!J9+'9a-Cadiz'!J10)</f>
        <v>0</v>
      </c>
      <c r="F2" s="70" t="s">
        <v>37</v>
      </c>
      <c r="G2" s="70">
        <v>1</v>
      </c>
      <c r="H2" s="70">
        <v>2</v>
      </c>
      <c r="I2" s="70">
        <v>3</v>
      </c>
      <c r="J2" s="67" t="s">
        <v>26</v>
      </c>
      <c r="L2" s="70" t="s">
        <v>37</v>
      </c>
      <c r="M2" s="70">
        <v>1</v>
      </c>
      <c r="N2" s="70">
        <v>2</v>
      </c>
      <c r="O2" s="70">
        <v>3</v>
      </c>
      <c r="P2" s="67" t="s">
        <v>26</v>
      </c>
      <c r="R2" s="70" t="s">
        <v>37</v>
      </c>
      <c r="S2" s="70">
        <v>1</v>
      </c>
      <c r="T2" s="70">
        <v>2</v>
      </c>
      <c r="U2" s="70">
        <v>3</v>
      </c>
      <c r="V2" s="67" t="s">
        <v>26</v>
      </c>
      <c r="X2" s="71" t="s">
        <v>42</v>
      </c>
      <c r="Y2" s="140"/>
      <c r="Z2" s="72">
        <v>1</v>
      </c>
      <c r="AA2" s="72">
        <v>2</v>
      </c>
      <c r="AB2" s="73">
        <v>3</v>
      </c>
      <c r="AC2" s="144"/>
      <c r="AE2" s="74" t="s">
        <v>39</v>
      </c>
      <c r="AF2" s="25">
        <v>2.4002816303542174E-3</v>
      </c>
      <c r="AG2" s="74" t="s">
        <v>40</v>
      </c>
      <c r="AH2" s="25">
        <v>3.4061849999999998</v>
      </c>
      <c r="AI2" s="75" t="s">
        <v>43</v>
      </c>
    </row>
    <row r="3" spans="1:35" ht="15">
      <c r="A3" s="49">
        <v>5.5</v>
      </c>
      <c r="B3" s="147">
        <f>('9a-Algarve'!I10+'9a-Cadiz'!I11)</f>
        <v>0</v>
      </c>
      <c r="C3" s="116">
        <f>('9a-Algarve'!J10+'9a-Cadiz'!J11)</f>
        <v>0</v>
      </c>
      <c r="F3" s="76">
        <v>5.5</v>
      </c>
      <c r="G3" s="77">
        <f>+'9a-Algarve'!N5+'9a-Cadiz'!N5</f>
        <v>0</v>
      </c>
      <c r="H3" s="77">
        <f>+'9a-Algarve'!O5+'9a-Cadiz'!O5</f>
        <v>0</v>
      </c>
      <c r="I3" s="77">
        <f>+'9a-Algarve'!P5+'9a-Cadiz'!P5</f>
        <v>0</v>
      </c>
      <c r="J3" s="49">
        <f>+SUM(G3:I3)</f>
        <v>0</v>
      </c>
      <c r="L3" s="76">
        <v>5.5</v>
      </c>
      <c r="M3" s="77">
        <f>+IF($J3&gt;0,G3/$J3,0)</f>
        <v>0</v>
      </c>
      <c r="N3" s="77">
        <f t="shared" ref="N3:P18" si="0">+IF($J3&gt;0,H3/$J3,0)</f>
        <v>0</v>
      </c>
      <c r="O3" s="77">
        <f t="shared" si="0"/>
        <v>0</v>
      </c>
      <c r="P3" s="77">
        <f t="shared" si="0"/>
        <v>0</v>
      </c>
      <c r="Q3" s="78">
        <v>5.75</v>
      </c>
      <c r="R3" s="79">
        <v>5.5</v>
      </c>
      <c r="S3" s="77">
        <f>+$B3*M3</f>
        <v>0</v>
      </c>
      <c r="T3" s="77">
        <f t="shared" ref="T3:V18" si="1">+$B3*N3</f>
        <v>0</v>
      </c>
      <c r="U3" s="77">
        <f t="shared" si="1"/>
        <v>0</v>
      </c>
      <c r="V3" s="77">
        <f t="shared" si="1"/>
        <v>0</v>
      </c>
      <c r="X3" s="80">
        <f>$AF$2*((Y3)^$AH$2)</f>
        <v>0.79813156877508729</v>
      </c>
      <c r="Y3" s="81">
        <v>5.5</v>
      </c>
      <c r="Z3" s="82">
        <f>+S3*$X3</f>
        <v>0</v>
      </c>
      <c r="AA3" s="83">
        <f t="shared" ref="AA3:AC18" si="2">+T3*$X3</f>
        <v>0</v>
      </c>
      <c r="AB3" s="83">
        <f t="shared" si="2"/>
        <v>0</v>
      </c>
      <c r="AC3" s="84">
        <f t="shared" si="2"/>
        <v>0</v>
      </c>
    </row>
    <row r="4" spans="1:35" ht="15">
      <c r="A4" s="49">
        <v>6</v>
      </c>
      <c r="B4" s="147">
        <f>('9a-Algarve'!I11+'9a-Cadiz'!I12)</f>
        <v>0</v>
      </c>
      <c r="C4" s="116">
        <f>('9a-Algarve'!J11+'9a-Cadiz'!J12)</f>
        <v>0</v>
      </c>
      <c r="F4" s="76">
        <v>6</v>
      </c>
      <c r="G4" s="77">
        <f>+'9a-Algarve'!N6+'9a-Cadiz'!N6</f>
        <v>0</v>
      </c>
      <c r="H4" s="77">
        <f>+'9a-Algarve'!O6+'9a-Cadiz'!O6</f>
        <v>0</v>
      </c>
      <c r="I4" s="77">
        <f>+'9a-Algarve'!P6+'9a-Cadiz'!P6</f>
        <v>0</v>
      </c>
      <c r="J4" s="49">
        <f t="shared" ref="J4:J40" si="3">+SUM(G4:I4)</f>
        <v>0</v>
      </c>
      <c r="L4" s="76">
        <v>6</v>
      </c>
      <c r="M4" s="77">
        <f t="shared" ref="M4:P41" si="4">+IF($J4&gt;0,G4/$J4,0)</f>
        <v>0</v>
      </c>
      <c r="N4" s="77">
        <f t="shared" si="0"/>
        <v>0</v>
      </c>
      <c r="O4" s="77">
        <f t="shared" si="0"/>
        <v>0</v>
      </c>
      <c r="P4" s="77">
        <f t="shared" si="0"/>
        <v>0</v>
      </c>
      <c r="Q4" s="78">
        <f t="shared" ref="Q4" si="5">+Q3+0.5</f>
        <v>6.25</v>
      </c>
      <c r="R4" s="79">
        <v>6</v>
      </c>
      <c r="S4" s="77">
        <f t="shared" ref="S4:V40" si="6">+$B4*M4</f>
        <v>0</v>
      </c>
      <c r="T4" s="77">
        <f t="shared" si="1"/>
        <v>0</v>
      </c>
      <c r="U4" s="77">
        <f t="shared" si="1"/>
        <v>0</v>
      </c>
      <c r="V4" s="77">
        <f t="shared" si="1"/>
        <v>0</v>
      </c>
      <c r="X4" s="80">
        <f t="shared" ref="X4:X40" si="7">$AF$2*((Y4)^$AH$2)</f>
        <v>1.0734685327668216</v>
      </c>
      <c r="Y4" s="81">
        <v>6</v>
      </c>
      <c r="Z4" s="85">
        <f t="shared" ref="Z4:AC40" si="8">+S4*$X4</f>
        <v>0</v>
      </c>
      <c r="AA4">
        <f t="shared" si="2"/>
        <v>0</v>
      </c>
      <c r="AB4">
        <f t="shared" si="2"/>
        <v>0</v>
      </c>
      <c r="AC4" s="86">
        <f t="shared" si="2"/>
        <v>0</v>
      </c>
    </row>
    <row r="5" spans="1:35" ht="15">
      <c r="A5" s="49">
        <v>6.5</v>
      </c>
      <c r="B5" s="147">
        <f>('9a-Algarve'!I12+'9a-Cadiz'!I13)</f>
        <v>0</v>
      </c>
      <c r="C5" s="116">
        <f>('9a-Algarve'!J12+'9a-Cadiz'!J13)</f>
        <v>0</v>
      </c>
      <c r="F5" s="76">
        <v>6.5</v>
      </c>
      <c r="G5" s="77">
        <f>+'9a-Algarve'!N7+'9a-Cadiz'!N7</f>
        <v>0</v>
      </c>
      <c r="H5" s="77">
        <f>+'9a-Algarve'!O7+'9a-Cadiz'!O7</f>
        <v>0</v>
      </c>
      <c r="I5" s="77">
        <f>+'9a-Algarve'!P7+'9a-Cadiz'!P7</f>
        <v>0</v>
      </c>
      <c r="J5" s="49">
        <f t="shared" si="3"/>
        <v>0</v>
      </c>
      <c r="L5" s="76">
        <v>6.5</v>
      </c>
      <c r="M5" s="77">
        <f t="shared" si="4"/>
        <v>0</v>
      </c>
      <c r="N5" s="77">
        <f t="shared" si="0"/>
        <v>0</v>
      </c>
      <c r="O5" s="77">
        <f t="shared" si="0"/>
        <v>0</v>
      </c>
      <c r="P5" s="77">
        <f t="shared" si="0"/>
        <v>0</v>
      </c>
      <c r="Q5" s="78">
        <v>6.75</v>
      </c>
      <c r="R5" s="79">
        <v>6.5</v>
      </c>
      <c r="S5" s="77">
        <f t="shared" si="6"/>
        <v>0</v>
      </c>
      <c r="T5" s="77">
        <f t="shared" si="1"/>
        <v>0</v>
      </c>
      <c r="U5" s="77">
        <f t="shared" si="1"/>
        <v>0</v>
      </c>
      <c r="V5" s="77">
        <f t="shared" si="1"/>
        <v>0</v>
      </c>
      <c r="X5" s="80">
        <f t="shared" si="7"/>
        <v>1.4099232854077943</v>
      </c>
      <c r="Y5" s="81">
        <v>6.5</v>
      </c>
      <c r="Z5" s="85">
        <f t="shared" si="8"/>
        <v>0</v>
      </c>
      <c r="AA5">
        <f t="shared" si="2"/>
        <v>0</v>
      </c>
      <c r="AB5">
        <f t="shared" si="2"/>
        <v>0</v>
      </c>
      <c r="AC5" s="86">
        <f t="shared" si="2"/>
        <v>0</v>
      </c>
    </row>
    <row r="6" spans="1:35" ht="15">
      <c r="A6" s="49">
        <v>7</v>
      </c>
      <c r="B6" s="147">
        <f>('9a-Algarve'!I13+'9a-Cadiz'!I14)</f>
        <v>0</v>
      </c>
      <c r="C6" s="116">
        <f>('9a-Algarve'!J13+'9a-Cadiz'!J14)</f>
        <v>0</v>
      </c>
      <c r="F6" s="76">
        <v>7</v>
      </c>
      <c r="G6" s="77">
        <f>+'9a-Algarve'!N8+'9a-Cadiz'!N8</f>
        <v>0</v>
      </c>
      <c r="H6" s="77">
        <f>+'9a-Algarve'!O8+'9a-Cadiz'!O8</f>
        <v>0</v>
      </c>
      <c r="I6" s="77">
        <f>+'9a-Algarve'!P8+'9a-Cadiz'!P8</f>
        <v>0</v>
      </c>
      <c r="J6" s="49">
        <f t="shared" si="3"/>
        <v>0</v>
      </c>
      <c r="L6" s="76">
        <v>7</v>
      </c>
      <c r="M6" s="77">
        <f t="shared" si="4"/>
        <v>0</v>
      </c>
      <c r="N6" s="77">
        <f t="shared" si="0"/>
        <v>0</v>
      </c>
      <c r="O6" s="77">
        <f t="shared" si="0"/>
        <v>0</v>
      </c>
      <c r="P6" s="77">
        <f t="shared" si="0"/>
        <v>0</v>
      </c>
      <c r="Q6" s="78">
        <f t="shared" ref="Q6" si="9">+Q5+0.5</f>
        <v>7.25</v>
      </c>
      <c r="R6" s="79">
        <v>7</v>
      </c>
      <c r="S6" s="77">
        <f t="shared" si="6"/>
        <v>0</v>
      </c>
      <c r="T6" s="77">
        <f t="shared" si="1"/>
        <v>0</v>
      </c>
      <c r="U6" s="77">
        <f t="shared" si="1"/>
        <v>0</v>
      </c>
      <c r="V6" s="77">
        <f t="shared" si="1"/>
        <v>0</v>
      </c>
      <c r="X6" s="80">
        <f t="shared" si="7"/>
        <v>1.8147736669357877</v>
      </c>
      <c r="Y6" s="81">
        <v>7</v>
      </c>
      <c r="Z6" s="85">
        <f t="shared" si="8"/>
        <v>0</v>
      </c>
      <c r="AA6">
        <f t="shared" si="2"/>
        <v>0</v>
      </c>
      <c r="AB6">
        <f t="shared" si="2"/>
        <v>0</v>
      </c>
      <c r="AC6" s="86">
        <f t="shared" si="2"/>
        <v>0</v>
      </c>
    </row>
    <row r="7" spans="1:35" ht="15">
      <c r="A7" s="49">
        <v>7.5</v>
      </c>
      <c r="B7" s="147">
        <f>('9a-Algarve'!I14+'9a-Cadiz'!I15)</f>
        <v>0</v>
      </c>
      <c r="C7" s="116">
        <f>('9a-Algarve'!J14+'9a-Cadiz'!J15)</f>
        <v>0</v>
      </c>
      <c r="F7" s="76">
        <v>7.5</v>
      </c>
      <c r="G7" s="77">
        <f>+'9a-Algarve'!N9+'9a-Cadiz'!N9</f>
        <v>0</v>
      </c>
      <c r="H7" s="77">
        <f>+'9a-Algarve'!O9+'9a-Cadiz'!O9</f>
        <v>0</v>
      </c>
      <c r="I7" s="77">
        <f>+'9a-Algarve'!P9+'9a-Cadiz'!P9</f>
        <v>0</v>
      </c>
      <c r="J7" s="49">
        <f t="shared" si="3"/>
        <v>0</v>
      </c>
      <c r="L7" s="76">
        <v>7.5</v>
      </c>
      <c r="M7" s="77">
        <f t="shared" si="4"/>
        <v>0</v>
      </c>
      <c r="N7" s="77">
        <f t="shared" si="0"/>
        <v>0</v>
      </c>
      <c r="O7" s="77">
        <f t="shared" si="0"/>
        <v>0</v>
      </c>
      <c r="P7" s="77">
        <f t="shared" si="0"/>
        <v>0</v>
      </c>
      <c r="Q7" s="78">
        <v>7.75</v>
      </c>
      <c r="R7" s="79">
        <v>7.5</v>
      </c>
      <c r="S7" s="77">
        <f t="shared" si="6"/>
        <v>0</v>
      </c>
      <c r="T7" s="77">
        <f t="shared" si="1"/>
        <v>0</v>
      </c>
      <c r="U7" s="77">
        <f t="shared" si="1"/>
        <v>0</v>
      </c>
      <c r="V7" s="77">
        <f t="shared" si="1"/>
        <v>0</v>
      </c>
      <c r="X7" s="80">
        <f t="shared" si="7"/>
        <v>2.2955288265805969</v>
      </c>
      <c r="Y7" s="81">
        <v>7.5</v>
      </c>
      <c r="Z7" s="85">
        <f t="shared" si="8"/>
        <v>0</v>
      </c>
      <c r="AA7">
        <f t="shared" si="2"/>
        <v>0</v>
      </c>
      <c r="AB7">
        <f t="shared" si="2"/>
        <v>0</v>
      </c>
      <c r="AC7" s="86">
        <f t="shared" si="2"/>
        <v>0</v>
      </c>
    </row>
    <row r="8" spans="1:35" ht="15">
      <c r="A8" s="145">
        <v>8</v>
      </c>
      <c r="B8" s="147">
        <f>('9a-Algarve'!I15+'9a-Cadiz'!I16)</f>
        <v>176873.27016573062</v>
      </c>
      <c r="C8" s="146">
        <f>('9a-Algarve'!J15+'9a-Cadiz'!J16)</f>
        <v>552.20676526165198</v>
      </c>
      <c r="F8" s="76">
        <v>8</v>
      </c>
      <c r="G8" s="77">
        <f>+'9a-Algarve'!N10+'9a-Cadiz'!N10</f>
        <v>0</v>
      </c>
      <c r="H8" s="77">
        <f>+'9a-Algarve'!O10+'9a-Cadiz'!O10</f>
        <v>0</v>
      </c>
      <c r="I8" s="77">
        <f>+'9a-Algarve'!P10+'9a-Cadiz'!P10</f>
        <v>0</v>
      </c>
      <c r="J8" s="49">
        <f t="shared" si="3"/>
        <v>0</v>
      </c>
      <c r="L8" s="76">
        <v>8</v>
      </c>
      <c r="M8" s="77">
        <f t="shared" si="4"/>
        <v>0</v>
      </c>
      <c r="N8" s="77">
        <f t="shared" si="0"/>
        <v>0</v>
      </c>
      <c r="O8" s="77">
        <f t="shared" si="0"/>
        <v>0</v>
      </c>
      <c r="P8" s="77">
        <f t="shared" si="0"/>
        <v>0</v>
      </c>
      <c r="Q8" s="78">
        <f t="shared" ref="Q8" si="10">+Q7+0.5</f>
        <v>8.25</v>
      </c>
      <c r="R8" s="79">
        <v>8</v>
      </c>
      <c r="S8" s="77">
        <f t="shared" si="6"/>
        <v>0</v>
      </c>
      <c r="T8" s="77">
        <f t="shared" si="1"/>
        <v>0</v>
      </c>
      <c r="U8" s="77">
        <f t="shared" si="1"/>
        <v>0</v>
      </c>
      <c r="V8" s="77">
        <f t="shared" si="1"/>
        <v>0</v>
      </c>
      <c r="X8" s="80">
        <f t="shared" si="7"/>
        <v>2.8599192355502114</v>
      </c>
      <c r="Y8" s="81">
        <v>8</v>
      </c>
      <c r="Z8" s="85">
        <f t="shared" si="8"/>
        <v>0</v>
      </c>
      <c r="AA8">
        <f t="shared" si="2"/>
        <v>0</v>
      </c>
      <c r="AB8">
        <f t="shared" si="2"/>
        <v>0</v>
      </c>
      <c r="AC8" s="86">
        <f t="shared" si="2"/>
        <v>0</v>
      </c>
    </row>
    <row r="9" spans="1:35" ht="15">
      <c r="A9" s="145">
        <v>8.5</v>
      </c>
      <c r="B9" s="147">
        <f>('9a-Algarve'!I16+'9a-Cadiz'!I17)</f>
        <v>148573.54693921373</v>
      </c>
      <c r="C9" s="146">
        <f>('9a-Algarve'!J16+'9a-Cadiz'!J17)</f>
        <v>558.27847571783343</v>
      </c>
      <c r="D9" s="87"/>
      <c r="F9" s="76">
        <v>8.5</v>
      </c>
      <c r="G9" s="77">
        <f>+'9a-Algarve'!N11+'9a-Cadiz'!N11</f>
        <v>7</v>
      </c>
      <c r="H9" s="77">
        <f>+'9a-Algarve'!O11+'9a-Cadiz'!O11</f>
        <v>0</v>
      </c>
      <c r="I9" s="77">
        <f>+'9a-Algarve'!P11+'9a-Cadiz'!P11</f>
        <v>0</v>
      </c>
      <c r="J9" s="49">
        <f t="shared" si="3"/>
        <v>7</v>
      </c>
      <c r="L9" s="76">
        <v>8.5</v>
      </c>
      <c r="M9" s="77">
        <f t="shared" si="4"/>
        <v>1</v>
      </c>
      <c r="N9" s="77">
        <f t="shared" si="0"/>
        <v>0</v>
      </c>
      <c r="O9" s="77">
        <f t="shared" si="0"/>
        <v>0</v>
      </c>
      <c r="P9" s="77">
        <f t="shared" si="0"/>
        <v>1</v>
      </c>
      <c r="Q9" s="78">
        <v>8.75</v>
      </c>
      <c r="R9" s="79">
        <v>8.5</v>
      </c>
      <c r="S9" s="77">
        <f>+$B9*M9</f>
        <v>148573.54693921373</v>
      </c>
      <c r="T9" s="77">
        <f t="shared" si="1"/>
        <v>0</v>
      </c>
      <c r="U9" s="77">
        <f t="shared" si="1"/>
        <v>0</v>
      </c>
      <c r="V9" s="77">
        <f t="shared" si="1"/>
        <v>148573.54693921373</v>
      </c>
      <c r="X9" s="80">
        <f t="shared" si="7"/>
        <v>3.5158877807532329</v>
      </c>
      <c r="Y9" s="81">
        <v>8.5</v>
      </c>
      <c r="Z9" s="85">
        <f t="shared" si="8"/>
        <v>522367.91822674847</v>
      </c>
      <c r="AA9">
        <f t="shared" si="2"/>
        <v>0</v>
      </c>
      <c r="AB9">
        <f t="shared" si="2"/>
        <v>0</v>
      </c>
      <c r="AC9" s="86">
        <f t="shared" si="2"/>
        <v>522367.91822674847</v>
      </c>
    </row>
    <row r="10" spans="1:35" ht="15">
      <c r="A10" s="145">
        <v>9</v>
      </c>
      <c r="B10" s="147">
        <f>('9a-Algarve'!I17+'9a-Cadiz'!I18)</f>
        <v>374971.33275134885</v>
      </c>
      <c r="C10" s="146">
        <f>('9a-Algarve'!J17+'9a-Cadiz'!J18)</f>
        <v>1678.4345716892403</v>
      </c>
      <c r="D10" s="87"/>
      <c r="F10" s="76">
        <v>9</v>
      </c>
      <c r="G10" s="77">
        <f>+'9a-Algarve'!N12+'9a-Cadiz'!N12</f>
        <v>5</v>
      </c>
      <c r="H10" s="77">
        <f>+'9a-Algarve'!O12+'9a-Cadiz'!O12</f>
        <v>0</v>
      </c>
      <c r="I10" s="77">
        <f>+'9a-Algarve'!P12+'9a-Cadiz'!P12</f>
        <v>0</v>
      </c>
      <c r="J10" s="49">
        <f t="shared" si="3"/>
        <v>5</v>
      </c>
      <c r="L10" s="76">
        <v>9</v>
      </c>
      <c r="M10" s="77">
        <f t="shared" si="4"/>
        <v>1</v>
      </c>
      <c r="N10" s="77">
        <f t="shared" si="0"/>
        <v>0</v>
      </c>
      <c r="O10" s="77">
        <f t="shared" si="0"/>
        <v>0</v>
      </c>
      <c r="P10" s="77">
        <f t="shared" si="0"/>
        <v>1</v>
      </c>
      <c r="Q10" s="78">
        <f t="shared" ref="Q10" si="11">+Q9+0.5</f>
        <v>9.25</v>
      </c>
      <c r="R10" s="79">
        <v>9</v>
      </c>
      <c r="S10" s="77">
        <f t="shared" si="6"/>
        <v>374971.33275134885</v>
      </c>
      <c r="T10" s="77">
        <f t="shared" si="1"/>
        <v>0</v>
      </c>
      <c r="U10" s="77">
        <f t="shared" si="1"/>
        <v>0</v>
      </c>
      <c r="V10" s="77">
        <f t="shared" si="1"/>
        <v>374971.33275134885</v>
      </c>
      <c r="X10" s="80">
        <f t="shared" si="7"/>
        <v>4.2715817607635858</v>
      </c>
      <c r="Y10" s="81">
        <v>9</v>
      </c>
      <c r="Z10" s="85">
        <f t="shared" si="8"/>
        <v>1601720.705789875</v>
      </c>
      <c r="AA10">
        <f t="shared" si="2"/>
        <v>0</v>
      </c>
      <c r="AB10">
        <f t="shared" si="2"/>
        <v>0</v>
      </c>
      <c r="AC10" s="86">
        <f t="shared" si="2"/>
        <v>1601720.705789875</v>
      </c>
    </row>
    <row r="11" spans="1:35" ht="15">
      <c r="A11" s="145">
        <v>9.5</v>
      </c>
      <c r="B11" s="147">
        <f>('9a-Algarve'!I18+'9a-Cadiz'!I19)</f>
        <v>297147.09387842746</v>
      </c>
      <c r="C11" s="146">
        <f>('9a-Algarve'!J18+'9a-Cadiz'!J19)</f>
        <v>1569.9038538958243</v>
      </c>
      <c r="D11" s="87"/>
      <c r="F11" s="76">
        <v>9.5</v>
      </c>
      <c r="G11" s="77">
        <f>+'9a-Algarve'!N13+'9a-Cadiz'!N13</f>
        <v>9</v>
      </c>
      <c r="H11" s="77">
        <f>+'9a-Algarve'!O13+'9a-Cadiz'!O13</f>
        <v>0</v>
      </c>
      <c r="I11" s="77">
        <f>+'9a-Algarve'!P13+'9a-Cadiz'!P13</f>
        <v>0</v>
      </c>
      <c r="J11" s="49">
        <f t="shared" si="3"/>
        <v>9</v>
      </c>
      <c r="L11" s="76">
        <v>9.5</v>
      </c>
      <c r="M11" s="77">
        <f t="shared" si="4"/>
        <v>1</v>
      </c>
      <c r="N11" s="77">
        <f t="shared" si="0"/>
        <v>0</v>
      </c>
      <c r="O11" s="77">
        <f t="shared" si="0"/>
        <v>0</v>
      </c>
      <c r="P11" s="77">
        <f t="shared" si="0"/>
        <v>1</v>
      </c>
      <c r="Q11" s="78">
        <v>9.75</v>
      </c>
      <c r="R11" s="79">
        <v>9.5</v>
      </c>
      <c r="S11" s="77">
        <f t="shared" si="6"/>
        <v>297147.09387842746</v>
      </c>
      <c r="T11" s="77">
        <f t="shared" si="1"/>
        <v>0</v>
      </c>
      <c r="U11" s="77">
        <f t="shared" si="1"/>
        <v>0</v>
      </c>
      <c r="V11" s="77">
        <f t="shared" si="1"/>
        <v>297147.09387842746</v>
      </c>
      <c r="X11" s="80">
        <f t="shared" si="7"/>
        <v>5.1353456439847704</v>
      </c>
      <c r="Y11" s="81">
        <v>9.5</v>
      </c>
      <c r="Z11" s="85">
        <f t="shared" si="8"/>
        <v>1525953.0341713161</v>
      </c>
      <c r="AA11">
        <f t="shared" si="2"/>
        <v>0</v>
      </c>
      <c r="AB11">
        <f t="shared" si="2"/>
        <v>0</v>
      </c>
      <c r="AC11" s="86">
        <f t="shared" si="2"/>
        <v>1525953.0341713161</v>
      </c>
    </row>
    <row r="12" spans="1:35" ht="15">
      <c r="A12" s="145">
        <v>10</v>
      </c>
      <c r="B12" s="147">
        <f>('9a-Algarve'!I19+'9a-Cadiz'!I20)</f>
        <v>367896.40194471972</v>
      </c>
      <c r="C12" s="146">
        <f>('9a-Algarve'!J19+'9a-Cadiz'!J20)</f>
        <v>2275.207580954188</v>
      </c>
      <c r="D12" s="87"/>
      <c r="F12" s="76">
        <v>10</v>
      </c>
      <c r="G12" s="77">
        <f>+'9a-Algarve'!N14+'9a-Cadiz'!N14</f>
        <v>11</v>
      </c>
      <c r="H12" s="77">
        <f>+'9a-Algarve'!O14+'9a-Cadiz'!O14</f>
        <v>0</v>
      </c>
      <c r="I12" s="77">
        <f>+'9a-Algarve'!P14+'9a-Cadiz'!P14</f>
        <v>0</v>
      </c>
      <c r="J12" s="49">
        <f t="shared" si="3"/>
        <v>11</v>
      </c>
      <c r="L12" s="76">
        <v>10</v>
      </c>
      <c r="M12" s="77">
        <f t="shared" si="4"/>
        <v>1</v>
      </c>
      <c r="N12" s="77">
        <f t="shared" si="0"/>
        <v>0</v>
      </c>
      <c r="O12" s="77">
        <f t="shared" si="0"/>
        <v>0</v>
      </c>
      <c r="P12" s="77">
        <f t="shared" si="0"/>
        <v>1</v>
      </c>
      <c r="Q12" s="78">
        <f t="shared" ref="Q12" si="12">+Q11+0.5</f>
        <v>10.25</v>
      </c>
      <c r="R12" s="79">
        <v>10</v>
      </c>
      <c r="S12" s="77">
        <f t="shared" si="6"/>
        <v>367896.40194471972</v>
      </c>
      <c r="T12" s="77">
        <f t="shared" si="1"/>
        <v>0</v>
      </c>
      <c r="U12" s="77">
        <f t="shared" si="1"/>
        <v>0</v>
      </c>
      <c r="V12" s="77">
        <f t="shared" si="1"/>
        <v>367896.40194471972</v>
      </c>
      <c r="X12" s="80">
        <f t="shared" si="7"/>
        <v>6.1157144774209407</v>
      </c>
      <c r="Y12" s="81">
        <v>10</v>
      </c>
      <c r="Z12" s="85">
        <f t="shared" si="8"/>
        <v>2249949.3515643957</v>
      </c>
      <c r="AA12">
        <f t="shared" si="2"/>
        <v>0</v>
      </c>
      <c r="AB12">
        <f t="shared" si="2"/>
        <v>0</v>
      </c>
      <c r="AC12" s="86">
        <f t="shared" si="2"/>
        <v>2249949.3515643957</v>
      </c>
    </row>
    <row r="13" spans="1:35" ht="15">
      <c r="A13" s="145">
        <v>10.5</v>
      </c>
      <c r="B13" s="147">
        <f>('9a-Algarve'!I20+'9a-Cadiz'!I21)</f>
        <v>452795.57162427041</v>
      </c>
      <c r="C13" s="146">
        <f>('9a-Algarve'!J20+'9a-Cadiz'!J21)</f>
        <v>3253.3700048022652</v>
      </c>
      <c r="D13" s="87"/>
      <c r="F13" s="76">
        <v>10.5</v>
      </c>
      <c r="G13" s="77">
        <f>+'9a-Algarve'!N15+'9a-Cadiz'!N15</f>
        <v>11</v>
      </c>
      <c r="H13" s="77">
        <f>+'9a-Algarve'!O15+'9a-Cadiz'!O15</f>
        <v>0</v>
      </c>
      <c r="I13" s="77">
        <f>+'9a-Algarve'!P15+'9a-Cadiz'!P15</f>
        <v>0</v>
      </c>
      <c r="J13" s="49">
        <f t="shared" si="3"/>
        <v>11</v>
      </c>
      <c r="L13" s="76">
        <v>10.5</v>
      </c>
      <c r="M13" s="77">
        <f t="shared" si="4"/>
        <v>1</v>
      </c>
      <c r="N13" s="77">
        <f t="shared" si="0"/>
        <v>0</v>
      </c>
      <c r="O13" s="77">
        <f t="shared" si="0"/>
        <v>0</v>
      </c>
      <c r="P13" s="77">
        <f t="shared" si="0"/>
        <v>1</v>
      </c>
      <c r="Q13" s="78">
        <v>10.75</v>
      </c>
      <c r="R13" s="79">
        <v>10.5</v>
      </c>
      <c r="S13" s="77">
        <f t="shared" si="6"/>
        <v>452795.57162427041</v>
      </c>
      <c r="T13" s="77">
        <f t="shared" si="1"/>
        <v>0</v>
      </c>
      <c r="U13" s="77">
        <f t="shared" si="1"/>
        <v>0</v>
      </c>
      <c r="V13" s="77">
        <f t="shared" si="1"/>
        <v>452795.57162427041</v>
      </c>
      <c r="X13" s="80">
        <f t="shared" si="7"/>
        <v>7.2214078559122932</v>
      </c>
      <c r="Y13" s="81">
        <v>10.5</v>
      </c>
      <c r="Z13" s="85">
        <f t="shared" si="8"/>
        <v>3269821.4980498035</v>
      </c>
      <c r="AA13">
        <f t="shared" si="2"/>
        <v>0</v>
      </c>
      <c r="AB13">
        <f t="shared" si="2"/>
        <v>0</v>
      </c>
      <c r="AC13" s="86">
        <f t="shared" si="2"/>
        <v>3269821.4980498035</v>
      </c>
    </row>
    <row r="14" spans="1:35" ht="15">
      <c r="A14" s="145">
        <v>11</v>
      </c>
      <c r="B14" s="147">
        <f>('9a-Algarve'!I21+'9a-Cadiz'!I22)</f>
        <v>721642.94227618084</v>
      </c>
      <c r="C14" s="146">
        <f>('9a-Algarve'!J21+'9a-Cadiz'!J22)</f>
        <v>5983.1197518150657</v>
      </c>
      <c r="D14" s="87"/>
      <c r="F14" s="76">
        <v>11</v>
      </c>
      <c r="G14" s="77">
        <f>+'9a-Algarve'!N16+'9a-Cadiz'!N16</f>
        <v>8</v>
      </c>
      <c r="H14" s="77">
        <f>+'9a-Algarve'!O16+'9a-Cadiz'!O16</f>
        <v>0</v>
      </c>
      <c r="I14" s="77">
        <f>+'9a-Algarve'!P16+'9a-Cadiz'!P16</f>
        <v>0</v>
      </c>
      <c r="J14" s="49">
        <f t="shared" si="3"/>
        <v>8</v>
      </c>
      <c r="L14" s="76">
        <v>11</v>
      </c>
      <c r="M14" s="77">
        <f t="shared" si="4"/>
        <v>1</v>
      </c>
      <c r="N14" s="77">
        <f t="shared" si="0"/>
        <v>0</v>
      </c>
      <c r="O14" s="77">
        <f t="shared" si="0"/>
        <v>0</v>
      </c>
      <c r="P14" s="77">
        <f t="shared" si="0"/>
        <v>1</v>
      </c>
      <c r="Q14" s="78">
        <f t="shared" ref="Q14" si="13">+Q13+0.5</f>
        <v>11.25</v>
      </c>
      <c r="R14" s="79">
        <v>11</v>
      </c>
      <c r="S14" s="77">
        <f t="shared" si="6"/>
        <v>721642.94227618084</v>
      </c>
      <c r="T14" s="77">
        <f t="shared" si="1"/>
        <v>0</v>
      </c>
      <c r="U14" s="77">
        <f t="shared" si="1"/>
        <v>0</v>
      </c>
      <c r="V14" s="77">
        <f t="shared" si="1"/>
        <v>721642.94227618084</v>
      </c>
      <c r="X14" s="80">
        <f t="shared" si="7"/>
        <v>8.4613243781346412</v>
      </c>
      <c r="Y14" s="81">
        <v>11</v>
      </c>
      <c r="Z14" s="85">
        <f t="shared" si="8"/>
        <v>6106055.0197902583</v>
      </c>
      <c r="AA14">
        <f t="shared" si="2"/>
        <v>0</v>
      </c>
      <c r="AB14">
        <f t="shared" si="2"/>
        <v>0</v>
      </c>
      <c r="AC14" s="86">
        <f t="shared" si="2"/>
        <v>6106055.0197902583</v>
      </c>
    </row>
    <row r="15" spans="1:35" ht="15">
      <c r="A15" s="145">
        <v>11.5</v>
      </c>
      <c r="B15" s="147">
        <f>('9a-Algarve'!I22+'9a-Cadiz'!I23)</f>
        <v>629668.84179000102</v>
      </c>
      <c r="C15" s="146">
        <f>('9a-Algarve'!J22+'9a-Cadiz'!J23)</f>
        <v>5986.6997687967314</v>
      </c>
      <c r="D15" s="87"/>
      <c r="F15" s="76">
        <v>11.5</v>
      </c>
      <c r="G15" s="77">
        <f>+'9a-Algarve'!N17+'9a-Cadiz'!N17</f>
        <v>10</v>
      </c>
      <c r="H15" s="77">
        <f>+'9a-Algarve'!O17+'9a-Cadiz'!O17</f>
        <v>0</v>
      </c>
      <c r="I15" s="77">
        <f>+'9a-Algarve'!P17+'9a-Cadiz'!P17</f>
        <v>0</v>
      </c>
      <c r="J15" s="49">
        <f t="shared" si="3"/>
        <v>10</v>
      </c>
      <c r="L15" s="76">
        <v>11.5</v>
      </c>
      <c r="M15" s="77">
        <f t="shared" si="4"/>
        <v>1</v>
      </c>
      <c r="N15" s="77">
        <f t="shared" si="0"/>
        <v>0</v>
      </c>
      <c r="O15" s="77">
        <f t="shared" si="0"/>
        <v>0</v>
      </c>
      <c r="P15" s="77">
        <f t="shared" si="0"/>
        <v>1</v>
      </c>
      <c r="Q15" s="78">
        <v>11.75</v>
      </c>
      <c r="R15" s="79">
        <v>11.5</v>
      </c>
      <c r="S15" s="77">
        <f t="shared" si="6"/>
        <v>629668.84179000102</v>
      </c>
      <c r="T15" s="77">
        <f t="shared" si="1"/>
        <v>0</v>
      </c>
      <c r="U15" s="77">
        <f t="shared" si="1"/>
        <v>0</v>
      </c>
      <c r="V15" s="77">
        <f t="shared" si="1"/>
        <v>629668.84179000102</v>
      </c>
      <c r="X15" s="80">
        <f t="shared" si="7"/>
        <v>9.844536528454082</v>
      </c>
      <c r="Y15" s="81">
        <v>11.5</v>
      </c>
      <c r="Z15" s="85">
        <f t="shared" si="8"/>
        <v>6198797.9138310393</v>
      </c>
      <c r="AA15">
        <f t="shared" si="2"/>
        <v>0</v>
      </c>
      <c r="AB15">
        <f t="shared" si="2"/>
        <v>0</v>
      </c>
      <c r="AC15" s="86">
        <f t="shared" si="2"/>
        <v>6198797.9138310393</v>
      </c>
    </row>
    <row r="16" spans="1:35" ht="15">
      <c r="A16" s="145">
        <v>12</v>
      </c>
      <c r="B16" s="147">
        <f>('9a-Algarve'!I23+'9a-Cadiz'!I24)</f>
        <v>247622.57823202288</v>
      </c>
      <c r="C16" s="146">
        <f>('9a-Algarve'!J23+'9a-Cadiz'!J24)</f>
        <v>2684.4592639393131</v>
      </c>
      <c r="D16" s="87"/>
      <c r="F16" s="76">
        <v>12</v>
      </c>
      <c r="G16" s="77">
        <f>+'9a-Algarve'!N18+'9a-Cadiz'!N18</f>
        <v>11</v>
      </c>
      <c r="H16" s="77">
        <f>+'9a-Algarve'!O18+'9a-Cadiz'!O18</f>
        <v>1</v>
      </c>
      <c r="I16" s="77">
        <f>+'9a-Algarve'!P18+'9a-Cadiz'!P18</f>
        <v>0</v>
      </c>
      <c r="J16" s="49">
        <f t="shared" si="3"/>
        <v>12</v>
      </c>
      <c r="L16" s="76">
        <v>12</v>
      </c>
      <c r="M16" s="77">
        <f>+IF($J16&gt;0,G16/$J16,0)</f>
        <v>0.91666666666666663</v>
      </c>
      <c r="N16" s="77">
        <f t="shared" si="0"/>
        <v>8.3333333333333329E-2</v>
      </c>
      <c r="O16" s="77">
        <f t="shared" si="0"/>
        <v>0</v>
      </c>
      <c r="P16" s="77">
        <f t="shared" si="0"/>
        <v>1</v>
      </c>
      <c r="Q16" s="78">
        <f t="shared" ref="Q16" si="14">+Q15+0.5</f>
        <v>12.25</v>
      </c>
      <c r="R16" s="79">
        <v>12</v>
      </c>
      <c r="S16" s="77">
        <f t="shared" si="6"/>
        <v>226987.3633793543</v>
      </c>
      <c r="T16" s="77">
        <f t="shared" si="1"/>
        <v>20635.214852668571</v>
      </c>
      <c r="U16" s="77">
        <f t="shared" si="1"/>
        <v>0</v>
      </c>
      <c r="V16" s="77">
        <f t="shared" si="1"/>
        <v>247622.57823202288</v>
      </c>
      <c r="X16" s="80">
        <f t="shared" si="7"/>
        <v>11.380285933809359</v>
      </c>
      <c r="Y16" s="81">
        <v>12</v>
      </c>
      <c r="Z16" s="85">
        <f t="shared" si="8"/>
        <v>2583181.0986185395</v>
      </c>
      <c r="AA16">
        <f t="shared" si="2"/>
        <v>234834.64532895811</v>
      </c>
      <c r="AB16">
        <f t="shared" si="2"/>
        <v>0</v>
      </c>
      <c r="AC16" s="86">
        <f t="shared" si="2"/>
        <v>2818015.7439474976</v>
      </c>
    </row>
    <row r="17" spans="1:29" ht="15">
      <c r="A17" s="145">
        <v>12.5</v>
      </c>
      <c r="B17" s="147">
        <f>('9a-Algarve'!I24+'9a-Cadiz'!I25)</f>
        <v>77824.238872921487</v>
      </c>
      <c r="C17" s="146">
        <f>('9a-Algarve'!J24+'9a-Cadiz'!J25)</f>
        <v>956.95714052715539</v>
      </c>
      <c r="D17" s="87"/>
      <c r="F17" s="76">
        <v>12.5</v>
      </c>
      <c r="G17" s="77">
        <f>+'9a-Algarve'!N19+'9a-Cadiz'!N19</f>
        <v>10</v>
      </c>
      <c r="H17" s="77">
        <f>+'9a-Algarve'!O19+'9a-Cadiz'!O19</f>
        <v>1</v>
      </c>
      <c r="I17" s="77">
        <f>+'9a-Algarve'!P19+'9a-Cadiz'!P19</f>
        <v>0</v>
      </c>
      <c r="J17" s="49">
        <f t="shared" si="3"/>
        <v>11</v>
      </c>
      <c r="L17" s="76">
        <v>12.5</v>
      </c>
      <c r="M17" s="77">
        <f t="shared" si="4"/>
        <v>0.90909090909090906</v>
      </c>
      <c r="N17" s="77">
        <f t="shared" si="0"/>
        <v>9.0909090909090912E-2</v>
      </c>
      <c r="O17" s="77">
        <f t="shared" si="0"/>
        <v>0</v>
      </c>
      <c r="P17" s="77">
        <f t="shared" si="0"/>
        <v>1</v>
      </c>
      <c r="Q17" s="78">
        <v>12.75</v>
      </c>
      <c r="R17" s="79">
        <v>12.5</v>
      </c>
      <c r="S17" s="77">
        <f t="shared" si="6"/>
        <v>70749.308066292258</v>
      </c>
      <c r="T17" s="77">
        <f t="shared" si="1"/>
        <v>7074.930806629226</v>
      </c>
      <c r="U17" s="77">
        <f t="shared" si="1"/>
        <v>0</v>
      </c>
      <c r="V17" s="77">
        <f t="shared" si="1"/>
        <v>77824.238872921487</v>
      </c>
      <c r="X17" s="80">
        <f t="shared" si="7"/>
        <v>13.077978952835846</v>
      </c>
      <c r="Y17" s="81">
        <v>12.5</v>
      </c>
      <c r="Z17" s="85">
        <f t="shared" si="8"/>
        <v>925257.96181866946</v>
      </c>
      <c r="AA17">
        <f t="shared" si="2"/>
        <v>92525.796181866957</v>
      </c>
      <c r="AB17">
        <f t="shared" si="2"/>
        <v>0</v>
      </c>
      <c r="AC17" s="86">
        <f t="shared" si="2"/>
        <v>1017783.7580005365</v>
      </c>
    </row>
    <row r="18" spans="1:29" ht="15">
      <c r="A18" s="145">
        <v>13</v>
      </c>
      <c r="B18" s="147">
        <f>('9a-Algarve'!I25+'9a-Cadiz'!I26)</f>
        <v>21224.792419887672</v>
      </c>
      <c r="C18" s="146">
        <f>('9a-Algarve'!J25+'9a-Cadiz'!J26)</f>
        <v>294.59629848617914</v>
      </c>
      <c r="D18" s="87"/>
      <c r="F18" s="76">
        <v>13</v>
      </c>
      <c r="G18" s="77">
        <f>+'9a-Algarve'!N20+'9a-Cadiz'!N20</f>
        <v>10</v>
      </c>
      <c r="H18" s="77">
        <f>+'9a-Algarve'!O20+'9a-Cadiz'!O20</f>
        <v>1</v>
      </c>
      <c r="I18" s="77">
        <f>+'9a-Algarve'!P20+'9a-Cadiz'!P20</f>
        <v>0</v>
      </c>
      <c r="J18" s="49">
        <f t="shared" si="3"/>
        <v>11</v>
      </c>
      <c r="L18" s="76">
        <v>13</v>
      </c>
      <c r="M18" s="77">
        <f t="shared" si="4"/>
        <v>0.90909090909090906</v>
      </c>
      <c r="N18" s="77">
        <f t="shared" si="0"/>
        <v>9.0909090909090912E-2</v>
      </c>
      <c r="O18" s="77">
        <f t="shared" si="0"/>
        <v>0</v>
      </c>
      <c r="P18" s="77">
        <f t="shared" si="0"/>
        <v>1</v>
      </c>
      <c r="Q18" s="78">
        <f t="shared" ref="Q18" si="15">+Q17+0.5</f>
        <v>13.25</v>
      </c>
      <c r="R18" s="79">
        <v>13</v>
      </c>
      <c r="S18" s="77">
        <f t="shared" si="6"/>
        <v>19295.265836261518</v>
      </c>
      <c r="T18" s="77">
        <f t="shared" si="1"/>
        <v>1929.5265836261519</v>
      </c>
      <c r="U18" s="77">
        <f t="shared" si="1"/>
        <v>0</v>
      </c>
      <c r="V18" s="77">
        <f t="shared" si="1"/>
        <v>21224.792419887672</v>
      </c>
      <c r="X18" s="80">
        <f t="shared" si="7"/>
        <v>14.947182560927439</v>
      </c>
      <c r="Y18" s="81">
        <v>13</v>
      </c>
      <c r="Z18" s="85">
        <f t="shared" si="8"/>
        <v>288409.86101622717</v>
      </c>
      <c r="AA18">
        <f t="shared" si="2"/>
        <v>28840.986101622719</v>
      </c>
      <c r="AB18">
        <f t="shared" si="2"/>
        <v>0</v>
      </c>
      <c r="AC18" s="86">
        <f t="shared" si="2"/>
        <v>317250.84711784992</v>
      </c>
    </row>
    <row r="19" spans="1:29" ht="15">
      <c r="A19" s="145">
        <v>13.5</v>
      </c>
      <c r="B19" s="147">
        <f>('9a-Algarve'!I26+'9a-Cadiz'!I27)</f>
        <v>0</v>
      </c>
      <c r="C19" s="146">
        <f>('9a-Algarve'!J26+'9a-Cadiz'!J27)</f>
        <v>0</v>
      </c>
      <c r="D19" s="87"/>
      <c r="F19" s="76">
        <v>13.5</v>
      </c>
      <c r="G19" s="77">
        <f>+'9a-Algarve'!N21+'9a-Cadiz'!N21</f>
        <v>3</v>
      </c>
      <c r="H19" s="77">
        <f>+'9a-Algarve'!O21+'9a-Cadiz'!O21</f>
        <v>1</v>
      </c>
      <c r="I19" s="77">
        <f>+'9a-Algarve'!P21+'9a-Cadiz'!P21</f>
        <v>0</v>
      </c>
      <c r="J19" s="49">
        <f t="shared" si="3"/>
        <v>4</v>
      </c>
      <c r="L19" s="76">
        <v>13.5</v>
      </c>
      <c r="M19" s="77">
        <f t="shared" si="4"/>
        <v>0.75</v>
      </c>
      <c r="N19" s="77">
        <f t="shared" si="4"/>
        <v>0.25</v>
      </c>
      <c r="O19" s="77">
        <f t="shared" si="4"/>
        <v>0</v>
      </c>
      <c r="P19" s="77">
        <f t="shared" si="4"/>
        <v>1</v>
      </c>
      <c r="Q19" s="78">
        <v>13.75</v>
      </c>
      <c r="R19" s="79">
        <v>13.5</v>
      </c>
      <c r="S19" s="77">
        <f t="shared" si="6"/>
        <v>0</v>
      </c>
      <c r="T19" s="77">
        <f t="shared" si="6"/>
        <v>0</v>
      </c>
      <c r="U19" s="77">
        <f t="shared" si="6"/>
        <v>0</v>
      </c>
      <c r="V19" s="77">
        <f t="shared" si="6"/>
        <v>0</v>
      </c>
      <c r="X19" s="80">
        <f t="shared" si="7"/>
        <v>16.997620500210413</v>
      </c>
      <c r="Y19" s="81">
        <v>13.5</v>
      </c>
      <c r="Z19" s="85">
        <f t="shared" si="8"/>
        <v>0</v>
      </c>
      <c r="AA19">
        <f t="shared" si="8"/>
        <v>0</v>
      </c>
      <c r="AB19">
        <f t="shared" si="8"/>
        <v>0</v>
      </c>
      <c r="AC19" s="86">
        <f t="shared" si="8"/>
        <v>0</v>
      </c>
    </row>
    <row r="20" spans="1:29" ht="15">
      <c r="A20" s="145">
        <v>14</v>
      </c>
      <c r="B20" s="147">
        <f>('9a-Algarve'!I27+'9a-Cadiz'!I28)</f>
        <v>7074.9308066292251</v>
      </c>
      <c r="C20" s="146">
        <f>('9a-Algarve'!J27+'9a-Cadiz'!J28)</f>
        <v>123.48415612789394</v>
      </c>
      <c r="D20" s="87"/>
      <c r="F20" s="76">
        <v>14</v>
      </c>
      <c r="G20" s="77">
        <f>+'9a-Algarve'!N22+'9a-Cadiz'!N22</f>
        <v>0</v>
      </c>
      <c r="H20" s="77">
        <f>+'9a-Algarve'!O22+'9a-Cadiz'!O22</f>
        <v>3</v>
      </c>
      <c r="I20" s="77">
        <f>+'9a-Algarve'!P22+'9a-Cadiz'!P22</f>
        <v>0</v>
      </c>
      <c r="J20" s="49">
        <f t="shared" si="3"/>
        <v>3</v>
      </c>
      <c r="L20" s="76">
        <v>14</v>
      </c>
      <c r="M20" s="77">
        <f t="shared" si="4"/>
        <v>0</v>
      </c>
      <c r="N20" s="77">
        <f t="shared" si="4"/>
        <v>1</v>
      </c>
      <c r="O20" s="77">
        <f t="shared" si="4"/>
        <v>0</v>
      </c>
      <c r="P20" s="77">
        <f t="shared" si="4"/>
        <v>1</v>
      </c>
      <c r="Q20" s="78">
        <f t="shared" ref="Q20" si="16">+Q19+0.5</f>
        <v>14.25</v>
      </c>
      <c r="R20" s="79">
        <v>14</v>
      </c>
      <c r="S20" s="77">
        <f t="shared" si="6"/>
        <v>0</v>
      </c>
      <c r="T20" s="77">
        <f t="shared" si="6"/>
        <v>7074.9308066292251</v>
      </c>
      <c r="U20" s="77">
        <f t="shared" si="6"/>
        <v>0</v>
      </c>
      <c r="V20" s="77">
        <f t="shared" si="6"/>
        <v>7074.9308066292251</v>
      </c>
      <c r="X20" s="80">
        <f t="shared" si="7"/>
        <v>19.239169667736441</v>
      </c>
      <c r="Y20" s="81">
        <v>14</v>
      </c>
      <c r="Z20" s="85">
        <f t="shared" si="8"/>
        <v>0</v>
      </c>
      <c r="AA20">
        <f t="shared" si="8"/>
        <v>136115.7941762351</v>
      </c>
      <c r="AB20">
        <f t="shared" si="8"/>
        <v>0</v>
      </c>
      <c r="AC20" s="86">
        <f t="shared" si="8"/>
        <v>136115.7941762351</v>
      </c>
    </row>
    <row r="21" spans="1:29" ht="15">
      <c r="A21" s="145">
        <v>14.5</v>
      </c>
      <c r="B21" s="147">
        <f>('9a-Algarve'!I28+'9a-Cadiz'!I29)</f>
        <v>69.404150038859527</v>
      </c>
      <c r="C21" s="146">
        <f>('9a-Algarve'!J28+'9a-Cadiz'!J29)</f>
        <v>1.3767159606545982</v>
      </c>
      <c r="D21" s="87"/>
      <c r="F21" s="76">
        <v>14.5</v>
      </c>
      <c r="G21" s="77">
        <f>+'9a-Algarve'!N23+'9a-Cadiz'!N23</f>
        <v>0</v>
      </c>
      <c r="H21" s="77">
        <f>+'9a-Algarve'!O23+'9a-Cadiz'!O23</f>
        <v>1</v>
      </c>
      <c r="I21" s="77">
        <f>+'9a-Algarve'!P23+'9a-Cadiz'!P23</f>
        <v>0</v>
      </c>
      <c r="J21" s="49">
        <f t="shared" si="3"/>
        <v>1</v>
      </c>
      <c r="L21" s="76">
        <v>14.5</v>
      </c>
      <c r="M21" s="77">
        <f t="shared" si="4"/>
        <v>0</v>
      </c>
      <c r="N21" s="77">
        <f t="shared" si="4"/>
        <v>1</v>
      </c>
      <c r="O21" s="77">
        <f t="shared" si="4"/>
        <v>0</v>
      </c>
      <c r="P21" s="77">
        <f t="shared" si="4"/>
        <v>1</v>
      </c>
      <c r="Q21" s="78">
        <v>14.75</v>
      </c>
      <c r="R21" s="79">
        <v>14.5</v>
      </c>
      <c r="S21" s="77">
        <f t="shared" si="6"/>
        <v>0</v>
      </c>
      <c r="T21" s="77">
        <f t="shared" si="6"/>
        <v>69.404150038859527</v>
      </c>
      <c r="U21" s="77">
        <f t="shared" si="6"/>
        <v>0</v>
      </c>
      <c r="V21" s="77">
        <f t="shared" si="6"/>
        <v>69.404150038859527</v>
      </c>
      <c r="X21" s="80">
        <f t="shared" si="7"/>
        <v>21.681856718792147</v>
      </c>
      <c r="Y21" s="81">
        <v>14.5</v>
      </c>
      <c r="Z21" s="85">
        <f t="shared" si="8"/>
        <v>0</v>
      </c>
      <c r="AA21">
        <f t="shared" si="8"/>
        <v>1504.8108368321048</v>
      </c>
      <c r="AB21">
        <f t="shared" si="8"/>
        <v>0</v>
      </c>
      <c r="AC21" s="86">
        <f t="shared" si="8"/>
        <v>1504.8108368321048</v>
      </c>
    </row>
    <row r="22" spans="1:29" ht="15">
      <c r="A22" s="145">
        <v>15</v>
      </c>
      <c r="B22" s="147">
        <f>('9a-Algarve'!I29+'9a-Cadiz'!I30)</f>
        <v>312.31867517486791</v>
      </c>
      <c r="C22" s="146">
        <f>('9a-Algarve'!J29+'9a-Cadiz'!J30)</f>
        <v>6.7802909287397508</v>
      </c>
      <c r="D22" s="87"/>
      <c r="F22" s="76">
        <v>15</v>
      </c>
      <c r="G22" s="77">
        <f>+'9a-Algarve'!N24+'9a-Cadiz'!N24</f>
        <v>0</v>
      </c>
      <c r="H22" s="77">
        <f>+'9a-Algarve'!O24+'9a-Cadiz'!O24</f>
        <v>1</v>
      </c>
      <c r="I22" s="77">
        <f>+'9a-Algarve'!P24+'9a-Cadiz'!P24</f>
        <v>0</v>
      </c>
      <c r="J22" s="49">
        <f t="shared" si="3"/>
        <v>1</v>
      </c>
      <c r="L22" s="76">
        <v>15</v>
      </c>
      <c r="M22" s="77">
        <f t="shared" si="4"/>
        <v>0</v>
      </c>
      <c r="N22" s="77">
        <f t="shared" si="4"/>
        <v>1</v>
      </c>
      <c r="O22" s="77">
        <f t="shared" si="4"/>
        <v>0</v>
      </c>
      <c r="P22" s="77">
        <f t="shared" si="4"/>
        <v>1</v>
      </c>
      <c r="Q22" s="78">
        <f t="shared" ref="Q22" si="17">+Q21+0.5</f>
        <v>15.25</v>
      </c>
      <c r="R22" s="79">
        <v>15</v>
      </c>
      <c r="S22" s="77">
        <f t="shared" si="6"/>
        <v>0</v>
      </c>
      <c r="T22" s="77">
        <f t="shared" si="6"/>
        <v>312.31867517486791</v>
      </c>
      <c r="U22" s="77">
        <f t="shared" si="6"/>
        <v>0</v>
      </c>
      <c r="V22" s="77">
        <f t="shared" si="6"/>
        <v>312.31867517486791</v>
      </c>
      <c r="X22" s="80">
        <f t="shared" si="7"/>
        <v>24.335854865215403</v>
      </c>
      <c r="Y22" s="81">
        <v>15</v>
      </c>
      <c r="Z22" s="85">
        <f t="shared" si="8"/>
        <v>0</v>
      </c>
      <c r="AA22">
        <f t="shared" si="8"/>
        <v>7600.5419507519382</v>
      </c>
      <c r="AB22">
        <f t="shared" si="8"/>
        <v>0</v>
      </c>
      <c r="AC22" s="86">
        <f t="shared" si="8"/>
        <v>7600.5419507519382</v>
      </c>
    </row>
    <row r="23" spans="1:29" ht="15">
      <c r="A23" s="145">
        <v>15.5</v>
      </c>
      <c r="B23" s="147">
        <f>('9a-Algarve'!I30+'9a-Cadiz'!I31)</f>
        <v>2394.4431763406542</v>
      </c>
      <c r="C23" s="146">
        <f>('9a-Algarve'!J30+'9a-Cadiz'!J31)</f>
        <v>56.725967821570578</v>
      </c>
      <c r="D23" s="87"/>
      <c r="F23" s="76">
        <v>15.5</v>
      </c>
      <c r="G23" s="77">
        <f>+'9a-Algarve'!N25+'9a-Cadiz'!N25</f>
        <v>0</v>
      </c>
      <c r="H23" s="77">
        <f>+'9a-Algarve'!O25+'9a-Cadiz'!O25</f>
        <v>4</v>
      </c>
      <c r="I23" s="77">
        <f>+'9a-Algarve'!P25+'9a-Cadiz'!P25</f>
        <v>0</v>
      </c>
      <c r="J23" s="49">
        <f t="shared" si="3"/>
        <v>4</v>
      </c>
      <c r="L23" s="76">
        <v>15.5</v>
      </c>
      <c r="M23" s="77">
        <f t="shared" si="4"/>
        <v>0</v>
      </c>
      <c r="N23" s="77">
        <f t="shared" si="4"/>
        <v>1</v>
      </c>
      <c r="O23" s="77">
        <f t="shared" si="4"/>
        <v>0</v>
      </c>
      <c r="P23" s="77">
        <f t="shared" si="4"/>
        <v>1</v>
      </c>
      <c r="Q23" s="78">
        <v>15.75</v>
      </c>
      <c r="R23" s="79">
        <v>15.5</v>
      </c>
      <c r="S23" s="77">
        <f t="shared" si="6"/>
        <v>0</v>
      </c>
      <c r="T23" s="77">
        <f t="shared" si="6"/>
        <v>2394.4431763406542</v>
      </c>
      <c r="U23" s="77">
        <f t="shared" si="6"/>
        <v>0</v>
      </c>
      <c r="V23" s="77">
        <f t="shared" si="6"/>
        <v>2394.4431763406542</v>
      </c>
      <c r="X23" s="80">
        <f t="shared" si="7"/>
        <v>27.211480851124382</v>
      </c>
      <c r="Y23" s="81">
        <v>15.5</v>
      </c>
      <c r="Z23" s="85">
        <f t="shared" si="8"/>
        <v>0</v>
      </c>
      <c r="AA23">
        <f t="shared" si="8"/>
        <v>65156.344642099153</v>
      </c>
      <c r="AB23">
        <f t="shared" si="8"/>
        <v>0</v>
      </c>
      <c r="AC23" s="86">
        <f t="shared" si="8"/>
        <v>65156.344642099153</v>
      </c>
    </row>
    <row r="24" spans="1:29" ht="15">
      <c r="A24" s="145">
        <v>16</v>
      </c>
      <c r="B24" s="147">
        <f>('9a-Algarve'!I31+'9a-Cadiz'!I32)</f>
        <v>4094.8448522927124</v>
      </c>
      <c r="C24" s="146">
        <f>('9a-Algarve'!J31+'9a-Cadiz'!J32)</f>
        <v>105.57386470271271</v>
      </c>
      <c r="D24" s="87"/>
      <c r="F24" s="76">
        <v>16</v>
      </c>
      <c r="G24" s="77">
        <f>+'9a-Algarve'!N26+'9a-Cadiz'!N26</f>
        <v>0</v>
      </c>
      <c r="H24" s="77">
        <f>+'9a-Algarve'!O26+'9a-Cadiz'!O26</f>
        <v>8</v>
      </c>
      <c r="I24" s="77">
        <f>+'9a-Algarve'!P26+'9a-Cadiz'!P26</f>
        <v>1</v>
      </c>
      <c r="J24" s="49">
        <f t="shared" si="3"/>
        <v>9</v>
      </c>
      <c r="L24" s="76">
        <v>16</v>
      </c>
      <c r="M24" s="77">
        <f t="shared" si="4"/>
        <v>0</v>
      </c>
      <c r="N24" s="77">
        <f t="shared" si="4"/>
        <v>0.88888888888888884</v>
      </c>
      <c r="O24" s="77">
        <f t="shared" si="4"/>
        <v>0.1111111111111111</v>
      </c>
      <c r="P24" s="77">
        <f t="shared" si="4"/>
        <v>1</v>
      </c>
      <c r="Q24" s="78">
        <f t="shared" ref="Q24" si="18">+Q23+0.5</f>
        <v>16.25</v>
      </c>
      <c r="R24" s="79">
        <v>16</v>
      </c>
      <c r="S24" s="77">
        <f t="shared" si="6"/>
        <v>0</v>
      </c>
      <c r="T24" s="77">
        <f t="shared" si="6"/>
        <v>3639.8620909268552</v>
      </c>
      <c r="U24" s="77">
        <f t="shared" si="6"/>
        <v>454.9827613658569</v>
      </c>
      <c r="V24" s="77">
        <f t="shared" si="6"/>
        <v>4094.8448522927124</v>
      </c>
      <c r="X24" s="80">
        <f t="shared" si="7"/>
        <v>30.319192090591752</v>
      </c>
      <c r="Y24" s="81">
        <v>16</v>
      </c>
      <c r="Z24" s="85">
        <f t="shared" si="8"/>
        <v>0</v>
      </c>
      <c r="AA24">
        <f t="shared" si="8"/>
        <v>110357.67791807426</v>
      </c>
      <c r="AB24">
        <f t="shared" si="8"/>
        <v>13794.709739759282</v>
      </c>
      <c r="AC24" s="86">
        <f t="shared" si="8"/>
        <v>124152.38765783356</v>
      </c>
    </row>
    <row r="25" spans="1:29" ht="15">
      <c r="A25" s="145">
        <v>16.5</v>
      </c>
      <c r="B25" s="147">
        <f>('9a-Algarve'!I32+'9a-Cadiz'!I33)</f>
        <v>5240.0133279338943</v>
      </c>
      <c r="C25" s="146">
        <f>('9a-Algarve'!J32+'9a-Cadiz'!J33)</f>
        <v>146.64909741672065</v>
      </c>
      <c r="D25" s="87"/>
      <c r="F25" s="76">
        <v>16.5</v>
      </c>
      <c r="G25" s="77">
        <f>+'9a-Algarve'!N27+'9a-Cadiz'!N27</f>
        <v>2</v>
      </c>
      <c r="H25" s="77">
        <f>+'9a-Algarve'!O27+'9a-Cadiz'!O27</f>
        <v>7</v>
      </c>
      <c r="I25" s="77">
        <f>+'9a-Algarve'!P27+'9a-Cadiz'!P27</f>
        <v>1</v>
      </c>
      <c r="J25" s="49">
        <f t="shared" si="3"/>
        <v>10</v>
      </c>
      <c r="L25" s="76">
        <v>16.5</v>
      </c>
      <c r="M25" s="77">
        <f t="shared" si="4"/>
        <v>0.2</v>
      </c>
      <c r="N25" s="77">
        <f t="shared" si="4"/>
        <v>0.7</v>
      </c>
      <c r="O25" s="77">
        <f t="shared" si="4"/>
        <v>0.1</v>
      </c>
      <c r="P25" s="77">
        <f t="shared" si="4"/>
        <v>1</v>
      </c>
      <c r="Q25" s="78">
        <v>16.75</v>
      </c>
      <c r="R25" s="79">
        <v>16.5</v>
      </c>
      <c r="S25" s="77">
        <f t="shared" si="6"/>
        <v>1048.0026655867789</v>
      </c>
      <c r="T25" s="77">
        <f t="shared" si="6"/>
        <v>3668.0093295537258</v>
      </c>
      <c r="U25" s="77">
        <f t="shared" si="6"/>
        <v>524.00133279338945</v>
      </c>
      <c r="V25" s="77">
        <f t="shared" si="6"/>
        <v>5240.0133279338943</v>
      </c>
      <c r="X25" s="80">
        <f t="shared" si="7"/>
        <v>33.669583953603642</v>
      </c>
      <c r="Y25" s="81">
        <v>16.5</v>
      </c>
      <c r="Z25" s="85">
        <f t="shared" si="8"/>
        <v>35285.813732574454</v>
      </c>
      <c r="AA25">
        <f t="shared" si="8"/>
        <v>123500.34806401058</v>
      </c>
      <c r="AB25">
        <f t="shared" si="8"/>
        <v>17642.906866287227</v>
      </c>
      <c r="AC25" s="86">
        <f t="shared" si="8"/>
        <v>176429.06866287228</v>
      </c>
    </row>
    <row r="26" spans="1:29" ht="15">
      <c r="A26" s="145">
        <v>17</v>
      </c>
      <c r="B26" s="147">
        <f>('9a-Algarve'!I33+'9a-Cadiz'!I34)</f>
        <v>8150.6951322315472</v>
      </c>
      <c r="C26" s="146">
        <f>('9a-Algarve'!J33+'9a-Cadiz'!J34)</f>
        <v>257.97251094042764</v>
      </c>
      <c r="D26" s="87"/>
      <c r="F26" s="76">
        <v>17</v>
      </c>
      <c r="G26" s="77">
        <f>+'9a-Algarve'!N28+'9a-Cadiz'!N28</f>
        <v>0</v>
      </c>
      <c r="H26" s="77">
        <f>+'9a-Algarve'!O28+'9a-Cadiz'!O28</f>
        <v>10</v>
      </c>
      <c r="I26" s="77">
        <f>+'9a-Algarve'!P28+'9a-Cadiz'!P28</f>
        <v>1</v>
      </c>
      <c r="J26" s="49">
        <f t="shared" si="3"/>
        <v>11</v>
      </c>
      <c r="L26" s="76">
        <v>17</v>
      </c>
      <c r="M26" s="77">
        <f t="shared" si="4"/>
        <v>0</v>
      </c>
      <c r="N26" s="77">
        <f t="shared" si="4"/>
        <v>0.90909090909090906</v>
      </c>
      <c r="O26" s="77">
        <f t="shared" si="4"/>
        <v>9.0909090909090912E-2</v>
      </c>
      <c r="P26" s="77">
        <f t="shared" si="4"/>
        <v>1</v>
      </c>
      <c r="Q26" s="78">
        <f t="shared" ref="Q26" si="19">+Q25+0.5</f>
        <v>17.25</v>
      </c>
      <c r="R26" s="79">
        <v>17</v>
      </c>
      <c r="S26" s="77">
        <f t="shared" si="6"/>
        <v>0</v>
      </c>
      <c r="T26" s="77">
        <f t="shared" si="6"/>
        <v>7409.7228474832245</v>
      </c>
      <c r="U26" s="77">
        <f t="shared" si="6"/>
        <v>740.97228474832252</v>
      </c>
      <c r="V26" s="77">
        <f t="shared" si="6"/>
        <v>8150.6951322315472</v>
      </c>
      <c r="X26" s="80">
        <f t="shared" si="7"/>
        <v>37.273387188192139</v>
      </c>
      <c r="Y26" s="81">
        <v>17</v>
      </c>
      <c r="Z26" s="85">
        <f t="shared" si="8"/>
        <v>0</v>
      </c>
      <c r="AA26">
        <f t="shared" si="8"/>
        <v>276185.4686514358</v>
      </c>
      <c r="AB26">
        <f t="shared" si="8"/>
        <v>27618.54686514358</v>
      </c>
      <c r="AC26" s="86">
        <f t="shared" si="8"/>
        <v>303804.01551657938</v>
      </c>
    </row>
    <row r="27" spans="1:29" ht="15">
      <c r="A27" s="145">
        <v>17.5</v>
      </c>
      <c r="B27" s="147">
        <f>('9a-Algarve'!I34+'9a-Cadiz'!I35)</f>
        <v>347.02075019429765</v>
      </c>
      <c r="C27" s="146">
        <f>('9a-Algarve'!J34+'9a-Cadiz'!J35)</f>
        <v>11.362510724651132</v>
      </c>
      <c r="D27" s="87"/>
      <c r="F27" s="76">
        <v>17.5</v>
      </c>
      <c r="G27" s="77">
        <f>+'9a-Algarve'!N29+'9a-Cadiz'!N29</f>
        <v>0</v>
      </c>
      <c r="H27" s="77">
        <f>+'9a-Algarve'!O29+'9a-Cadiz'!O29</f>
        <v>14</v>
      </c>
      <c r="I27" s="77">
        <f>+'9a-Algarve'!P29+'9a-Cadiz'!P29</f>
        <v>6</v>
      </c>
      <c r="J27" s="49">
        <f t="shared" si="3"/>
        <v>20</v>
      </c>
      <c r="L27" s="76">
        <v>17.5</v>
      </c>
      <c r="M27" s="77">
        <f t="shared" si="4"/>
        <v>0</v>
      </c>
      <c r="N27" s="77">
        <f t="shared" si="4"/>
        <v>0.7</v>
      </c>
      <c r="O27" s="77">
        <f t="shared" si="4"/>
        <v>0.3</v>
      </c>
      <c r="P27" s="77">
        <f t="shared" si="4"/>
        <v>1</v>
      </c>
      <c r="Q27" s="78">
        <v>17.75</v>
      </c>
      <c r="R27" s="79">
        <v>17.5</v>
      </c>
      <c r="S27" s="77">
        <f t="shared" si="6"/>
        <v>0</v>
      </c>
      <c r="T27" s="77">
        <f t="shared" si="6"/>
        <v>242.91452513600834</v>
      </c>
      <c r="U27" s="77">
        <f t="shared" si="6"/>
        <v>104.1062250582893</v>
      </c>
      <c r="V27" s="77">
        <f t="shared" si="6"/>
        <v>347.02075019429765</v>
      </c>
      <c r="X27" s="80">
        <f t="shared" si="7"/>
        <v>41.141465467956529</v>
      </c>
      <c r="Y27" s="81">
        <v>17.5</v>
      </c>
      <c r="Z27" s="85">
        <f t="shared" si="8"/>
        <v>0</v>
      </c>
      <c r="AA27">
        <f t="shared" si="8"/>
        <v>9993.8595475481452</v>
      </c>
      <c r="AB27">
        <f t="shared" si="8"/>
        <v>4283.0826632349199</v>
      </c>
      <c r="AC27" s="86">
        <f t="shared" si="8"/>
        <v>14276.942210783065</v>
      </c>
    </row>
    <row r="28" spans="1:29" ht="15">
      <c r="A28" s="145">
        <v>18</v>
      </c>
      <c r="B28" s="147">
        <f>('9a-Algarve'!I35+'9a-Cadiz'!I36)</f>
        <v>7248.4411817263735</v>
      </c>
      <c r="C28" s="146">
        <f>('9a-Algarve'!J35+'9a-Cadiz'!J36)</f>
        <v>275.25674822638967</v>
      </c>
      <c r="F28" s="76">
        <v>18</v>
      </c>
      <c r="G28" s="77">
        <f>+'9a-Algarve'!N30+'9a-Cadiz'!N30</f>
        <v>0</v>
      </c>
      <c r="H28" s="77">
        <f>+'9a-Algarve'!O30+'9a-Cadiz'!O30</f>
        <v>1</v>
      </c>
      <c r="I28" s="77">
        <f>+'9a-Algarve'!P30+'9a-Cadiz'!P30</f>
        <v>0</v>
      </c>
      <c r="J28" s="49">
        <f t="shared" si="3"/>
        <v>1</v>
      </c>
      <c r="L28" s="76">
        <v>18</v>
      </c>
      <c r="M28" s="77">
        <f t="shared" si="4"/>
        <v>0</v>
      </c>
      <c r="N28" s="77">
        <f t="shared" si="4"/>
        <v>1</v>
      </c>
      <c r="O28" s="77">
        <f t="shared" si="4"/>
        <v>0</v>
      </c>
      <c r="P28" s="77">
        <f t="shared" si="4"/>
        <v>1</v>
      </c>
      <c r="Q28" s="78">
        <f t="shared" ref="Q28" si="20">+Q27+0.5</f>
        <v>18.25</v>
      </c>
      <c r="R28" s="79">
        <v>18</v>
      </c>
      <c r="S28" s="77">
        <f t="shared" si="6"/>
        <v>0</v>
      </c>
      <c r="T28" s="77">
        <f t="shared" si="6"/>
        <v>7248.4411817263735</v>
      </c>
      <c r="U28" s="77">
        <f t="shared" si="6"/>
        <v>0</v>
      </c>
      <c r="V28" s="77">
        <f t="shared" si="6"/>
        <v>7248.4411817263735</v>
      </c>
      <c r="X28" s="80">
        <f t="shared" si="7"/>
        <v>45.284813055338901</v>
      </c>
      <c r="Y28" s="81">
        <v>18</v>
      </c>
      <c r="Z28" s="85">
        <f t="shared" si="8"/>
        <v>0</v>
      </c>
      <c r="AA28">
        <f t="shared" si="8"/>
        <v>328244.30385709862</v>
      </c>
      <c r="AB28">
        <f t="shared" si="8"/>
        <v>0</v>
      </c>
      <c r="AC28" s="86">
        <f t="shared" si="8"/>
        <v>328244.30385709862</v>
      </c>
    </row>
    <row r="29" spans="1:29" ht="15">
      <c r="A29" s="145">
        <v>18.5</v>
      </c>
      <c r="B29" s="147">
        <f>('9a-Algarve'!I36+'9a-Cadiz'!I37)</f>
        <v>0</v>
      </c>
      <c r="C29" s="146">
        <f>('9a-Algarve'!J36+'9a-Cadiz'!J37)</f>
        <v>0</v>
      </c>
      <c r="F29" s="76">
        <v>18.5</v>
      </c>
      <c r="G29" s="77">
        <f>+'9a-Algarve'!N31+'9a-Cadiz'!N31</f>
        <v>0</v>
      </c>
      <c r="H29" s="77">
        <f>+'9a-Algarve'!O31+'9a-Cadiz'!O31</f>
        <v>2</v>
      </c>
      <c r="I29" s="77">
        <f>+'9a-Algarve'!P31+'9a-Cadiz'!P31</f>
        <v>2</v>
      </c>
      <c r="J29" s="49">
        <f t="shared" si="3"/>
        <v>4</v>
      </c>
      <c r="L29" s="76">
        <v>18.5</v>
      </c>
      <c r="M29" s="77">
        <f t="shared" si="4"/>
        <v>0</v>
      </c>
      <c r="N29" s="77">
        <f t="shared" si="4"/>
        <v>0.5</v>
      </c>
      <c r="O29" s="77">
        <f t="shared" si="4"/>
        <v>0.5</v>
      </c>
      <c r="P29" s="77">
        <f t="shared" si="4"/>
        <v>1</v>
      </c>
      <c r="Q29" s="78">
        <v>18.75</v>
      </c>
      <c r="R29" s="79">
        <v>18.5</v>
      </c>
      <c r="S29" s="77">
        <f t="shared" si="6"/>
        <v>0</v>
      </c>
      <c r="T29" s="77">
        <f t="shared" si="6"/>
        <v>0</v>
      </c>
      <c r="U29" s="77">
        <f t="shared" si="6"/>
        <v>0</v>
      </c>
      <c r="V29" s="77">
        <f t="shared" si="6"/>
        <v>0</v>
      </c>
      <c r="X29" s="80">
        <f t="shared" si="7"/>
        <v>49.714552572016608</v>
      </c>
      <c r="Y29" s="81">
        <v>18.5</v>
      </c>
      <c r="Z29" s="85">
        <f t="shared" si="8"/>
        <v>0</v>
      </c>
      <c r="AA29">
        <f t="shared" si="8"/>
        <v>0</v>
      </c>
      <c r="AB29">
        <f t="shared" si="8"/>
        <v>0</v>
      </c>
      <c r="AC29" s="86">
        <f t="shared" si="8"/>
        <v>0</v>
      </c>
    </row>
    <row r="30" spans="1:29" ht="15">
      <c r="A30" s="145">
        <v>19</v>
      </c>
      <c r="B30" s="147">
        <f>('9a-Algarve'!I37+'9a-Cadiz'!I38)</f>
        <v>173.51037509714882</v>
      </c>
      <c r="C30" s="146">
        <f>('9a-Algarve'!J37+'9a-Cadiz'!J38)</f>
        <v>7.0764974342187861</v>
      </c>
      <c r="F30" s="76">
        <v>19</v>
      </c>
      <c r="G30" s="77">
        <v>0</v>
      </c>
      <c r="H30" s="77">
        <v>0</v>
      </c>
      <c r="I30" s="77">
        <v>0</v>
      </c>
      <c r="J30" s="49">
        <f t="shared" si="3"/>
        <v>0</v>
      </c>
      <c r="L30" s="76">
        <v>19</v>
      </c>
      <c r="M30" s="77">
        <f t="shared" si="4"/>
        <v>0</v>
      </c>
      <c r="N30" s="77">
        <f t="shared" si="4"/>
        <v>0</v>
      </c>
      <c r="O30" s="77">
        <f t="shared" si="4"/>
        <v>0</v>
      </c>
      <c r="P30" s="77">
        <f t="shared" si="4"/>
        <v>0</v>
      </c>
      <c r="Q30" s="78">
        <f t="shared" ref="Q30" si="21">+Q29+0.5</f>
        <v>19.25</v>
      </c>
      <c r="R30" s="79">
        <v>19</v>
      </c>
      <c r="S30" s="77">
        <f t="shared" si="6"/>
        <v>0</v>
      </c>
      <c r="T30" s="77">
        <f t="shared" si="6"/>
        <v>0</v>
      </c>
      <c r="U30" s="77">
        <f t="shared" si="6"/>
        <v>0</v>
      </c>
      <c r="V30" s="77">
        <f t="shared" si="6"/>
        <v>0</v>
      </c>
      <c r="X30" s="80">
        <f t="shared" si="7"/>
        <v>54.441932868640194</v>
      </c>
      <c r="Y30" s="81">
        <v>19</v>
      </c>
      <c r="Z30" s="85">
        <f t="shared" si="8"/>
        <v>0</v>
      </c>
      <c r="AA30">
        <f t="shared" si="8"/>
        <v>0</v>
      </c>
      <c r="AB30">
        <f t="shared" si="8"/>
        <v>0</v>
      </c>
      <c r="AC30" s="86">
        <f t="shared" si="8"/>
        <v>0</v>
      </c>
    </row>
    <row r="31" spans="1:29" ht="15">
      <c r="A31" s="49">
        <v>19.5</v>
      </c>
      <c r="B31" s="147">
        <f>('9a-Algarve'!I38+'9a-Cadiz'!I39)</f>
        <v>0</v>
      </c>
      <c r="C31" s="116">
        <f>('9a-Algarve'!J38+'9a-Cadiz'!J39)</f>
        <v>0</v>
      </c>
      <c r="F31" s="76">
        <v>19.5</v>
      </c>
      <c r="G31" s="77">
        <v>0</v>
      </c>
      <c r="H31" s="77">
        <v>0</v>
      </c>
      <c r="I31" s="77">
        <v>0</v>
      </c>
      <c r="J31" s="49">
        <f t="shared" si="3"/>
        <v>0</v>
      </c>
      <c r="L31" s="76">
        <v>19.5</v>
      </c>
      <c r="M31" s="77">
        <f t="shared" si="4"/>
        <v>0</v>
      </c>
      <c r="N31" s="77">
        <f t="shared" si="4"/>
        <v>0</v>
      </c>
      <c r="O31" s="77">
        <f t="shared" si="4"/>
        <v>0</v>
      </c>
      <c r="P31" s="77">
        <f t="shared" si="4"/>
        <v>0</v>
      </c>
      <c r="Q31" s="78">
        <v>19.75</v>
      </c>
      <c r="R31" s="79">
        <v>19.5</v>
      </c>
      <c r="S31" s="77">
        <f t="shared" si="6"/>
        <v>0</v>
      </c>
      <c r="T31" s="77">
        <f t="shared" si="6"/>
        <v>0</v>
      </c>
      <c r="U31" s="77">
        <f t="shared" si="6"/>
        <v>0</v>
      </c>
      <c r="V31" s="77">
        <f t="shared" si="6"/>
        <v>0</v>
      </c>
      <c r="X31" s="80">
        <f t="shared" si="7"/>
        <v>59.478326986907831</v>
      </c>
      <c r="Y31" s="81">
        <v>19.5</v>
      </c>
      <c r="Z31" s="85">
        <f t="shared" si="8"/>
        <v>0</v>
      </c>
      <c r="AA31">
        <f t="shared" si="8"/>
        <v>0</v>
      </c>
      <c r="AB31">
        <f t="shared" si="8"/>
        <v>0</v>
      </c>
      <c r="AC31" s="86">
        <f t="shared" si="8"/>
        <v>0</v>
      </c>
    </row>
    <row r="32" spans="1:29" ht="15">
      <c r="A32" s="49">
        <v>20</v>
      </c>
      <c r="B32" s="147">
        <f>('9a-Algarve'!I39+'9a-Cadiz'!I40)</f>
        <v>0</v>
      </c>
      <c r="C32" s="116">
        <f>('9a-Algarve'!J39+'9a-Cadiz'!J40)</f>
        <v>0</v>
      </c>
      <c r="F32" s="76">
        <v>20</v>
      </c>
      <c r="G32" s="77">
        <v>0</v>
      </c>
      <c r="H32" s="77">
        <v>0</v>
      </c>
      <c r="I32" s="77">
        <v>0</v>
      </c>
      <c r="J32" s="49">
        <f t="shared" si="3"/>
        <v>0</v>
      </c>
      <c r="L32" s="76">
        <v>20</v>
      </c>
      <c r="M32" s="77">
        <f t="shared" si="4"/>
        <v>0</v>
      </c>
      <c r="N32" s="77">
        <f t="shared" si="4"/>
        <v>0</v>
      </c>
      <c r="O32" s="77">
        <f t="shared" si="4"/>
        <v>0</v>
      </c>
      <c r="P32" s="77">
        <f t="shared" si="4"/>
        <v>0</v>
      </c>
      <c r="Q32" s="78">
        <f t="shared" ref="Q32" si="22">+Q31+0.5</f>
        <v>20.25</v>
      </c>
      <c r="R32" s="79">
        <v>20</v>
      </c>
      <c r="S32" s="77">
        <f t="shared" si="6"/>
        <v>0</v>
      </c>
      <c r="T32" s="77">
        <f t="shared" si="6"/>
        <v>0</v>
      </c>
      <c r="U32" s="77">
        <f t="shared" si="6"/>
        <v>0</v>
      </c>
      <c r="V32" s="77">
        <f t="shared" si="6"/>
        <v>0</v>
      </c>
      <c r="X32" s="80">
        <f t="shared" si="7"/>
        <v>64.835230207633757</v>
      </c>
      <c r="Y32" s="81">
        <v>20</v>
      </c>
      <c r="Z32" s="85">
        <f t="shared" si="8"/>
        <v>0</v>
      </c>
      <c r="AA32">
        <f t="shared" si="8"/>
        <v>0</v>
      </c>
      <c r="AB32">
        <f t="shared" si="8"/>
        <v>0</v>
      </c>
      <c r="AC32" s="86">
        <f t="shared" si="8"/>
        <v>0</v>
      </c>
    </row>
    <row r="33" spans="1:35" ht="15">
      <c r="A33" s="49">
        <v>20.5</v>
      </c>
      <c r="B33" s="147">
        <f>('9a-Algarve'!I40+'9a-Cadiz'!I41)</f>
        <v>0</v>
      </c>
      <c r="C33" s="116">
        <f>('9a-Algarve'!J40+'9a-Cadiz'!J41)</f>
        <v>0</v>
      </c>
      <c r="F33" s="76">
        <v>20.5</v>
      </c>
      <c r="G33" s="77">
        <v>0</v>
      </c>
      <c r="H33" s="77">
        <v>0</v>
      </c>
      <c r="I33" s="77">
        <v>0</v>
      </c>
      <c r="J33" s="49">
        <f t="shared" si="3"/>
        <v>0</v>
      </c>
      <c r="L33" s="76">
        <v>20.5</v>
      </c>
      <c r="M33" s="77">
        <f t="shared" si="4"/>
        <v>0</v>
      </c>
      <c r="N33" s="77">
        <f t="shared" si="4"/>
        <v>0</v>
      </c>
      <c r="O33" s="77">
        <f t="shared" si="4"/>
        <v>0</v>
      </c>
      <c r="P33" s="77">
        <f t="shared" si="4"/>
        <v>0</v>
      </c>
      <c r="Q33" s="78">
        <v>20.75</v>
      </c>
      <c r="R33" s="79">
        <v>20.5</v>
      </c>
      <c r="S33" s="77">
        <f t="shared" si="6"/>
        <v>0</v>
      </c>
      <c r="T33" s="77">
        <f t="shared" si="6"/>
        <v>0</v>
      </c>
      <c r="U33" s="77">
        <f t="shared" si="6"/>
        <v>0</v>
      </c>
      <c r="V33" s="77">
        <f t="shared" si="6"/>
        <v>0</v>
      </c>
      <c r="X33" s="80">
        <f t="shared" si="7"/>
        <v>70.524258179055451</v>
      </c>
      <c r="Y33" s="81">
        <v>20.5</v>
      </c>
      <c r="Z33" s="85">
        <f t="shared" si="8"/>
        <v>0</v>
      </c>
      <c r="AA33">
        <f t="shared" si="8"/>
        <v>0</v>
      </c>
      <c r="AB33">
        <f t="shared" si="8"/>
        <v>0</v>
      </c>
      <c r="AC33" s="86">
        <f t="shared" si="8"/>
        <v>0</v>
      </c>
    </row>
    <row r="34" spans="1:35" ht="15">
      <c r="A34" s="49">
        <v>21</v>
      </c>
      <c r="B34" s="147">
        <f>('9a-Algarve'!I41+'9a-Cadiz'!I42)</f>
        <v>0</v>
      </c>
      <c r="C34" s="116">
        <f>('9a-Algarve'!J41+'9a-Cadiz'!J42)</f>
        <v>0</v>
      </c>
      <c r="F34" s="76">
        <v>21</v>
      </c>
      <c r="G34" s="77">
        <v>0</v>
      </c>
      <c r="H34" s="77">
        <v>0</v>
      </c>
      <c r="I34" s="77">
        <v>0</v>
      </c>
      <c r="J34" s="49">
        <f t="shared" si="3"/>
        <v>0</v>
      </c>
      <c r="L34" s="76">
        <v>21</v>
      </c>
      <c r="M34" s="77">
        <f t="shared" si="4"/>
        <v>0</v>
      </c>
      <c r="N34" s="77">
        <f t="shared" si="4"/>
        <v>0</v>
      </c>
      <c r="O34" s="77">
        <f t="shared" si="4"/>
        <v>0</v>
      </c>
      <c r="P34" s="77">
        <f t="shared" si="4"/>
        <v>0</v>
      </c>
      <c r="Q34" s="78">
        <f t="shared" ref="Q34" si="23">+Q33+0.5</f>
        <v>21.25</v>
      </c>
      <c r="R34" s="79">
        <v>21</v>
      </c>
      <c r="S34" s="77">
        <f t="shared" si="6"/>
        <v>0</v>
      </c>
      <c r="T34" s="77">
        <f t="shared" si="6"/>
        <v>0</v>
      </c>
      <c r="U34" s="77">
        <f t="shared" si="6"/>
        <v>0</v>
      </c>
      <c r="V34" s="77">
        <f t="shared" si="6"/>
        <v>0</v>
      </c>
      <c r="X34" s="80">
        <f t="shared" si="7"/>
        <v>76.557145120145293</v>
      </c>
      <c r="Y34" s="81">
        <v>21</v>
      </c>
      <c r="Z34" s="85">
        <f t="shared" si="8"/>
        <v>0</v>
      </c>
      <c r="AA34">
        <f t="shared" si="8"/>
        <v>0</v>
      </c>
      <c r="AB34">
        <f t="shared" si="8"/>
        <v>0</v>
      </c>
      <c r="AC34" s="86">
        <f t="shared" si="8"/>
        <v>0</v>
      </c>
    </row>
    <row r="35" spans="1:35" ht="15">
      <c r="A35" s="49">
        <v>21.5</v>
      </c>
      <c r="B35" s="147">
        <f>('9a-Algarve'!I42+'9a-Cadiz'!I43)</f>
        <v>0</v>
      </c>
      <c r="C35" s="116">
        <f>('9a-Algarve'!J42+'9a-Cadiz'!J43)</f>
        <v>0</v>
      </c>
      <c r="F35" s="76">
        <v>21.5</v>
      </c>
      <c r="G35" s="77">
        <v>0</v>
      </c>
      <c r="H35" s="77">
        <v>0</v>
      </c>
      <c r="I35" s="77">
        <v>0</v>
      </c>
      <c r="J35" s="49">
        <f t="shared" si="3"/>
        <v>0</v>
      </c>
      <c r="L35" s="76">
        <v>21.5</v>
      </c>
      <c r="M35" s="77">
        <f t="shared" si="4"/>
        <v>0</v>
      </c>
      <c r="N35" s="77">
        <f t="shared" si="4"/>
        <v>0</v>
      </c>
      <c r="O35" s="77">
        <f t="shared" si="4"/>
        <v>0</v>
      </c>
      <c r="P35" s="77">
        <f t="shared" si="4"/>
        <v>0</v>
      </c>
      <c r="R35" s="79">
        <v>21.5</v>
      </c>
      <c r="S35" s="77">
        <f t="shared" si="6"/>
        <v>0</v>
      </c>
      <c r="T35" s="77">
        <f t="shared" si="6"/>
        <v>0</v>
      </c>
      <c r="U35" s="77">
        <f t="shared" si="6"/>
        <v>0</v>
      </c>
      <c r="V35" s="77">
        <f t="shared" si="6"/>
        <v>0</v>
      </c>
      <c r="X35" s="80">
        <f t="shared" si="7"/>
        <v>82.945742094156429</v>
      </c>
      <c r="Y35" s="81">
        <v>21.5</v>
      </c>
      <c r="Z35" s="85">
        <f t="shared" si="8"/>
        <v>0</v>
      </c>
      <c r="AA35">
        <f t="shared" si="8"/>
        <v>0</v>
      </c>
      <c r="AB35">
        <f t="shared" si="8"/>
        <v>0</v>
      </c>
      <c r="AC35" s="86">
        <f t="shared" si="8"/>
        <v>0</v>
      </c>
    </row>
    <row r="36" spans="1:35" ht="15">
      <c r="A36" s="49">
        <v>22</v>
      </c>
      <c r="B36" s="147">
        <f>('9a-Algarve'!I43+'9a-Cadiz'!I44)</f>
        <v>0</v>
      </c>
      <c r="C36" s="116">
        <f>('9a-Algarve'!J43+'9a-Cadiz'!J44)</f>
        <v>0</v>
      </c>
      <c r="F36" s="76">
        <v>22</v>
      </c>
      <c r="G36" s="77">
        <v>0</v>
      </c>
      <c r="H36" s="77">
        <v>0</v>
      </c>
      <c r="I36" s="77">
        <v>0</v>
      </c>
      <c r="J36" s="49">
        <f t="shared" si="3"/>
        <v>0</v>
      </c>
      <c r="L36" s="76">
        <v>22</v>
      </c>
      <c r="M36" s="77">
        <f t="shared" si="4"/>
        <v>0</v>
      </c>
      <c r="N36" s="77">
        <f t="shared" si="4"/>
        <v>0</v>
      </c>
      <c r="O36" s="77">
        <f t="shared" si="4"/>
        <v>0</v>
      </c>
      <c r="P36" s="77">
        <f t="shared" si="4"/>
        <v>0</v>
      </c>
      <c r="R36" s="79">
        <v>22</v>
      </c>
      <c r="S36" s="77">
        <f t="shared" si="6"/>
        <v>0</v>
      </c>
      <c r="T36" s="77">
        <f t="shared" si="6"/>
        <v>0</v>
      </c>
      <c r="U36" s="77">
        <f t="shared" si="6"/>
        <v>0</v>
      </c>
      <c r="V36" s="77">
        <f t="shared" si="6"/>
        <v>0</v>
      </c>
      <c r="X36" s="80">
        <f t="shared" si="7"/>
        <v>89.702015348036781</v>
      </c>
      <c r="Y36" s="81">
        <v>22</v>
      </c>
      <c r="Z36" s="85">
        <f t="shared" si="8"/>
        <v>0</v>
      </c>
      <c r="AA36">
        <f t="shared" si="8"/>
        <v>0</v>
      </c>
      <c r="AB36">
        <f t="shared" si="8"/>
        <v>0</v>
      </c>
      <c r="AC36" s="86">
        <f t="shared" si="8"/>
        <v>0</v>
      </c>
    </row>
    <row r="37" spans="1:35" ht="15">
      <c r="A37" s="49">
        <v>22.5</v>
      </c>
      <c r="B37" s="49"/>
      <c r="C37" s="116"/>
      <c r="F37" s="76">
        <v>22.5</v>
      </c>
      <c r="G37" s="77">
        <v>0</v>
      </c>
      <c r="H37" s="77">
        <v>0</v>
      </c>
      <c r="I37" s="77">
        <v>0</v>
      </c>
      <c r="J37" s="49">
        <f t="shared" si="3"/>
        <v>0</v>
      </c>
      <c r="L37" s="76">
        <v>22.5</v>
      </c>
      <c r="M37" s="77">
        <f t="shared" si="4"/>
        <v>0</v>
      </c>
      <c r="N37" s="77">
        <f t="shared" si="4"/>
        <v>0</v>
      </c>
      <c r="O37" s="77">
        <f t="shared" si="4"/>
        <v>0</v>
      </c>
      <c r="P37" s="77">
        <f t="shared" si="4"/>
        <v>0</v>
      </c>
      <c r="R37" s="79">
        <v>22.5</v>
      </c>
      <c r="S37" s="77">
        <f t="shared" si="6"/>
        <v>0</v>
      </c>
      <c r="T37" s="77">
        <f t="shared" si="6"/>
        <v>0</v>
      </c>
      <c r="U37" s="77">
        <f t="shared" si="6"/>
        <v>0</v>
      </c>
      <c r="V37" s="77">
        <f t="shared" si="6"/>
        <v>0</v>
      </c>
      <c r="X37" s="80">
        <f t="shared" si="7"/>
        <v>96.838044713718901</v>
      </c>
      <c r="Y37" s="81">
        <v>22.5</v>
      </c>
      <c r="Z37" s="85">
        <f t="shared" si="8"/>
        <v>0</v>
      </c>
      <c r="AA37">
        <f t="shared" si="8"/>
        <v>0</v>
      </c>
      <c r="AB37">
        <f t="shared" si="8"/>
        <v>0</v>
      </c>
      <c r="AC37" s="86">
        <f t="shared" si="8"/>
        <v>0</v>
      </c>
    </row>
    <row r="38" spans="1:35" ht="15">
      <c r="A38" s="49">
        <v>23</v>
      </c>
      <c r="B38" s="49"/>
      <c r="C38" s="116"/>
      <c r="F38" s="76">
        <v>23</v>
      </c>
      <c r="G38" s="77">
        <v>0</v>
      </c>
      <c r="H38" s="77">
        <v>0</v>
      </c>
      <c r="I38" s="77">
        <v>0</v>
      </c>
      <c r="J38" s="49">
        <f t="shared" si="3"/>
        <v>0</v>
      </c>
      <c r="L38" s="76">
        <v>23</v>
      </c>
      <c r="M38" s="77">
        <f t="shared" si="4"/>
        <v>0</v>
      </c>
      <c r="N38" s="77">
        <f t="shared" si="4"/>
        <v>0</v>
      </c>
      <c r="O38" s="77">
        <f t="shared" si="4"/>
        <v>0</v>
      </c>
      <c r="P38" s="77">
        <f t="shared" si="4"/>
        <v>0</v>
      </c>
      <c r="R38" s="79">
        <v>23</v>
      </c>
      <c r="S38" s="77">
        <f t="shared" si="6"/>
        <v>0</v>
      </c>
      <c r="T38" s="77">
        <f t="shared" si="6"/>
        <v>0</v>
      </c>
      <c r="U38" s="77">
        <f t="shared" si="6"/>
        <v>0</v>
      </c>
      <c r="V38" s="77">
        <f t="shared" si="6"/>
        <v>0</v>
      </c>
      <c r="X38" s="80">
        <f t="shared" si="7"/>
        <v>104.36602206762051</v>
      </c>
      <c r="Y38" s="81">
        <v>23</v>
      </c>
      <c r="Z38" s="85">
        <f t="shared" si="8"/>
        <v>0</v>
      </c>
      <c r="AA38">
        <f t="shared" si="8"/>
        <v>0</v>
      </c>
      <c r="AB38">
        <f t="shared" si="8"/>
        <v>0</v>
      </c>
      <c r="AC38" s="86">
        <f t="shared" si="8"/>
        <v>0</v>
      </c>
    </row>
    <row r="39" spans="1:35" ht="15">
      <c r="A39" s="49">
        <v>23.5</v>
      </c>
      <c r="B39" s="49"/>
      <c r="C39" s="116"/>
      <c r="F39" s="76">
        <v>23.5</v>
      </c>
      <c r="G39" s="77">
        <v>0</v>
      </c>
      <c r="H39" s="77">
        <v>0</v>
      </c>
      <c r="I39" s="77">
        <v>0</v>
      </c>
      <c r="J39" s="49">
        <f t="shared" si="3"/>
        <v>0</v>
      </c>
      <c r="L39" s="76">
        <v>23.5</v>
      </c>
      <c r="M39" s="77">
        <f t="shared" si="4"/>
        <v>0</v>
      </c>
      <c r="N39" s="77">
        <f t="shared" si="4"/>
        <v>0</v>
      </c>
      <c r="O39" s="77">
        <f t="shared" si="4"/>
        <v>0</v>
      </c>
      <c r="P39" s="77">
        <f t="shared" si="4"/>
        <v>0</v>
      </c>
      <c r="R39" s="79">
        <v>23.5</v>
      </c>
      <c r="S39" s="77">
        <f t="shared" si="6"/>
        <v>0</v>
      </c>
      <c r="T39" s="77">
        <f t="shared" si="6"/>
        <v>0</v>
      </c>
      <c r="U39" s="77">
        <f t="shared" si="6"/>
        <v>0</v>
      </c>
      <c r="V39" s="77">
        <f t="shared" si="6"/>
        <v>0</v>
      </c>
      <c r="X39" s="80">
        <f t="shared" si="7"/>
        <v>112.29824984497606</v>
      </c>
      <c r="Y39" s="81">
        <v>23.5</v>
      </c>
      <c r="Z39" s="85">
        <f t="shared" si="8"/>
        <v>0</v>
      </c>
      <c r="AA39">
        <f t="shared" si="8"/>
        <v>0</v>
      </c>
      <c r="AB39">
        <f t="shared" si="8"/>
        <v>0</v>
      </c>
      <c r="AC39" s="86">
        <f t="shared" si="8"/>
        <v>0</v>
      </c>
    </row>
    <row r="40" spans="1:35" ht="16" thickBot="1">
      <c r="A40" s="49">
        <v>24</v>
      </c>
      <c r="B40" s="49"/>
      <c r="C40" s="116"/>
      <c r="F40" s="88">
        <v>24</v>
      </c>
      <c r="G40" s="77">
        <v>0</v>
      </c>
      <c r="H40" s="77">
        <v>0</v>
      </c>
      <c r="I40" s="77">
        <v>0</v>
      </c>
      <c r="J40" s="89">
        <f t="shared" si="3"/>
        <v>0</v>
      </c>
      <c r="L40" s="88">
        <v>24</v>
      </c>
      <c r="M40" s="90">
        <f t="shared" si="4"/>
        <v>0</v>
      </c>
      <c r="N40" s="90">
        <f t="shared" si="4"/>
        <v>0</v>
      </c>
      <c r="O40" s="90">
        <f t="shared" si="4"/>
        <v>0</v>
      </c>
      <c r="P40" s="90">
        <f t="shared" si="4"/>
        <v>0</v>
      </c>
      <c r="R40" s="91">
        <v>24</v>
      </c>
      <c r="S40" s="90">
        <f t="shared" si="6"/>
        <v>0</v>
      </c>
      <c r="T40" s="90">
        <f t="shared" si="6"/>
        <v>0</v>
      </c>
      <c r="U40" s="90">
        <f t="shared" si="6"/>
        <v>0</v>
      </c>
      <c r="V40" s="90">
        <f t="shared" si="6"/>
        <v>0</v>
      </c>
      <c r="X40" s="80">
        <f t="shared" si="7"/>
        <v>120.64713960589992</v>
      </c>
      <c r="Y40" s="92">
        <v>24</v>
      </c>
      <c r="Z40" s="93">
        <f t="shared" si="8"/>
        <v>0</v>
      </c>
      <c r="AA40" s="94">
        <f t="shared" si="8"/>
        <v>0</v>
      </c>
      <c r="AB40" s="94">
        <f t="shared" si="8"/>
        <v>0</v>
      </c>
      <c r="AC40" s="95">
        <f t="shared" si="8"/>
        <v>0</v>
      </c>
    </row>
    <row r="41" spans="1:35" ht="16" thickBot="1">
      <c r="A41" s="49">
        <v>24.5</v>
      </c>
      <c r="B41" s="49"/>
      <c r="C41" s="116"/>
      <c r="F41" s="96" t="s">
        <v>26</v>
      </c>
      <c r="G41" s="97">
        <f>+SUM(G3:G40)</f>
        <v>97</v>
      </c>
      <c r="H41" s="97">
        <f t="shared" ref="H41:I41" si="24">+SUM(H3:H40)</f>
        <v>55</v>
      </c>
      <c r="I41" s="97">
        <f t="shared" si="24"/>
        <v>11</v>
      </c>
      <c r="J41" s="98">
        <f>+SUM(J3:J40)</f>
        <v>163</v>
      </c>
      <c r="L41" s="96" t="s">
        <v>26</v>
      </c>
      <c r="M41" s="99">
        <f t="shared" si="4"/>
        <v>0.59509202453987731</v>
      </c>
      <c r="N41" s="99">
        <f t="shared" si="4"/>
        <v>0.33742331288343558</v>
      </c>
      <c r="O41" s="99">
        <f t="shared" si="4"/>
        <v>6.7484662576687116E-2</v>
      </c>
      <c r="P41" s="100">
        <f t="shared" si="4"/>
        <v>1</v>
      </c>
      <c r="R41" s="101" t="s">
        <v>26</v>
      </c>
      <c r="S41" s="102">
        <f>+SUM(S3:S40)</f>
        <v>3310775.6711516567</v>
      </c>
      <c r="T41" s="102">
        <f t="shared" ref="T41:V41" si="25">+SUM(T3:T40)</f>
        <v>61699.719025933744</v>
      </c>
      <c r="U41" s="102">
        <f t="shared" si="25"/>
        <v>1824.062603965858</v>
      </c>
      <c r="V41" s="103">
        <f>+SUM(V3:V40)</f>
        <v>3374299.4527815566</v>
      </c>
      <c r="W41" s="104">
        <f>+B44</f>
        <v>3551346.2333223843</v>
      </c>
      <c r="X41" s="105"/>
      <c r="Y41" s="106" t="s">
        <v>3</v>
      </c>
      <c r="Z41" s="107">
        <f>+SUM(Z3:Z40)</f>
        <v>25306800.176609449</v>
      </c>
      <c r="AA41" s="107">
        <f t="shared" ref="AA41:AC41" si="26">+SUM(AA3:AA40)</f>
        <v>1414860.5772565336</v>
      </c>
      <c r="AB41" s="107">
        <f t="shared" si="26"/>
        <v>63339.246134425011</v>
      </c>
      <c r="AC41" s="107">
        <f t="shared" si="26"/>
        <v>26785000.000000402</v>
      </c>
      <c r="AD41" s="108">
        <f>+C44</f>
        <v>26785.491836169433</v>
      </c>
      <c r="AE41" s="107">
        <f>+AC41/1000</f>
        <v>26785.000000000404</v>
      </c>
    </row>
    <row r="42" spans="1:35" ht="16" thickBot="1">
      <c r="A42" s="49">
        <v>25</v>
      </c>
      <c r="B42" s="49"/>
      <c r="C42" s="116"/>
      <c r="R42" s="109" t="s">
        <v>27</v>
      </c>
      <c r="S42" s="110">
        <f>SUMPRODUCT(S3:S40, $R$3:$R$40)/S41</f>
        <v>10.556269824766728</v>
      </c>
      <c r="T42" s="110">
        <f>SUMPRODUCT(T3:T40, $R$3:$R$40)/T41</f>
        <v>14.302257691336141</v>
      </c>
      <c r="U42" s="110">
        <f t="shared" ref="U42:V42" si="27">SUMPRODUCT(U3:U40, $R$3:$R$40)/U41</f>
        <v>16.635467382650287</v>
      </c>
      <c r="V42" s="110">
        <f t="shared" si="27"/>
        <v>10.62805220186716</v>
      </c>
      <c r="X42" s="105"/>
      <c r="Y42" s="111" t="s">
        <v>33</v>
      </c>
      <c r="Z42" s="112">
        <f>IF(S41&gt;0,Z41/S41,0)</f>
        <v>7.6437677119351468</v>
      </c>
      <c r="AA42" s="112">
        <f t="shared" ref="AA42:AC42" si="28">IF(T41&gt;0,AA41/T41,0)</f>
        <v>22.931394171533206</v>
      </c>
      <c r="AB42" s="112">
        <f t="shared" si="28"/>
        <v>34.7242720708782</v>
      </c>
      <c r="AC42" s="112">
        <f t="shared" si="28"/>
        <v>7.9379439717244304</v>
      </c>
    </row>
    <row r="43" spans="1:35">
      <c r="A43" s="49">
        <v>25.5</v>
      </c>
      <c r="B43" s="49"/>
      <c r="C43" s="116"/>
    </row>
    <row r="44" spans="1:35" ht="15">
      <c r="B44" s="113">
        <f>SUM(B2:B43)</f>
        <v>3551346.2333223843</v>
      </c>
      <c r="C44" s="114">
        <f>SUM(C2:C43)</f>
        <v>26785.491836169433</v>
      </c>
    </row>
    <row r="46" spans="1:35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115">
        <v>19</v>
      </c>
      <c r="T46" s="115">
        <v>20</v>
      </c>
      <c r="U46" s="115">
        <v>21</v>
      </c>
      <c r="V46">
        <v>22</v>
      </c>
      <c r="W46">
        <v>23</v>
      </c>
      <c r="X46">
        <v>24</v>
      </c>
      <c r="Y46">
        <v>25</v>
      </c>
      <c r="Z46" s="115">
        <v>26</v>
      </c>
      <c r="AA46" s="115">
        <v>27</v>
      </c>
      <c r="AB46" s="115">
        <v>28</v>
      </c>
      <c r="AC46">
        <v>29</v>
      </c>
      <c r="AD46">
        <v>30</v>
      </c>
      <c r="AE46">
        <v>31</v>
      </c>
      <c r="AF46" s="115">
        <v>32</v>
      </c>
      <c r="AG46">
        <v>33</v>
      </c>
      <c r="AH46" s="115">
        <v>34</v>
      </c>
      <c r="AI46">
        <v>35</v>
      </c>
    </row>
  </sheetData>
  <mergeCells count="3">
    <mergeCell ref="Y1:Y2"/>
    <mergeCell ref="Z1:AB1"/>
    <mergeCell ref="AC1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4881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9aCN</vt:lpstr>
      <vt:lpstr>9aCS</vt:lpstr>
      <vt:lpstr>9a-Algarve</vt:lpstr>
      <vt:lpstr>9a-Cadiz</vt:lpstr>
      <vt:lpstr>algarve+cadiz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maria jose zuñiga basualto</cp:lastModifiedBy>
  <cp:revision>194</cp:revision>
  <dcterms:created xsi:type="dcterms:W3CDTF">2006-11-21T10:59:34Z</dcterms:created>
  <dcterms:modified xsi:type="dcterms:W3CDTF">2024-02-21T19:49:40Z</dcterms:modified>
</cp:coreProperties>
</file>