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SEGUNDO_INFORME/Datos_2020_2021/"/>
    </mc:Choice>
  </mc:AlternateContent>
  <xr:revisionPtr revIDLastSave="0" documentId="13_ncr:1_{80602B6C-B295-BC4B-9116-B07727C1663D}" xr6:coauthVersionLast="46" xr6:coauthVersionMax="46" xr10:uidLastSave="{00000000-0000-0000-0000-000000000000}"/>
  <bookViews>
    <workbookView xWindow="19520" yWindow="500" windowWidth="31680" windowHeight="27300" activeTab="5" xr2:uid="{8F6BC2B7-EA0F-4A66-9090-C09C76DAE020}"/>
  </bookViews>
  <sheets>
    <sheet name="Ab-an-biol" sheetId="1" r:id="rId1"/>
    <sheet name="clave an-biol" sheetId="2" r:id="rId2"/>
    <sheet name="Ab-an-calendario" sheetId="5" r:id="rId3"/>
    <sheet name="clave an-calendario" sheetId="6" r:id="rId4"/>
    <sheet name="Ab-SardinaComún" sheetId="4" r:id="rId5"/>
    <sheet name="Crms_cru" sheetId="7" r:id="rId6"/>
    <sheet name="clave sc" sheetId="3" r:id="rId7"/>
  </sheets>
  <externalReferences>
    <externalReference r:id="rId8"/>
    <externalReference r:id="rId9"/>
  </externalReferences>
  <definedNames>
    <definedName name="_Fill" localSheetId="4" hidden="1">#REF!</definedName>
    <definedName name="_Fill" localSheetId="6" hidden="1">#REF!</definedName>
    <definedName name="_Fill" hidden="1">#REF!</definedName>
    <definedName name="_Regression_Int" localSheetId="1" hidden="1">1</definedName>
    <definedName name="_Regression_Int" localSheetId="3" hidden="1">1</definedName>
    <definedName name="_Regression_Int" localSheetId="6" hidden="1">1</definedName>
    <definedName name="A_IMPRESIÓN_IM" localSheetId="4">#REF!</definedName>
    <definedName name="A_IMPRESIÓN_IM" localSheetId="6">#REF!</definedName>
    <definedName name="A_IMPRESIÓN_IM">#REF!</definedName>
    <definedName name="_xlnm.Print_Area" localSheetId="0">'Ab-an-biol'!$B$1:$J$52</definedName>
    <definedName name="_xlnm.Print_Area" localSheetId="2">'Ab-an-calendario'!$B$1:$J$52</definedName>
    <definedName name="_xlnm.Print_Area" localSheetId="4">'Ab-SardinaComún'!$B$1:$J$52</definedName>
    <definedName name="_xlnm.Print_Area" localSheetId="1">'clave an-biol'!$B$2:$K$52</definedName>
    <definedName name="_xlnm.Print_Area" localSheetId="3">'clave an-calendario'!$B$2:$K$52</definedName>
    <definedName name="_xlnm.Print_Area" localSheetId="6">'clave sc'!$B$2:$K$52</definedName>
    <definedName name="Imprimir_área_IM" localSheetId="1">'clave an-biol'!$B$1:$AN$56</definedName>
    <definedName name="Imprimir_área_IM" localSheetId="3">'clave an-calendario'!$B$1:$AN$56</definedName>
    <definedName name="Imprimir_área_IM" localSheetId="6">'clave sc'!$B$1:$AN$56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4" l="1"/>
  <c r="P9" i="7"/>
  <c r="F38" i="7"/>
  <c r="F17" i="7"/>
  <c r="I21" i="7"/>
  <c r="J21" i="7" s="1"/>
  <c r="D9" i="7"/>
  <c r="C9" i="7" s="1"/>
  <c r="C8" i="7" s="1"/>
  <c r="F20" i="7"/>
  <c r="F39" i="7"/>
  <c r="G39" i="7" s="1"/>
  <c r="F40" i="7"/>
  <c r="G40" i="7" s="1"/>
  <c r="F41" i="7"/>
  <c r="G41" i="7" s="1"/>
  <c r="F42" i="7"/>
  <c r="G38" i="7"/>
  <c r="H38" i="7" s="1"/>
  <c r="C10" i="7"/>
  <c r="F30" i="7" s="1"/>
  <c r="C7" i="7"/>
  <c r="K21" i="7" s="1"/>
  <c r="D22" i="7"/>
  <c r="F19" i="7"/>
  <c r="F18" i="7"/>
  <c r="C4" i="7"/>
  <c r="E4" i="7" s="1"/>
  <c r="C53" i="4"/>
  <c r="E53" i="4"/>
  <c r="F53" i="4"/>
  <c r="G53" i="4"/>
  <c r="D53" i="4"/>
  <c r="D59" i="4"/>
  <c r="F22" i="7" l="1"/>
  <c r="F28" i="7"/>
  <c r="F29" i="7"/>
  <c r="G30" i="7"/>
  <c r="H30" i="7" s="1"/>
  <c r="I30" i="7" s="1"/>
  <c r="D8" i="7"/>
  <c r="C17" i="7"/>
  <c r="I17" i="7" s="1"/>
  <c r="J17" i="7" s="1"/>
  <c r="C41" i="7"/>
  <c r="H39" i="7"/>
  <c r="I38" i="7"/>
  <c r="K38" i="7" s="1"/>
  <c r="L38" i="7" s="1"/>
  <c r="H40" i="7"/>
  <c r="H41" i="7"/>
  <c r="G42" i="7"/>
  <c r="H42" i="7" s="1"/>
  <c r="C11" i="7"/>
  <c r="F32" i="7"/>
  <c r="F31" i="7"/>
  <c r="L21" i="7"/>
  <c r="I50" i="6"/>
  <c r="I51" i="6" s="1"/>
  <c r="H50" i="6"/>
  <c r="H51" i="6" s="1"/>
  <c r="G50" i="6"/>
  <c r="F50" i="6"/>
  <c r="E50" i="6"/>
  <c r="D50" i="6"/>
  <c r="K48" i="6"/>
  <c r="J48" i="6"/>
  <c r="K47" i="6"/>
  <c r="J47" i="6"/>
  <c r="C47" i="6" s="1"/>
  <c r="K46" i="6"/>
  <c r="J46" i="6"/>
  <c r="K45" i="6"/>
  <c r="J45" i="6"/>
  <c r="C44" i="6"/>
  <c r="C43" i="6"/>
  <c r="C42" i="6"/>
  <c r="C41" i="6"/>
  <c r="K40" i="6"/>
  <c r="J40" i="6"/>
  <c r="K39" i="6"/>
  <c r="J39" i="6"/>
  <c r="C39" i="6" s="1"/>
  <c r="K38" i="6"/>
  <c r="J38" i="6"/>
  <c r="K37" i="6"/>
  <c r="J37" i="6"/>
  <c r="K36" i="6"/>
  <c r="J36" i="6"/>
  <c r="C36" i="6" s="1"/>
  <c r="K35" i="6"/>
  <c r="J35" i="6"/>
  <c r="C35" i="6" s="1"/>
  <c r="K34" i="6"/>
  <c r="J34" i="6"/>
  <c r="C34" i="6" s="1"/>
  <c r="K33" i="6"/>
  <c r="J33" i="6"/>
  <c r="K32" i="6"/>
  <c r="J32" i="6"/>
  <c r="C32" i="6" s="1"/>
  <c r="K31" i="6"/>
  <c r="J31" i="6"/>
  <c r="C31" i="6" s="1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C24" i="6" s="1"/>
  <c r="K23" i="6"/>
  <c r="J23" i="6"/>
  <c r="C23" i="6" s="1"/>
  <c r="K22" i="6"/>
  <c r="J22" i="6"/>
  <c r="C22" i="6" s="1"/>
  <c r="K21" i="6"/>
  <c r="J21" i="6"/>
  <c r="K20" i="6"/>
  <c r="J20" i="6"/>
  <c r="C20" i="6" s="1"/>
  <c r="K19" i="6"/>
  <c r="J19" i="6"/>
  <c r="C19" i="6" s="1"/>
  <c r="K18" i="6"/>
  <c r="J18" i="6"/>
  <c r="C18" i="6" s="1"/>
  <c r="K17" i="6"/>
  <c r="J17" i="6"/>
  <c r="K16" i="6"/>
  <c r="J16" i="6"/>
  <c r="C16" i="6" s="1"/>
  <c r="K15" i="6"/>
  <c r="J15" i="6"/>
  <c r="C15" i="6" s="1"/>
  <c r="K14" i="6"/>
  <c r="J14" i="6"/>
  <c r="K13" i="6"/>
  <c r="J13" i="6"/>
  <c r="K12" i="6"/>
  <c r="J12" i="6"/>
  <c r="K11" i="6"/>
  <c r="C11" i="6" s="1"/>
  <c r="J11" i="6"/>
  <c r="C63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5" i="5"/>
  <c r="H55" i="5"/>
  <c r="G55" i="5"/>
  <c r="F55" i="5"/>
  <c r="E55" i="5"/>
  <c r="D55" i="5"/>
  <c r="E54" i="5"/>
  <c r="L20" i="5"/>
  <c r="L19" i="5"/>
  <c r="L18" i="5"/>
  <c r="T11" i="5"/>
  <c r="U11" i="5" s="1"/>
  <c r="T10" i="5"/>
  <c r="U10" i="5" s="1"/>
  <c r="T9" i="5"/>
  <c r="S8" i="5"/>
  <c r="J30" i="7" l="1"/>
  <c r="K30" i="7"/>
  <c r="L30" i="7" s="1"/>
  <c r="M30" i="7" s="1"/>
  <c r="I41" i="7"/>
  <c r="J41" i="7" s="1"/>
  <c r="K17" i="7"/>
  <c r="L17" i="7" s="1"/>
  <c r="K41" i="7"/>
  <c r="L41" i="7" s="1"/>
  <c r="M41" i="7" s="1"/>
  <c r="G31" i="7"/>
  <c r="H31" i="7" s="1"/>
  <c r="I31" i="7" s="1"/>
  <c r="J31" i="7" s="1"/>
  <c r="G32" i="7"/>
  <c r="H32" i="7" s="1"/>
  <c r="I32" i="7" s="1"/>
  <c r="J32" i="7" s="1"/>
  <c r="G28" i="7"/>
  <c r="H28" i="7" s="1"/>
  <c r="I28" i="7" s="1"/>
  <c r="J28" i="7" s="1"/>
  <c r="G29" i="7"/>
  <c r="H29" i="7" s="1"/>
  <c r="I29" i="7" s="1"/>
  <c r="J38" i="7"/>
  <c r="M38" i="7" s="1"/>
  <c r="N17" i="7" s="1"/>
  <c r="C20" i="7"/>
  <c r="I20" i="7" s="1"/>
  <c r="C18" i="7"/>
  <c r="I18" i="7" s="1"/>
  <c r="C19" i="7"/>
  <c r="I19" i="7" s="1"/>
  <c r="C27" i="6"/>
  <c r="C38" i="6"/>
  <c r="T8" i="5"/>
  <c r="U8" i="5" s="1"/>
  <c r="V10" i="5" s="1"/>
  <c r="R10" i="5" s="1"/>
  <c r="C33" i="6"/>
  <c r="C37" i="6"/>
  <c r="C17" i="6"/>
  <c r="C21" i="6"/>
  <c r="U9" i="5"/>
  <c r="C25" i="6"/>
  <c r="K50" i="6"/>
  <c r="K51" i="6" s="1"/>
  <c r="C13" i="6"/>
  <c r="C26" i="6"/>
  <c r="C29" i="6"/>
  <c r="C40" i="6"/>
  <c r="C46" i="6"/>
  <c r="J50" i="6"/>
  <c r="J51" i="6" s="1"/>
  <c r="C45" i="6"/>
  <c r="C12" i="6"/>
  <c r="C14" i="6"/>
  <c r="C28" i="6"/>
  <c r="C30" i="6"/>
  <c r="C48" i="6"/>
  <c r="J59" i="5"/>
  <c r="J58" i="5"/>
  <c r="J60" i="5"/>
  <c r="K58" i="5" s="1"/>
  <c r="I59" i="4"/>
  <c r="E58" i="4"/>
  <c r="F58" i="4"/>
  <c r="G58" i="4"/>
  <c r="H58" i="4"/>
  <c r="I58" i="4"/>
  <c r="E59" i="4"/>
  <c r="F59" i="4"/>
  <c r="G59" i="4"/>
  <c r="H59" i="4"/>
  <c r="D58" i="4"/>
  <c r="E58" i="1"/>
  <c r="F58" i="1"/>
  <c r="G58" i="1"/>
  <c r="H58" i="1"/>
  <c r="I58" i="1"/>
  <c r="E59" i="1"/>
  <c r="F59" i="1"/>
  <c r="G59" i="1"/>
  <c r="H59" i="1"/>
  <c r="I59" i="1"/>
  <c r="D59" i="1"/>
  <c r="D58" i="1"/>
  <c r="C63" i="4"/>
  <c r="I57" i="4"/>
  <c r="H57" i="4"/>
  <c r="G57" i="4"/>
  <c r="F57" i="4"/>
  <c r="E57" i="4"/>
  <c r="D57" i="4"/>
  <c r="I55" i="4"/>
  <c r="G55" i="4"/>
  <c r="F55" i="4"/>
  <c r="E55" i="4"/>
  <c r="D55" i="4"/>
  <c r="E54" i="4"/>
  <c r="L20" i="4"/>
  <c r="L19" i="4"/>
  <c r="L18" i="4"/>
  <c r="U11" i="4"/>
  <c r="T11" i="4"/>
  <c r="T10" i="4"/>
  <c r="U10" i="4" s="1"/>
  <c r="T9" i="4"/>
  <c r="U9" i="4" s="1"/>
  <c r="S8" i="4"/>
  <c r="K48" i="3"/>
  <c r="J48" i="3"/>
  <c r="I48" i="3"/>
  <c r="H48" i="3"/>
  <c r="G48" i="3"/>
  <c r="G50" i="3" s="1"/>
  <c r="F48" i="3"/>
  <c r="F50" i="3" s="1"/>
  <c r="E48" i="3"/>
  <c r="D48" i="3"/>
  <c r="K47" i="3"/>
  <c r="J47" i="3"/>
  <c r="I47" i="3"/>
  <c r="E50" i="3"/>
  <c r="K46" i="3"/>
  <c r="J46" i="3"/>
  <c r="I46" i="3"/>
  <c r="K45" i="3"/>
  <c r="J45" i="3"/>
  <c r="I45" i="3"/>
  <c r="C44" i="3"/>
  <c r="C43" i="3"/>
  <c r="C42" i="3"/>
  <c r="C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C24" i="3" s="1"/>
  <c r="K23" i="3"/>
  <c r="J23" i="3"/>
  <c r="I23" i="3"/>
  <c r="K22" i="3"/>
  <c r="J22" i="3"/>
  <c r="I22" i="3"/>
  <c r="K21" i="3"/>
  <c r="J21" i="3"/>
  <c r="I21" i="3"/>
  <c r="K20" i="3"/>
  <c r="J20" i="3"/>
  <c r="I20" i="3"/>
  <c r="C20" i="3" s="1"/>
  <c r="K19" i="3"/>
  <c r="J19" i="3"/>
  <c r="I19" i="3"/>
  <c r="K18" i="3"/>
  <c r="J18" i="3"/>
  <c r="I18" i="3"/>
  <c r="K17" i="3"/>
  <c r="J17" i="3"/>
  <c r="I17" i="3"/>
  <c r="K16" i="3"/>
  <c r="J16" i="3"/>
  <c r="I16" i="3"/>
  <c r="C16" i="3" s="1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C41" i="2"/>
  <c r="C42" i="2"/>
  <c r="C43" i="2"/>
  <c r="C44" i="2"/>
  <c r="K48" i="2"/>
  <c r="J48" i="2"/>
  <c r="K47" i="2"/>
  <c r="J47" i="2"/>
  <c r="F50" i="2"/>
  <c r="K46" i="2"/>
  <c r="J46" i="2"/>
  <c r="K45" i="2"/>
  <c r="J45" i="2"/>
  <c r="C45" i="2" s="1"/>
  <c r="K40" i="2"/>
  <c r="J40" i="2"/>
  <c r="K39" i="2"/>
  <c r="J39" i="2"/>
  <c r="K38" i="2"/>
  <c r="J38" i="2"/>
  <c r="C38" i="2"/>
  <c r="K37" i="2"/>
  <c r="J37" i="2"/>
  <c r="K36" i="2"/>
  <c r="J36" i="2"/>
  <c r="K35" i="2"/>
  <c r="J35" i="2"/>
  <c r="K34" i="2"/>
  <c r="J34" i="2"/>
  <c r="C34" i="2" s="1"/>
  <c r="K33" i="2"/>
  <c r="J33" i="2"/>
  <c r="K32" i="2"/>
  <c r="J32" i="2"/>
  <c r="K31" i="2"/>
  <c r="J31" i="2"/>
  <c r="K30" i="2"/>
  <c r="J30" i="2"/>
  <c r="C30" i="2" s="1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C23" i="2"/>
  <c r="K22" i="2"/>
  <c r="C22" i="2" s="1"/>
  <c r="J22" i="2"/>
  <c r="K21" i="2"/>
  <c r="J21" i="2"/>
  <c r="K20" i="2"/>
  <c r="J20" i="2"/>
  <c r="K19" i="2"/>
  <c r="J19" i="2"/>
  <c r="K18" i="2"/>
  <c r="J18" i="2"/>
  <c r="C18" i="2" s="1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J19" i="7" l="1"/>
  <c r="K19" i="7"/>
  <c r="L19" i="7" s="1"/>
  <c r="J18" i="7"/>
  <c r="K18" i="7"/>
  <c r="L18" i="7" s="1"/>
  <c r="J20" i="7"/>
  <c r="K20" i="7"/>
  <c r="L20" i="7" s="1"/>
  <c r="K31" i="7"/>
  <c r="L31" i="7" s="1"/>
  <c r="M31" i="7" s="1"/>
  <c r="P20" i="7" s="1"/>
  <c r="K28" i="7"/>
  <c r="L28" i="7" s="1"/>
  <c r="K32" i="7"/>
  <c r="L32" i="7" s="1"/>
  <c r="M32" i="7" s="1"/>
  <c r="C40" i="7"/>
  <c r="I40" i="7" s="1"/>
  <c r="C39" i="7"/>
  <c r="I39" i="7" s="1"/>
  <c r="J39" i="7" s="1"/>
  <c r="I22" i="7"/>
  <c r="C28" i="3"/>
  <c r="C32" i="3"/>
  <c r="C36" i="3"/>
  <c r="V11" i="5"/>
  <c r="R11" i="5" s="1"/>
  <c r="T8" i="4"/>
  <c r="U8" i="4" s="1"/>
  <c r="V9" i="4" s="1"/>
  <c r="V8" i="4" s="1"/>
  <c r="R8" i="4" s="1"/>
  <c r="V9" i="5"/>
  <c r="C39" i="2"/>
  <c r="C19" i="2"/>
  <c r="C21" i="2"/>
  <c r="C50" i="6"/>
  <c r="E51" i="6" s="1"/>
  <c r="C31" i="2"/>
  <c r="C35" i="2"/>
  <c r="C37" i="2"/>
  <c r="C27" i="2"/>
  <c r="C29" i="2"/>
  <c r="C13" i="2"/>
  <c r="C26" i="2"/>
  <c r="K59" i="5"/>
  <c r="K60" i="5" s="1"/>
  <c r="D51" i="6"/>
  <c r="L58" i="5"/>
  <c r="C56" i="5" s="1"/>
  <c r="C58" i="5" s="1"/>
  <c r="C57" i="5"/>
  <c r="L17" i="5"/>
  <c r="J50" i="2"/>
  <c r="J51" i="2" s="1"/>
  <c r="C17" i="2"/>
  <c r="C25" i="2"/>
  <c r="C33" i="2"/>
  <c r="C19" i="3"/>
  <c r="C23" i="3"/>
  <c r="C27" i="3"/>
  <c r="C31" i="3"/>
  <c r="C35" i="3"/>
  <c r="C39" i="3"/>
  <c r="C48" i="2"/>
  <c r="C40" i="3"/>
  <c r="C45" i="3"/>
  <c r="C12" i="2"/>
  <c r="C14" i="2"/>
  <c r="C15" i="2"/>
  <c r="C16" i="2"/>
  <c r="C47" i="2"/>
  <c r="C12" i="3"/>
  <c r="C18" i="3"/>
  <c r="C22" i="3"/>
  <c r="C26" i="3"/>
  <c r="C30" i="3"/>
  <c r="C34" i="3"/>
  <c r="C38" i="3"/>
  <c r="C20" i="2"/>
  <c r="C24" i="2"/>
  <c r="C28" i="2"/>
  <c r="C32" i="2"/>
  <c r="C36" i="2"/>
  <c r="C40" i="2"/>
  <c r="C46" i="2"/>
  <c r="C17" i="3"/>
  <c r="C21" i="3"/>
  <c r="C25" i="3"/>
  <c r="C29" i="3"/>
  <c r="C33" i="3"/>
  <c r="C37" i="3"/>
  <c r="C14" i="3"/>
  <c r="C48" i="3"/>
  <c r="I50" i="3"/>
  <c r="I51" i="3" s="1"/>
  <c r="C46" i="3"/>
  <c r="J50" i="3"/>
  <c r="J51" i="3" s="1"/>
  <c r="C13" i="3"/>
  <c r="C15" i="3"/>
  <c r="J59" i="4"/>
  <c r="J58" i="4"/>
  <c r="K50" i="3"/>
  <c r="K51" i="3" s="1"/>
  <c r="D50" i="3"/>
  <c r="H50" i="3"/>
  <c r="C11" i="3"/>
  <c r="C47" i="3"/>
  <c r="C11" i="2"/>
  <c r="K50" i="2"/>
  <c r="K51" i="2" s="1"/>
  <c r="D50" i="2"/>
  <c r="H50" i="2"/>
  <c r="E50" i="2"/>
  <c r="I50" i="2"/>
  <c r="I51" i="2" s="1"/>
  <c r="G50" i="2"/>
  <c r="L22" i="7" l="1"/>
  <c r="L23" i="7" s="1"/>
  <c r="L24" i="7" s="1"/>
  <c r="U23" i="7" s="1"/>
  <c r="M28" i="7"/>
  <c r="M21" i="7"/>
  <c r="Q20" i="7"/>
  <c r="M19" i="7"/>
  <c r="N20" i="7"/>
  <c r="M20" i="7"/>
  <c r="I33" i="7"/>
  <c r="J22" i="7"/>
  <c r="K39" i="7"/>
  <c r="L39" i="7" s="1"/>
  <c r="M39" i="7" s="1"/>
  <c r="N18" i="7" s="1"/>
  <c r="J40" i="7"/>
  <c r="K40" i="7"/>
  <c r="L40" i="7" s="1"/>
  <c r="J29" i="7"/>
  <c r="K29" i="7"/>
  <c r="L29" i="7" s="1"/>
  <c r="L33" i="7" s="1"/>
  <c r="V8" i="5"/>
  <c r="R8" i="5" s="1"/>
  <c r="R9" i="5"/>
  <c r="V10" i="4"/>
  <c r="R10" i="4" s="1"/>
  <c r="G51" i="6"/>
  <c r="V11" i="4"/>
  <c r="R11" i="4" s="1"/>
  <c r="F51" i="6"/>
  <c r="C51" i="6" s="1"/>
  <c r="R9" i="4"/>
  <c r="J60" i="4"/>
  <c r="K59" i="4" s="1"/>
  <c r="C50" i="3"/>
  <c r="D51" i="3" s="1"/>
  <c r="C50" i="2"/>
  <c r="D51" i="2" s="1"/>
  <c r="H51" i="2"/>
  <c r="P17" i="7" l="1"/>
  <c r="Q17" i="7" s="1"/>
  <c r="M17" i="7"/>
  <c r="M29" i="7"/>
  <c r="J33" i="7"/>
  <c r="L34" i="7"/>
  <c r="M40" i="7"/>
  <c r="K58" i="4"/>
  <c r="L58" i="4" s="1"/>
  <c r="C56" i="4" s="1"/>
  <c r="C58" i="4" s="1"/>
  <c r="H51" i="3"/>
  <c r="G51" i="3"/>
  <c r="F51" i="3"/>
  <c r="E51" i="3"/>
  <c r="F51" i="2"/>
  <c r="E51" i="2"/>
  <c r="G51" i="2"/>
  <c r="C63" i="1"/>
  <c r="J58" i="1"/>
  <c r="I57" i="1"/>
  <c r="H57" i="1"/>
  <c r="G57" i="1"/>
  <c r="F57" i="1"/>
  <c r="E57" i="1"/>
  <c r="D57" i="1"/>
  <c r="I55" i="1"/>
  <c r="H55" i="1"/>
  <c r="G55" i="1"/>
  <c r="F55" i="1"/>
  <c r="E55" i="1"/>
  <c r="D55" i="1"/>
  <c r="E54" i="1"/>
  <c r="L20" i="1"/>
  <c r="L19" i="1"/>
  <c r="L18" i="1"/>
  <c r="T11" i="1"/>
  <c r="U11" i="1" s="1"/>
  <c r="T10" i="1"/>
  <c r="U10" i="1" s="1"/>
  <c r="T9" i="1"/>
  <c r="S8" i="1"/>
  <c r="P19" i="7" l="1"/>
  <c r="Q19" i="7" s="1"/>
  <c r="N19" i="7"/>
  <c r="P18" i="7"/>
  <c r="Q18" i="7" s="1"/>
  <c r="M18" i="7"/>
  <c r="M22" i="7" s="1"/>
  <c r="M23" i="7" s="1"/>
  <c r="M34" i="7"/>
  <c r="L17" i="4"/>
  <c r="K60" i="4"/>
  <c r="C57" i="4"/>
  <c r="C51" i="3"/>
  <c r="C51" i="2"/>
  <c r="T8" i="1"/>
  <c r="U8" i="1" s="1"/>
  <c r="V10" i="1" s="1"/>
  <c r="R10" i="1" s="1"/>
  <c r="J59" i="1"/>
  <c r="J60" i="1" s="1"/>
  <c r="K59" i="1" s="1"/>
  <c r="U9" i="1"/>
  <c r="V11" i="1" l="1"/>
  <c r="R11" i="1" s="1"/>
  <c r="V9" i="1"/>
  <c r="V8" i="1" s="1"/>
  <c r="R8" i="1" s="1"/>
  <c r="R9" i="1"/>
  <c r="K58" i="1"/>
  <c r="K60" i="1" l="1"/>
  <c r="L58" i="1"/>
  <c r="C56" i="1" s="1"/>
  <c r="C58" i="1" s="1"/>
  <c r="C57" i="1"/>
  <c r="L17" i="1"/>
  <c r="I42" i="7"/>
  <c r="K42" i="7" s="1"/>
  <c r="L42" i="7" s="1"/>
  <c r="L43" i="7" l="1"/>
  <c r="L44" i="7" s="1"/>
  <c r="L45" i="7" s="1"/>
  <c r="L46" i="7" s="1"/>
  <c r="L47" i="7" s="1"/>
  <c r="I43" i="7"/>
  <c r="J42" i="7"/>
  <c r="J43" i="7" s="1"/>
  <c r="M42" i="7" l="1"/>
  <c r="N21" i="7" l="1"/>
  <c r="N22" i="7" s="1"/>
  <c r="N23" i="7" s="1"/>
  <c r="O23" i="7" s="1"/>
  <c r="O24" i="7" s="1"/>
  <c r="O25" i="7" s="1"/>
  <c r="S23" i="7" s="1"/>
  <c r="P21" i="7"/>
  <c r="Q21" i="7" s="1"/>
  <c r="Q23" i="7" s="1"/>
  <c r="Q24" i="7" s="1"/>
  <c r="Q25" i="7" s="1"/>
  <c r="T23" i="7" s="1"/>
  <c r="M4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tc={87DA0DC8-222A-1B4E-B4D4-F8F113BBEFB0}</author>
    <author>tc={338B764F-8B1F-4048-A31D-2531BB3AE044}</author>
  </authors>
  <commentList>
    <comment ref="C28" authorId="0" shapeId="0" xr:uid="{87DA0DC8-222A-1B4E-B4D4-F8F113BBEFB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Esto es estimado, no?</t>
      </text>
    </comment>
    <comment ref="C38" authorId="1" shapeId="0" xr:uid="{338B764F-8B1F-4048-A31D-2531BB3AE0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Aca usamos el supuesto de proyección, que es?</t>
      </text>
    </comment>
  </commentList>
</comments>
</file>

<file path=xl/sharedStrings.xml><?xml version="1.0" encoding="utf-8"?>
<sst xmlns="http://schemas.openxmlformats.org/spreadsheetml/2006/main" count="275" uniqueCount="126">
  <si>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</si>
  <si>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</si>
  <si>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</si>
  <si>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</si>
  <si>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</si>
  <si>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</si>
  <si>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</si>
  <si>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</si>
  <si>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</si>
  <si>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</si>
  <si>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</si>
  <si>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</si>
  <si>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</si>
  <si>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</si>
  <si>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</si>
  <si>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</si>
  <si>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</si>
  <si>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</si>
  <si>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</si>
  <si>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</si>
  <si>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</si>
  <si>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</si>
  <si>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</si>
  <si>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</si>
  <si>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&lt; 11,5 cm =</t>
  </si>
  <si>
    <t>&gt; 11,5 cm</t>
  </si>
  <si>
    <t>&lt; 11,5 cm =%</t>
  </si>
  <si>
    <t>GRUPOS DE EDAD</t>
  </si>
  <si>
    <t>TALLAS</t>
  </si>
  <si>
    <t>ANUAL</t>
  </si>
  <si>
    <t xml:space="preserve"> (cm)</t>
  </si>
  <si>
    <t xml:space="preserve">  Frec.</t>
  </si>
  <si>
    <t xml:space="preserve">     0</t>
  </si>
  <si>
    <t>VI</t>
  </si>
  <si>
    <t>VII</t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</si>
  <si>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anchoveta en la V-VIII Región</t>
    </r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</si>
  <si>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sardina común en la V-VIII Región</t>
    </r>
  </si>
  <si>
    <t>&lt; 12,0 cm =</t>
  </si>
  <si>
    <t>&gt; 12,0 cm</t>
  </si>
  <si>
    <t>&lt; 12,0 cm =%</t>
  </si>
  <si>
    <t>P.PR(kg)</t>
  </si>
  <si>
    <t>VAR (X)</t>
  </si>
  <si>
    <t>CV</t>
  </si>
  <si>
    <t>VARIANZA LPR</t>
  </si>
  <si>
    <t xml:space="preserve"> método Geoestadístico. Crucero RECLAS enero 2021.</t>
  </si>
  <si>
    <t xml:space="preserve">  Clave edad-talla biologica de anchoveta para la zona centro-sur. Crucero RECLAS enero 2021.</t>
  </si>
  <si>
    <t xml:space="preserve">  Clave edad-talla cronologico de anchoveta para la zona centro-sur. Crucero RECLAS enero 2021.</t>
  </si>
  <si>
    <t xml:space="preserve">  Clave edad-talla biologica de sardina común para la zona centro-sur. Crucero RECLAS enero 2021.</t>
  </si>
  <si>
    <t>edad</t>
  </si>
  <si>
    <t>abundancia_cru</t>
  </si>
  <si>
    <t>peso_cru</t>
  </si>
  <si>
    <t>biomasa_cru</t>
  </si>
  <si>
    <t>total</t>
  </si>
  <si>
    <t>q</t>
  </si>
  <si>
    <t>Frms</t>
  </si>
  <si>
    <t>M</t>
  </si>
  <si>
    <t>abundancia_stock</t>
  </si>
  <si>
    <t>Zrms</t>
  </si>
  <si>
    <t>selectividad_flota</t>
  </si>
  <si>
    <t>peso_flota</t>
  </si>
  <si>
    <t>S</t>
  </si>
  <si>
    <t>dt</t>
  </si>
  <si>
    <t>YTP_rms</t>
  </si>
  <si>
    <t>CTP_rms</t>
  </si>
  <si>
    <t>Abundancia_vulnerable</t>
  </si>
  <si>
    <t>viene del modelo</t>
  </si>
  <si>
    <t>revisar cálculo!!!</t>
  </si>
  <si>
    <t xml:space="preserve">dato observado crucero </t>
  </si>
  <si>
    <t>datos modelo evaluación stock</t>
  </si>
  <si>
    <t>revisar cálculos!!!</t>
  </si>
  <si>
    <t>abundancia total 2020/21</t>
  </si>
  <si>
    <t>abundanciaVuln 2020/21</t>
  </si>
  <si>
    <t>CTP 2020/21</t>
  </si>
  <si>
    <t>F_2020/21</t>
  </si>
  <si>
    <t>Z_2020/21</t>
  </si>
  <si>
    <t>S_2020/21</t>
  </si>
  <si>
    <t>selectividad_flota_2020/21</t>
  </si>
  <si>
    <t>biomasaVuln 2020/21</t>
  </si>
  <si>
    <t>YTP 2020/21</t>
  </si>
  <si>
    <t>abundancia total 2021/22</t>
  </si>
  <si>
    <t>peso_flota_promedio</t>
  </si>
  <si>
    <t>peso_flota_2020/21</t>
  </si>
  <si>
    <t>F_2021/22</t>
  </si>
  <si>
    <t>Z_2021/22</t>
  </si>
  <si>
    <t>S_2021/22</t>
  </si>
  <si>
    <t>abundanciaVuln 2021/22</t>
  </si>
  <si>
    <t>biomasaVuln 2021/22</t>
  </si>
  <si>
    <t>CTP 2021/22</t>
  </si>
  <si>
    <t>YTP 2021/22</t>
  </si>
  <si>
    <t>YTP*0.7</t>
  </si>
  <si>
    <t>YTP*0.3</t>
  </si>
  <si>
    <t>Crms 2021</t>
  </si>
  <si>
    <t>Bvultcru*(YTP/Bvult)</t>
  </si>
  <si>
    <t>tasa 2020/21</t>
  </si>
  <si>
    <t>tasa 2021/22</t>
  </si>
  <si>
    <t>tasa explotación</t>
  </si>
  <si>
    <t>YTP/Bvult 2021/22</t>
  </si>
  <si>
    <t>YTP/Bvult 2020/21</t>
  </si>
  <si>
    <t>Biomasa_vulnerable_cru</t>
  </si>
  <si>
    <t>Concuerda con el reportado por DED?</t>
  </si>
  <si>
    <t>Cambie por la celda C4</t>
  </si>
  <si>
    <t>Tenemos que imputar el descarte</t>
  </si>
  <si>
    <t xml:space="preserve">201.053 -- 251.316 </t>
  </si>
  <si>
    <t>CBA adv</t>
  </si>
  <si>
    <t>media tasa</t>
  </si>
  <si>
    <t>Descarte</t>
  </si>
  <si>
    <t>YTP</t>
  </si>
  <si>
    <t>min</t>
  </si>
  <si>
    <t>max</t>
  </si>
  <si>
    <t>percentil 30%</t>
  </si>
  <si>
    <t>6% resguardo</t>
  </si>
  <si>
    <t>menos resguardo</t>
  </si>
  <si>
    <t>menos descarte</t>
  </si>
  <si>
    <t>Usando IFOP</t>
  </si>
  <si>
    <t>Usando Tasa media</t>
  </si>
  <si>
    <t>Usando only survey</t>
  </si>
  <si>
    <t>con resguardo + descarte</t>
  </si>
  <si>
    <t>Crucero</t>
  </si>
  <si>
    <t>con resguardo</t>
  </si>
  <si>
    <t>con descarte</t>
  </si>
  <si>
    <t>Homologado Tasa RMS</t>
  </si>
  <si>
    <t>Similar IFOP</t>
  </si>
  <si>
    <t xml:space="preserve">resguardo </t>
  </si>
  <si>
    <t>6% RMS</t>
  </si>
  <si>
    <t>20% sobre grupo 0-1</t>
  </si>
  <si>
    <t>Abundancia a la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</si>
</sst>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_ ;_ * \-#,##0_ ;_ * &quot;-&quot;_ ;_ @_ "/>
    <numFmt numFmtId="165" formatCode="_-* #,##0\ _P_t_s_-;\-* #,##0\ _P_t_s_-;_-* &quot;-&quot;\ _P_t_s_-;_-@_-"/>
    <numFmt numFmtId="166" formatCode="0.0"/>
    <numFmt numFmtId="167" formatCode="_-* #,##0.0\ _P_t_s_-;\-* #,##0.0\ _P_t_s_-;_-* &quot;-&quot;\ _P_t_s_-;_-@_-"/>
    <numFmt numFmtId="168" formatCode="#,##0.0"/>
    <numFmt numFmtId="169" formatCode="0.000"/>
    <numFmt numFmtId="170" formatCode="0.0_)"/>
    <numFmt numFmtId="171" formatCode="0_)"/>
    <numFmt numFmtId="172" formatCode="0.000_)"/>
    <numFmt numFmtId="173" formatCode="_-* #,##0.00_-;\-* #,##0.00_-;_-* &quot;-&quot;_-;_-@_-"/>
    <numFmt numFmtId="174" formatCode="_-* #,##0.0_-;\-* #,##0.0_-;_-* &quot;-&quot;_-;_-@_-"/>
    <numFmt numFmtId="175" formatCode="0.0E+00"/>
    <numFmt numFmtId="176" formatCode="0.000000"/>
    <numFmt numFmtId="177" formatCode="0.000000000"/>
  </numFmts>
  <fonts count="34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29"/>
      <color rgb="FF000000"/>
      <name val="Arial Narrow"/>
      <family val="2"/>
    </font>
    <font>
      <b/>
      <sz val="29"/>
      <color rgb="FF000000"/>
      <name val="Arial Narrow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  <font>
      <sz val="12"/>
      <name val="Courier"/>
      <family val="1"/>
    </font>
    <font>
      <b/>
      <i/>
      <sz val="24"/>
      <name val="Arial Narrow"/>
      <family val="2"/>
    </font>
    <font>
      <b/>
      <i/>
      <sz val="1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8"/>
      <name val="Arial"/>
      <family val="2"/>
    </font>
    <font>
      <sz val="18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4"/>
      <name val="Arial"/>
      <family val="2"/>
    </font>
    <font>
      <sz val="12"/>
      <color theme="9" tint="-0.249977111117893"/>
      <name val="Arial"/>
      <family val="2"/>
    </font>
    <font>
      <sz val="12"/>
      <color theme="0" tint="-0.249977111117893"/>
      <name val="Arial"/>
      <family val="2"/>
    </font>
    <font>
      <b/>
      <sz val="12"/>
      <color theme="9" tint="-0.24997711111789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Protection="0"/>
    <xf numFmtId="0" fontId="17" fillId="0" borderId="0"/>
  </cellStyleXfs>
  <cellXfs count="270">
    <xf numFmtId="0" fontId="0" fillId="0" borderId="0" xfId="0"/>
    <xf numFmtId="1" fontId="5" fillId="0" borderId="0" xfId="2" applyNumberFormat="1"/>
    <xf numFmtId="166" fontId="6" fillId="0" borderId="0" xfId="2" applyNumberFormat="1" applyFont="1" applyAlignment="1">
      <alignment horizontal="center"/>
    </xf>
    <xf numFmtId="1" fontId="6" fillId="0" borderId="0" xfId="2" applyNumberFormat="1" applyFont="1"/>
    <xf numFmtId="166" fontId="7" fillId="2" borderId="1" xfId="3" applyNumberFormat="1" applyFont="1" applyFill="1" applyBorder="1" applyAlignment="1">
      <alignment horizontal="center"/>
    </xf>
    <xf numFmtId="1" fontId="7" fillId="2" borderId="2" xfId="3" applyNumberFormat="1" applyFont="1" applyFill="1" applyBorder="1"/>
    <xf numFmtId="0" fontId="7" fillId="2" borderId="3" xfId="3" applyFont="1" applyFill="1" applyBorder="1"/>
    <xf numFmtId="0" fontId="7" fillId="2" borderId="4" xfId="3" applyFont="1" applyFill="1" applyBorder="1"/>
    <xf numFmtId="1" fontId="8" fillId="0" borderId="0" xfId="2" applyNumberFormat="1" applyFont="1" applyAlignment="1">
      <alignment horizontal="center"/>
    </xf>
    <xf numFmtId="166" fontId="9" fillId="2" borderId="5" xfId="3" applyNumberFormat="1" applyFont="1" applyFill="1" applyBorder="1" applyAlignment="1">
      <alignment horizontal="center"/>
    </xf>
    <xf numFmtId="1" fontId="9" fillId="2" borderId="6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Continuous"/>
    </xf>
    <xf numFmtId="0" fontId="9" fillId="2" borderId="7" xfId="3" applyFont="1" applyFill="1" applyBorder="1" applyAlignment="1">
      <alignment horizontal="centerContinuous"/>
    </xf>
    <xf numFmtId="1" fontId="10" fillId="0" borderId="0" xfId="2" applyNumberFormat="1" applyFont="1" applyAlignment="1">
      <alignment horizontal="center"/>
    </xf>
    <xf numFmtId="167" fontId="11" fillId="0" borderId="1" xfId="4" applyNumberFormat="1" applyFont="1" applyBorder="1" applyAlignment="1">
      <alignment horizontal="center"/>
    </xf>
    <xf numFmtId="1" fontId="11" fillId="0" borderId="3" xfId="4" applyNumberFormat="1" applyFont="1" applyBorder="1"/>
    <xf numFmtId="1" fontId="11" fillId="0" borderId="4" xfId="4" applyNumberFormat="1" applyFont="1" applyBorder="1"/>
    <xf numFmtId="166" fontId="12" fillId="2" borderId="8" xfId="3" applyNumberFormat="1" applyFont="1" applyFill="1" applyBorder="1" applyAlignment="1">
      <alignment horizontal="center"/>
    </xf>
    <xf numFmtId="1" fontId="12" fillId="2" borderId="9" xfId="3" applyNumberFormat="1" applyFont="1" applyFill="1" applyBorder="1" applyAlignment="1">
      <alignment horizontal="center"/>
    </xf>
    <xf numFmtId="0" fontId="12" fillId="2" borderId="10" xfId="3" applyFont="1" applyFill="1" applyBorder="1" applyAlignment="1">
      <alignment horizontal="right"/>
    </xf>
    <xf numFmtId="0" fontId="12" fillId="2" borderId="11" xfId="3" applyFont="1" applyFill="1" applyBorder="1"/>
    <xf numFmtId="167" fontId="11" fillId="0" borderId="5" xfId="4" applyNumberFormat="1" applyFont="1" applyBorder="1" applyAlignment="1">
      <alignment horizontal="center"/>
    </xf>
    <xf numFmtId="1" fontId="11" fillId="0" borderId="0" xfId="4" applyNumberFormat="1" applyFont="1"/>
    <xf numFmtId="1" fontId="11" fillId="0" borderId="0" xfId="4" applyNumberFormat="1" applyFont="1" applyAlignment="1">
      <alignment horizontal="center"/>
    </xf>
    <xf numFmtId="1" fontId="11" fillId="0" borderId="7" xfId="4" applyNumberFormat="1" applyFont="1" applyBorder="1" applyAlignment="1">
      <alignment horizontal="center"/>
    </xf>
    <xf numFmtId="166" fontId="6" fillId="2" borderId="5" xfId="3" applyNumberFormat="1" applyFont="1" applyFill="1" applyBorder="1" applyAlignment="1">
      <alignment horizontal="center"/>
    </xf>
    <xf numFmtId="1" fontId="6" fillId="2" borderId="6" xfId="3" applyNumberFormat="1" applyFont="1" applyFill="1" applyBorder="1"/>
    <xf numFmtId="0" fontId="6" fillId="2" borderId="0" xfId="3" applyFont="1" applyFill="1"/>
    <xf numFmtId="0" fontId="6" fillId="2" borderId="7" xfId="3" applyFont="1" applyFill="1" applyBorder="1"/>
    <xf numFmtId="1" fontId="13" fillId="0" borderId="0" xfId="4" applyNumberFormat="1" applyFont="1"/>
    <xf numFmtId="1" fontId="14" fillId="0" borderId="0" xfId="4" applyNumberFormat="1" applyFont="1" applyAlignment="1">
      <alignment horizontal="center"/>
    </xf>
    <xf numFmtId="1" fontId="11" fillId="0" borderId="7" xfId="4" applyNumberFormat="1" applyFont="1" applyBorder="1"/>
    <xf numFmtId="3" fontId="6" fillId="2" borderId="6" xfId="3" applyNumberFormat="1" applyFont="1" applyFill="1" applyBorder="1"/>
    <xf numFmtId="3" fontId="6" fillId="2" borderId="0" xfId="3" applyNumberFormat="1" applyFont="1" applyFill="1"/>
    <xf numFmtId="166" fontId="13" fillId="0" borderId="0" xfId="4" applyNumberFormat="1" applyFont="1" applyAlignment="1">
      <alignment horizontal="center"/>
    </xf>
    <xf numFmtId="3" fontId="13" fillId="0" borderId="0" xfId="4" applyNumberFormat="1" applyFont="1"/>
    <xf numFmtId="1" fontId="13" fillId="0" borderId="7" xfId="4" applyNumberFormat="1" applyFont="1" applyBorder="1" applyAlignment="1">
      <alignment horizontal="center"/>
    </xf>
    <xf numFmtId="168" fontId="13" fillId="0" borderId="0" xfId="4" applyNumberFormat="1" applyFont="1" applyAlignment="1">
      <alignment horizontal="center"/>
    </xf>
    <xf numFmtId="3" fontId="6" fillId="2" borderId="7" xfId="3" applyNumberFormat="1" applyFont="1" applyFill="1" applyBorder="1"/>
    <xf numFmtId="168" fontId="6" fillId="0" borderId="0" xfId="2" applyNumberFormat="1" applyFont="1"/>
    <xf numFmtId="168" fontId="13" fillId="0" borderId="7" xfId="4" applyNumberFormat="1" applyFont="1" applyBorder="1" applyAlignment="1">
      <alignment horizontal="center"/>
    </xf>
    <xf numFmtId="3" fontId="6" fillId="0" borderId="0" xfId="2" applyNumberFormat="1" applyFont="1"/>
    <xf numFmtId="167" fontId="11" fillId="0" borderId="8" xfId="4" applyNumberFormat="1" applyFont="1" applyBorder="1" applyAlignment="1">
      <alignment horizontal="center"/>
    </xf>
    <xf numFmtId="1" fontId="15" fillId="0" borderId="10" xfId="4" applyNumberFormat="1" applyFont="1" applyBorder="1"/>
    <xf numFmtId="1" fontId="11" fillId="0" borderId="10" xfId="4" applyNumberFormat="1" applyFont="1" applyBorder="1"/>
    <xf numFmtId="1" fontId="11" fillId="0" borderId="11" xfId="4" applyNumberFormat="1" applyFont="1" applyBorder="1"/>
    <xf numFmtId="166" fontId="6" fillId="2" borderId="1" xfId="2" applyNumberFormat="1" applyFont="1" applyFill="1" applyBorder="1" applyAlignment="1">
      <alignment horizontal="center"/>
    </xf>
    <xf numFmtId="3" fontId="6" fillId="2" borderId="3" xfId="3" applyNumberFormat="1" applyFont="1" applyFill="1" applyBorder="1"/>
    <xf numFmtId="3" fontId="6" fillId="2" borderId="4" xfId="3" applyNumberFormat="1" applyFont="1" applyFill="1" applyBorder="1"/>
    <xf numFmtId="2" fontId="6" fillId="2" borderId="6" xfId="3" applyNumberFormat="1" applyFont="1" applyFill="1" applyBorder="1"/>
    <xf numFmtId="2" fontId="6" fillId="2" borderId="0" xfId="3" applyNumberFormat="1" applyFont="1" applyFill="1"/>
    <xf numFmtId="2" fontId="6" fillId="2" borderId="7" xfId="3" applyNumberFormat="1" applyFont="1" applyFill="1" applyBorder="1"/>
    <xf numFmtId="166" fontId="5" fillId="0" borderId="0" xfId="2" applyNumberFormat="1"/>
    <xf numFmtId="166" fontId="6" fillId="2" borderId="6" xfId="3" applyNumberFormat="1" applyFont="1" applyFill="1" applyBorder="1"/>
    <xf numFmtId="166" fontId="6" fillId="2" borderId="0" xfId="3" applyNumberFormat="1" applyFont="1" applyFill="1"/>
    <xf numFmtId="166" fontId="6" fillId="2" borderId="7" xfId="3" applyNumberFormat="1" applyFont="1" applyFill="1" applyBorder="1"/>
    <xf numFmtId="166" fontId="6" fillId="2" borderId="5" xfId="3" quotePrefix="1" applyNumberFormat="1" applyFont="1" applyFill="1" applyBorder="1" applyAlignment="1">
      <alignment horizontal="center"/>
    </xf>
    <xf numFmtId="169" fontId="6" fillId="2" borderId="0" xfId="3" applyNumberFormat="1" applyFont="1" applyFill="1"/>
    <xf numFmtId="169" fontId="6" fillId="2" borderId="7" xfId="3" applyNumberFormat="1" applyFont="1" applyFill="1" applyBorder="1"/>
    <xf numFmtId="169" fontId="5" fillId="0" borderId="0" xfId="2" applyNumberFormat="1"/>
    <xf numFmtId="166" fontId="6" fillId="2" borderId="5" xfId="2" quotePrefix="1" applyNumberFormat="1" applyFont="1" applyFill="1" applyBorder="1" applyAlignment="1">
      <alignment horizontal="center"/>
    </xf>
    <xf numFmtId="166" fontId="6" fillId="2" borderId="0" xfId="2" applyNumberFormat="1" applyFont="1" applyFill="1"/>
    <xf numFmtId="166" fontId="6" fillId="2" borderId="7" xfId="2" applyNumberFormat="1" applyFont="1" applyFill="1" applyBorder="1"/>
    <xf numFmtId="166" fontId="6" fillId="2" borderId="5" xfId="2" applyNumberFormat="1" applyFont="1" applyFill="1" applyBorder="1" applyAlignment="1">
      <alignment horizontal="center"/>
    </xf>
    <xf numFmtId="3" fontId="6" fillId="2" borderId="0" xfId="2" applyNumberFormat="1" applyFont="1" applyFill="1"/>
    <xf numFmtId="3" fontId="6" fillId="2" borderId="7" xfId="2" applyNumberFormat="1" applyFont="1" applyFill="1" applyBorder="1"/>
    <xf numFmtId="166" fontId="6" fillId="2" borderId="8" xfId="3" applyNumberFormat="1" applyFont="1" applyFill="1" applyBorder="1" applyAlignment="1">
      <alignment horizontal="center"/>
    </xf>
    <xf numFmtId="3" fontId="6" fillId="2" borderId="9" xfId="3" applyNumberFormat="1" applyFont="1" applyFill="1" applyBorder="1"/>
    <xf numFmtId="168" fontId="6" fillId="2" borderId="10" xfId="2" applyNumberFormat="1" applyFont="1" applyFill="1" applyBorder="1"/>
    <xf numFmtId="3" fontId="6" fillId="2" borderId="10" xfId="2" applyNumberFormat="1" applyFont="1" applyFill="1" applyBorder="1"/>
    <xf numFmtId="3" fontId="6" fillId="2" borderId="11" xfId="2" applyNumberFormat="1" applyFont="1" applyFill="1" applyBorder="1"/>
    <xf numFmtId="166" fontId="6" fillId="0" borderId="0" xfId="2" applyNumberFormat="1" applyFont="1"/>
    <xf numFmtId="1" fontId="16" fillId="0" borderId="0" xfId="2" applyNumberFormat="1" applyFont="1" applyAlignment="1">
      <alignment horizontal="right"/>
    </xf>
    <xf numFmtId="1" fontId="6" fillId="0" borderId="0" xfId="2" applyNumberFormat="1" applyFont="1" applyAlignment="1">
      <alignment horizontal="center"/>
    </xf>
    <xf numFmtId="1" fontId="6" fillId="0" borderId="0" xfId="2" applyNumberFormat="1" applyFont="1" applyAlignment="1">
      <alignment horizontal="right"/>
    </xf>
    <xf numFmtId="2" fontId="6" fillId="0" borderId="0" xfId="2" applyNumberFormat="1" applyFont="1"/>
    <xf numFmtId="0" fontId="17" fillId="0" borderId="0" xfId="5"/>
    <xf numFmtId="0" fontId="17" fillId="0" borderId="0" xfId="5" applyAlignment="1">
      <alignment horizontal="center"/>
    </xf>
    <xf numFmtId="0" fontId="17" fillId="0" borderId="0" xfId="5" applyAlignment="1">
      <alignment horizontal="left"/>
    </xf>
    <xf numFmtId="0" fontId="19" fillId="2" borderId="0" xfId="5" applyFont="1" applyFill="1"/>
    <xf numFmtId="0" fontId="20" fillId="0" borderId="0" xfId="5" applyFont="1"/>
    <xf numFmtId="0" fontId="17" fillId="2" borderId="0" xfId="5" applyFill="1" applyAlignment="1">
      <alignment horizontal="center"/>
    </xf>
    <xf numFmtId="0" fontId="17" fillId="2" borderId="1" xfId="5" applyFill="1" applyBorder="1" applyAlignment="1">
      <alignment horizontal="center"/>
    </xf>
    <xf numFmtId="0" fontId="17" fillId="2" borderId="3" xfId="5" applyFill="1" applyBorder="1" applyAlignment="1">
      <alignment horizontal="center"/>
    </xf>
    <xf numFmtId="0" fontId="17" fillId="2" borderId="4" xfId="5" applyFill="1" applyBorder="1" applyAlignment="1">
      <alignment horizontal="center"/>
    </xf>
    <xf numFmtId="0" fontId="21" fillId="0" borderId="0" xfId="5" applyFont="1"/>
    <xf numFmtId="0" fontId="2" fillId="2" borderId="0" xfId="5" applyFont="1" applyFill="1" applyAlignment="1">
      <alignment horizontal="center"/>
    </xf>
    <xf numFmtId="0" fontId="17" fillId="2" borderId="8" xfId="5" applyFill="1" applyBorder="1" applyAlignment="1">
      <alignment horizontal="center"/>
    </xf>
    <xf numFmtId="0" fontId="17" fillId="2" borderId="10" xfId="5" applyFill="1" applyBorder="1" applyAlignment="1">
      <alignment horizontal="center"/>
    </xf>
    <xf numFmtId="0" fontId="17" fillId="2" borderId="11" xfId="5" applyFill="1" applyBorder="1" applyAlignment="1">
      <alignment horizontal="center"/>
    </xf>
    <xf numFmtId="0" fontId="19" fillId="2" borderId="12" xfId="5" applyFont="1" applyFill="1" applyBorder="1" applyAlignment="1">
      <alignment horizontal="center"/>
    </xf>
    <xf numFmtId="0" fontId="22" fillId="0" borderId="0" xfId="5" applyFont="1"/>
    <xf numFmtId="0" fontId="19" fillId="2" borderId="15" xfId="5" applyFont="1" applyFill="1" applyBorder="1" applyAlignment="1">
      <alignment horizontal="center"/>
    </xf>
    <xf numFmtId="0" fontId="19" fillId="2" borderId="16" xfId="5" applyFont="1" applyFill="1" applyBorder="1" applyAlignment="1">
      <alignment horizontal="center"/>
    </xf>
    <xf numFmtId="0" fontId="19" fillId="2" borderId="0" xfId="5" applyFont="1" applyFill="1" applyAlignment="1">
      <alignment horizontal="center"/>
    </xf>
    <xf numFmtId="0" fontId="19" fillId="2" borderId="7" xfId="5" applyFont="1" applyFill="1" applyBorder="1" applyAlignment="1">
      <alignment horizontal="center"/>
    </xf>
    <xf numFmtId="0" fontId="22" fillId="2" borderId="0" xfId="5" applyFont="1" applyFill="1" applyAlignment="1">
      <alignment horizontal="center"/>
    </xf>
    <xf numFmtId="0" fontId="22" fillId="2" borderId="7" xfId="5" applyFont="1" applyFill="1" applyBorder="1" applyAlignment="1">
      <alignment horizontal="center"/>
    </xf>
    <xf numFmtId="0" fontId="20" fillId="2" borderId="3" xfId="5" applyFont="1" applyFill="1" applyBorder="1" applyAlignment="1">
      <alignment horizontal="center"/>
    </xf>
    <xf numFmtId="0" fontId="20" fillId="2" borderId="4" xfId="5" applyFont="1" applyFill="1" applyBorder="1" applyAlignment="1">
      <alignment horizontal="center"/>
    </xf>
    <xf numFmtId="0" fontId="20" fillId="2" borderId="0" xfId="5" applyFont="1" applyFill="1" applyAlignment="1">
      <alignment horizontal="center"/>
    </xf>
    <xf numFmtId="0" fontId="20" fillId="2" borderId="7" xfId="5" applyFont="1" applyFill="1" applyBorder="1" applyAlignment="1">
      <alignment horizontal="center"/>
    </xf>
    <xf numFmtId="0" fontId="20" fillId="2" borderId="10" xfId="5" applyFont="1" applyFill="1" applyBorder="1" applyAlignment="1">
      <alignment horizontal="center"/>
    </xf>
    <xf numFmtId="0" fontId="20" fillId="2" borderId="11" xfId="5" applyFont="1" applyFill="1" applyBorder="1" applyAlignment="1">
      <alignment horizontal="center"/>
    </xf>
    <xf numFmtId="170" fontId="23" fillId="2" borderId="5" xfId="5" applyNumberFormat="1" applyFont="1" applyFill="1" applyBorder="1" applyAlignment="1">
      <alignment horizontal="center"/>
    </xf>
    <xf numFmtId="0" fontId="23" fillId="2" borderId="0" xfId="5" applyFont="1" applyFill="1" applyAlignment="1">
      <alignment horizontal="center"/>
    </xf>
    <xf numFmtId="0" fontId="23" fillId="2" borderId="7" xfId="5" applyFont="1" applyFill="1" applyBorder="1" applyAlignment="1">
      <alignment horizontal="center"/>
    </xf>
    <xf numFmtId="172" fontId="20" fillId="2" borderId="5" xfId="5" applyNumberFormat="1" applyFont="1" applyFill="1" applyBorder="1" applyAlignment="1">
      <alignment horizontal="center"/>
    </xf>
    <xf numFmtId="171" fontId="20" fillId="2" borderId="19" xfId="5" applyNumberFormat="1" applyFont="1" applyFill="1" applyBorder="1" applyAlignment="1">
      <alignment horizontal="center"/>
    </xf>
    <xf numFmtId="171" fontId="20" fillId="2" borderId="0" xfId="5" applyNumberFormat="1" applyFont="1" applyFill="1" applyAlignment="1">
      <alignment horizontal="center"/>
    </xf>
    <xf numFmtId="171" fontId="20" fillId="2" borderId="7" xfId="5" applyNumberFormat="1" applyFont="1" applyFill="1" applyBorder="1" applyAlignment="1">
      <alignment horizontal="center"/>
    </xf>
    <xf numFmtId="1" fontId="20" fillId="2" borderId="5" xfId="5" applyNumberFormat="1" applyFont="1" applyFill="1" applyBorder="1" applyAlignment="1">
      <alignment horizontal="center"/>
    </xf>
    <xf numFmtId="1" fontId="20" fillId="2" borderId="19" xfId="5" applyNumberFormat="1" applyFont="1" applyFill="1" applyBorder="1" applyAlignment="1">
      <alignment horizontal="center"/>
    </xf>
    <xf numFmtId="1" fontId="20" fillId="2" borderId="0" xfId="5" applyNumberFormat="1" applyFont="1" applyFill="1" applyAlignment="1">
      <alignment horizontal="center"/>
    </xf>
    <xf numFmtId="1" fontId="20" fillId="2" borderId="7" xfId="5" applyNumberFormat="1" applyFont="1" applyFill="1" applyBorder="1" applyAlignment="1">
      <alignment horizontal="center"/>
    </xf>
    <xf numFmtId="1" fontId="20" fillId="0" borderId="0" xfId="5" applyNumberFormat="1" applyFont="1"/>
    <xf numFmtId="0" fontId="23" fillId="2" borderId="8" xfId="5" applyFont="1" applyFill="1" applyBorder="1" applyAlignment="1">
      <alignment horizontal="center"/>
    </xf>
    <xf numFmtId="0" fontId="23" fillId="2" borderId="20" xfId="5" applyFont="1" applyFill="1" applyBorder="1" applyAlignment="1">
      <alignment horizontal="center"/>
    </xf>
    <xf numFmtId="0" fontId="23" fillId="2" borderId="10" xfId="5" applyFont="1" applyFill="1" applyBorder="1" applyAlignment="1">
      <alignment horizontal="center"/>
    </xf>
    <xf numFmtId="0" fontId="23" fillId="2" borderId="11" xfId="5" applyFont="1" applyFill="1" applyBorder="1" applyAlignment="1">
      <alignment horizontal="center"/>
    </xf>
    <xf numFmtId="0" fontId="22" fillId="2" borderId="15" xfId="5" applyFont="1" applyFill="1" applyBorder="1" applyAlignment="1">
      <alignment horizontal="center"/>
    </xf>
    <xf numFmtId="170" fontId="23" fillId="2" borderId="1" xfId="5" applyNumberFormat="1" applyFont="1" applyFill="1" applyBorder="1" applyAlignment="1">
      <alignment horizontal="center"/>
    </xf>
    <xf numFmtId="170" fontId="23" fillId="2" borderId="8" xfId="5" applyNumberFormat="1" applyFont="1" applyFill="1" applyBorder="1" applyAlignment="1">
      <alignment horizontal="center"/>
    </xf>
    <xf numFmtId="0" fontId="22" fillId="2" borderId="16" xfId="5" applyFont="1" applyFill="1" applyBorder="1" applyAlignment="1">
      <alignment horizontal="center"/>
    </xf>
    <xf numFmtId="0" fontId="23" fillId="2" borderId="19" xfId="5" applyFont="1" applyFill="1" applyBorder="1" applyAlignment="1">
      <alignment horizontal="center"/>
    </xf>
    <xf numFmtId="171" fontId="20" fillId="2" borderId="12" xfId="5" applyNumberFormat="1" applyFont="1" applyFill="1" applyBorder="1" applyAlignment="1">
      <alignment horizontal="center"/>
    </xf>
    <xf numFmtId="171" fontId="20" fillId="2" borderId="15" xfId="5" applyNumberFormat="1" applyFont="1" applyFill="1" applyBorder="1" applyAlignment="1">
      <alignment horizontal="center"/>
    </xf>
    <xf numFmtId="171" fontId="20" fillId="2" borderId="17" xfId="5" applyNumberFormat="1" applyFont="1" applyFill="1" applyBorder="1" applyAlignment="1">
      <alignment horizontal="center"/>
    </xf>
    <xf numFmtId="173" fontId="20" fillId="0" borderId="0" xfId="1" applyNumberFormat="1" applyFont="1"/>
    <xf numFmtId="174" fontId="20" fillId="0" borderId="0" xfId="1" applyNumberFormat="1" applyFont="1" applyAlignment="1">
      <alignment horizontal="right"/>
    </xf>
    <xf numFmtId="175" fontId="6" fillId="2" borderId="6" xfId="2" applyNumberFormat="1" applyFont="1" applyFill="1" applyBorder="1"/>
    <xf numFmtId="175" fontId="6" fillId="2" borderId="0" xfId="2" applyNumberFormat="1" applyFont="1" applyFill="1"/>
    <xf numFmtId="164" fontId="20" fillId="0" borderId="3" xfId="1" applyFont="1" applyBorder="1"/>
    <xf numFmtId="169" fontId="6" fillId="2" borderId="19" xfId="3" applyNumberFormat="1" applyFont="1" applyFill="1" applyBorder="1"/>
    <xf numFmtId="175" fontId="6" fillId="2" borderId="19" xfId="2" applyNumberFormat="1" applyFont="1" applyFill="1" applyBorder="1"/>
    <xf numFmtId="3" fontId="6" fillId="2" borderId="19" xfId="3" applyNumberFormat="1" applyFont="1" applyFill="1" applyBorder="1"/>
    <xf numFmtId="3" fontId="6" fillId="2" borderId="20" xfId="3" applyNumberFormat="1" applyFont="1" applyFill="1" applyBorder="1"/>
    <xf numFmtId="164" fontId="20" fillId="0" borderId="18" xfId="1" applyFont="1" applyBorder="1"/>
    <xf numFmtId="173" fontId="20" fillId="0" borderId="19" xfId="1" applyNumberFormat="1" applyFont="1" applyBorder="1"/>
    <xf numFmtId="174" fontId="20" fillId="0" borderId="19" xfId="1" applyNumberFormat="1" applyFont="1" applyBorder="1" applyAlignment="1">
      <alignment horizontal="right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2" borderId="6" xfId="3" applyNumberFormat="1" applyFont="1" applyFill="1" applyBorder="1"/>
    <xf numFmtId="0" fontId="6" fillId="2" borderId="2" xfId="2" applyNumberFormat="1" applyFont="1" applyFill="1" applyBorder="1"/>
    <xf numFmtId="0" fontId="6" fillId="2" borderId="3" xfId="3" applyNumberFormat="1" applyFont="1" applyFill="1" applyBorder="1"/>
    <xf numFmtId="0" fontId="6" fillId="2" borderId="0" xfId="3" applyNumberFormat="1" applyFont="1" applyFill="1"/>
    <xf numFmtId="1" fontId="6" fillId="2" borderId="0" xfId="3" applyNumberFormat="1" applyFont="1" applyFill="1"/>
    <xf numFmtId="0" fontId="25" fillId="0" borderId="0" xfId="0" applyFont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0" fontId="0" fillId="0" borderId="17" xfId="0" applyBorder="1"/>
    <xf numFmtId="0" fontId="0" fillId="0" borderId="13" xfId="0" applyBorder="1"/>
    <xf numFmtId="1" fontId="25" fillId="0" borderId="22" xfId="0" applyNumberFormat="1" applyFont="1" applyBorder="1"/>
    <xf numFmtId="1" fontId="25" fillId="0" borderId="13" xfId="0" applyNumberFormat="1" applyFont="1" applyBorder="1"/>
    <xf numFmtId="0" fontId="26" fillId="0" borderId="0" xfId="0" applyFont="1"/>
    <xf numFmtId="0" fontId="25" fillId="0" borderId="0" xfId="0" applyFont="1" applyFill="1" applyBorder="1"/>
    <xf numFmtId="0" fontId="0" fillId="0" borderId="0" xfId="0" applyAlignment="1">
      <alignment horizontal="center"/>
    </xf>
    <xf numFmtId="2" fontId="0" fillId="0" borderId="11" xfId="0" applyNumberFormat="1" applyBorder="1"/>
    <xf numFmtId="0" fontId="0" fillId="0" borderId="26" xfId="0" applyBorder="1"/>
    <xf numFmtId="0" fontId="25" fillId="0" borderId="23" xfId="0" applyFont="1" applyBorder="1"/>
    <xf numFmtId="0" fontId="25" fillId="0" borderId="25" xfId="0" applyFont="1" applyBorder="1"/>
    <xf numFmtId="0" fontId="25" fillId="0" borderId="27" xfId="0" applyFont="1" applyBorder="1"/>
    <xf numFmtId="169" fontId="0" fillId="0" borderId="26" xfId="0" applyNumberFormat="1" applyBorder="1"/>
    <xf numFmtId="0" fontId="25" fillId="0" borderId="2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3" borderId="13" xfId="0" applyFont="1" applyFill="1" applyBorder="1" applyAlignment="1">
      <alignment horizontal="center"/>
    </xf>
    <xf numFmtId="0" fontId="25" fillId="3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Alignment="1"/>
    <xf numFmtId="177" fontId="0" fillId="0" borderId="28" xfId="0" applyNumberFormat="1" applyBorder="1"/>
    <xf numFmtId="0" fontId="25" fillId="0" borderId="21" xfId="0" applyFont="1" applyBorder="1" applyAlignment="1">
      <alignment horizontal="center"/>
    </xf>
    <xf numFmtId="1" fontId="0" fillId="0" borderId="0" xfId="0" applyNumberFormat="1" applyBorder="1"/>
    <xf numFmtId="1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" fontId="25" fillId="0" borderId="21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169" fontId="0" fillId="0" borderId="0" xfId="0" applyNumberFormat="1" applyBorder="1" applyAlignment="1">
      <alignment horizontal="center"/>
    </xf>
    <xf numFmtId="0" fontId="25" fillId="0" borderId="19" xfId="0" applyFont="1" applyFill="1" applyBorder="1"/>
    <xf numFmtId="2" fontId="0" fillId="0" borderId="7" xfId="0" applyNumberFormat="1" applyBorder="1"/>
    <xf numFmtId="0" fontId="25" fillId="0" borderId="20" xfId="0" applyFont="1" applyFill="1" applyBorder="1"/>
    <xf numFmtId="0" fontId="25" fillId="0" borderId="13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1" fontId="27" fillId="0" borderId="0" xfId="0" applyNumberFormat="1" applyFont="1" applyBorder="1"/>
    <xf numFmtId="1" fontId="27" fillId="0" borderId="13" xfId="0" applyNumberFormat="1" applyFont="1" applyBorder="1"/>
    <xf numFmtId="0" fontId="0" fillId="0" borderId="12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right"/>
    </xf>
    <xf numFmtId="1" fontId="27" fillId="3" borderId="14" xfId="0" applyNumberFormat="1" applyFont="1" applyFill="1" applyBorder="1"/>
    <xf numFmtId="0" fontId="27" fillId="4" borderId="22" xfId="0" applyFont="1" applyFill="1" applyBorder="1" applyAlignment="1">
      <alignment horizontal="right"/>
    </xf>
    <xf numFmtId="1" fontId="27" fillId="4" borderId="14" xfId="0" applyNumberFormat="1" applyFont="1" applyFill="1" applyBorder="1"/>
    <xf numFmtId="1" fontId="24" fillId="0" borderId="0" xfId="0" applyNumberFormat="1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/>
    </xf>
    <xf numFmtId="0" fontId="29" fillId="0" borderId="0" xfId="0" applyFont="1"/>
    <xf numFmtId="1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1" fontId="30" fillId="0" borderId="15" xfId="0" applyNumberFormat="1" applyFont="1" applyBorder="1" applyAlignment="1">
      <alignment horizontal="center"/>
    </xf>
    <xf numFmtId="166" fontId="30" fillId="0" borderId="0" xfId="0" applyNumberFormat="1" applyFont="1" applyBorder="1" applyAlignment="1">
      <alignment horizontal="center"/>
    </xf>
    <xf numFmtId="176" fontId="30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" fontId="31" fillId="5" borderId="0" xfId="0" applyNumberFormat="1" applyFont="1" applyFill="1" applyBorder="1"/>
    <xf numFmtId="1" fontId="31" fillId="0" borderId="0" xfId="0" applyNumberFormat="1" applyFont="1" applyBorder="1"/>
    <xf numFmtId="1" fontId="31" fillId="0" borderId="10" xfId="0" applyNumberFormat="1" applyFont="1" applyBorder="1"/>
    <xf numFmtId="169" fontId="30" fillId="0" borderId="0" xfId="0" applyNumberFormat="1" applyFont="1" applyBorder="1" applyAlignment="1">
      <alignment horizontal="center"/>
    </xf>
    <xf numFmtId="0" fontId="0" fillId="7" borderId="0" xfId="0" applyFill="1"/>
    <xf numFmtId="0" fontId="25" fillId="7" borderId="0" xfId="0" applyFont="1" applyFill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25" fillId="7" borderId="0" xfId="0" applyFont="1" applyFill="1"/>
    <xf numFmtId="0" fontId="25" fillId="7" borderId="8" xfId="0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27" fillId="7" borderId="22" xfId="0" applyNumberFormat="1" applyFont="1" applyFill="1" applyBorder="1" applyAlignment="1">
      <alignment horizontal="center"/>
    </xf>
    <xf numFmtId="1" fontId="27" fillId="7" borderId="14" xfId="0" applyNumberFormat="1" applyFont="1" applyFill="1" applyBorder="1" applyAlignment="1">
      <alignment horizontal="center"/>
    </xf>
    <xf numFmtId="1" fontId="29" fillId="7" borderId="29" xfId="0" applyNumberFormat="1" applyFont="1" applyFill="1" applyBorder="1" applyAlignment="1">
      <alignment horizontal="center"/>
    </xf>
    <xf numFmtId="1" fontId="29" fillId="7" borderId="30" xfId="0" applyNumberFormat="1" applyFont="1" applyFill="1" applyBorder="1" applyAlignment="1">
      <alignment horizontal="center"/>
    </xf>
    <xf numFmtId="1" fontId="28" fillId="7" borderId="0" xfId="0" applyNumberFormat="1" applyFont="1" applyFill="1" applyAlignment="1">
      <alignment horizontal="center"/>
    </xf>
    <xf numFmtId="1" fontId="25" fillId="7" borderId="0" xfId="0" applyNumberFormat="1" applyFon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1" fontId="0" fillId="3" borderId="7" xfId="0" applyNumberFormat="1" applyFill="1" applyBorder="1"/>
    <xf numFmtId="0" fontId="0" fillId="3" borderId="8" xfId="0" applyFill="1" applyBorder="1"/>
    <xf numFmtId="1" fontId="28" fillId="3" borderId="11" xfId="0" applyNumberFormat="1" applyFont="1" applyFill="1" applyBorder="1"/>
    <xf numFmtId="1" fontId="0" fillId="3" borderId="0" xfId="0" applyNumberFormat="1" applyFill="1"/>
    <xf numFmtId="0" fontId="33" fillId="0" borderId="0" xfId="0" applyFont="1" applyAlignment="1">
      <alignment horizontal="center"/>
    </xf>
    <xf numFmtId="1" fontId="27" fillId="0" borderId="14" xfId="0" applyNumberFormat="1" applyFont="1" applyBorder="1" applyAlignment="1">
      <alignment horizontal="right"/>
    </xf>
    <xf numFmtId="1" fontId="28" fillId="6" borderId="0" xfId="0" applyNumberFormat="1" applyFont="1" applyFill="1" applyAlignment="1">
      <alignment horizontal="right"/>
    </xf>
    <xf numFmtId="1" fontId="25" fillId="6" borderId="0" xfId="0" applyNumberFormat="1" applyFont="1" applyFill="1" applyAlignment="1">
      <alignment horizontal="right"/>
    </xf>
    <xf numFmtId="2" fontId="0" fillId="6" borderId="24" xfId="0" applyNumberFormat="1" applyFill="1" applyBorder="1"/>
    <xf numFmtId="169" fontId="32" fillId="0" borderId="0" xfId="0" applyNumberFormat="1" applyFont="1" applyBorder="1" applyAlignment="1">
      <alignment horizontal="center"/>
    </xf>
    <xf numFmtId="0" fontId="0" fillId="6" borderId="0" xfId="0" applyFont="1" applyFill="1"/>
    <xf numFmtId="0" fontId="25" fillId="8" borderId="0" xfId="0" applyFont="1" applyFill="1"/>
    <xf numFmtId="0" fontId="25" fillId="3" borderId="1" xfId="0" applyFont="1" applyFill="1" applyBorder="1"/>
    <xf numFmtId="0" fontId="25" fillId="3" borderId="4" xfId="0" applyFont="1" applyFill="1" applyBorder="1"/>
    <xf numFmtId="0" fontId="25" fillId="3" borderId="8" xfId="0" applyFont="1" applyFill="1" applyBorder="1"/>
    <xf numFmtId="0" fontId="25" fillId="3" borderId="11" xfId="0" applyFont="1" applyFill="1" applyBorder="1"/>
    <xf numFmtId="0" fontId="3" fillId="0" borderId="0" xfId="0" applyFont="1" applyAlignment="1">
      <alignment horizontal="center" vertical="center" readingOrder="1"/>
    </xf>
    <xf numFmtId="0" fontId="18" fillId="2" borderId="0" xfId="5" applyFont="1" applyFill="1" applyAlignment="1">
      <alignment horizontal="center"/>
    </xf>
    <xf numFmtId="0" fontId="21" fillId="2" borderId="5" xfId="5" applyFont="1" applyFill="1" applyBorder="1" applyAlignment="1">
      <alignment horizontal="center"/>
    </xf>
    <xf numFmtId="0" fontId="21" fillId="2" borderId="0" xfId="5" applyFont="1" applyFill="1" applyAlignment="1">
      <alignment horizontal="center"/>
    </xf>
    <xf numFmtId="0" fontId="21" fillId="2" borderId="7" xfId="5" applyFont="1" applyFill="1" applyBorder="1" applyAlignment="1">
      <alignment horizontal="center"/>
    </xf>
    <xf numFmtId="0" fontId="19" fillId="2" borderId="13" xfId="5" applyFont="1" applyFill="1" applyBorder="1" applyAlignment="1">
      <alignment horizontal="center"/>
    </xf>
    <xf numFmtId="0" fontId="19" fillId="2" borderId="14" xfId="5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1" fontId="16" fillId="5" borderId="0" xfId="2" applyNumberFormat="1" applyFont="1" applyFill="1"/>
    <xf numFmtId="166" fontId="6" fillId="5" borderId="5" xfId="3" quotePrefix="1" applyNumberFormat="1" applyFont="1" applyFill="1" applyBorder="1" applyAlignment="1">
      <alignment horizontal="center"/>
    </xf>
    <xf numFmtId="166" fontId="6" fillId="5" borderId="6" xfId="3" applyNumberFormat="1" applyFont="1" applyFill="1" applyBorder="1"/>
    <xf numFmtId="166" fontId="6" fillId="5" borderId="0" xfId="3" applyNumberFormat="1" applyFont="1" applyFill="1"/>
  </cellXfs>
  <cellStyles count="6">
    <cellStyle name="Millares [0]" xfId="1" builtinId="6"/>
    <cellStyle name="Millares [0]_166AREN" xfId="4" xr:uid="{5F3F3FC9-E63F-45EE-9848-7DB0832887D7}"/>
    <cellStyle name="Millares [0]_74CAEN" xfId="2" xr:uid="{CB297A2B-2AFE-40C7-9727-45721F732647}"/>
    <cellStyle name="Normal" xfId="0" builtinId="0"/>
    <cellStyle name="Normal 2" xfId="5" xr:uid="{DA4357BC-DF1F-4E0F-B256-B25C375846FA}"/>
    <cellStyle name="Normal_6AZNfb97   " xfId="3" xr:uid="{3AEC1B6B-84F6-416D-AC5B-84AFE8F33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'Ab-an-biol'!$C$58</c:f>
              <c:strCache>
                <c:ptCount val="1"/>
                <c:pt idx="0">
                  <c:v>&lt; 12,0 cm =17%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'Ab-an-biol'!$D$58:$I$58</c:f>
              <c:numCache>
                <c:formatCode>0.0</c:formatCode>
                <c:ptCount val="6"/>
                <c:pt idx="0">
                  <c:v>4.1908983659591774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FFF-AD52-3E584320D27D}"/>
            </c:ext>
          </c:extLst>
        </c:ser>
        <c:ser>
          <c:idx val="1"/>
          <c:order val="1"/>
          <c:tx>
            <c:strRef>
              <c:f>'Ab-an-biol'!$C$59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'Ab-an-biol'!$D$59:$I$59</c:f>
              <c:numCache>
                <c:formatCode>0.0</c:formatCode>
                <c:ptCount val="6"/>
                <c:pt idx="0">
                  <c:v>1.8871781776672774</c:v>
                </c:pt>
                <c:pt idx="1">
                  <c:v>16.580494671419572</c:v>
                </c:pt>
                <c:pt idx="2">
                  <c:v>1.5902042425592127</c:v>
                </c:pt>
                <c:pt idx="3">
                  <c:v>2.1005790058311016E-2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FFF-AD52-3E584320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'Ab-an-calendario'!$C$58</c:f>
              <c:strCache>
                <c:ptCount val="1"/>
                <c:pt idx="0">
                  <c:v>&lt; 12,0 cm =17%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'Ab-an-calendario'!$D$58:$I$58</c:f>
              <c:numCache>
                <c:formatCode>0.0</c:formatCode>
                <c:ptCount val="6"/>
                <c:pt idx="0">
                  <c:v>0</c:v>
                </c:pt>
                <c:pt idx="1">
                  <c:v>4.1908983659591774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172-ABB5-C485E39DFB68}"/>
            </c:ext>
          </c:extLst>
        </c:ser>
        <c:ser>
          <c:idx val="1"/>
          <c:order val="1"/>
          <c:tx>
            <c:strRef>
              <c:f>'Ab-an-calendario'!$C$59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'Ab-an-calendario'!$D$59:$I$59</c:f>
              <c:numCache>
                <c:formatCode>0.0</c:formatCode>
                <c:ptCount val="6"/>
                <c:pt idx="0">
                  <c:v>0</c:v>
                </c:pt>
                <c:pt idx="1">
                  <c:v>8.1764770420438939</c:v>
                </c:pt>
                <c:pt idx="2">
                  <c:v>10.933390760779856</c:v>
                </c:pt>
                <c:pt idx="3">
                  <c:v>0.96901507888062111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172-ABB5-C485E39D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'Ab-SardinaComún'!$C$58</c:f>
              <c:strCache>
                <c:ptCount val="1"/>
                <c:pt idx="0">
                  <c:v>&lt; 11,5 cm =92Abundancia a la edad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'Ab-SardinaComún'!$D$6:$I$6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'Ab-SardinaComún'!$D$58:$I$58</c:f>
              <c:numCache>
                <c:formatCode>0.0</c:formatCode>
                <c:ptCount val="6"/>
                <c:pt idx="0">
                  <c:v>303.26152591251014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6F3-9389-FB8E8F79862F}"/>
            </c:ext>
          </c:extLst>
        </c:ser>
        <c:ser>
          <c:idx val="1"/>
          <c:order val="1"/>
          <c:tx>
            <c:strRef>
              <c:f>'Ab-SardinaComún'!$C$59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'Ab-SardinaComún'!$D$6:$I$6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'Ab-SardinaComún'!$D$59:$I$59</c:f>
              <c:numCache>
                <c:formatCode>0.0</c:formatCode>
                <c:ptCount val="6"/>
                <c:pt idx="0">
                  <c:v>5.6893005609865641</c:v>
                </c:pt>
                <c:pt idx="1">
                  <c:v>9.7580060030978686</c:v>
                </c:pt>
                <c:pt idx="2">
                  <c:v>8.2723776982779444</c:v>
                </c:pt>
                <c:pt idx="3">
                  <c:v>2.6528257456887898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6F3-9389-FB8E8F79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Biomasa vulnerable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Crms_cru!$J$27</c:f>
              <c:strCache>
                <c:ptCount val="1"/>
                <c:pt idx="0">
                  <c:v>biomasaVuln 2020/21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Crms_cru!$J$28:$J$32</c:f>
              <c:numCache>
                <c:formatCode>0</c:formatCode>
                <c:ptCount val="5"/>
                <c:pt idx="0">
                  <c:v>1307647.7861187072</c:v>
                </c:pt>
                <c:pt idx="1">
                  <c:v>180324.94603954168</c:v>
                </c:pt>
                <c:pt idx="2">
                  <c:v>96860.909884340988</c:v>
                </c:pt>
                <c:pt idx="3">
                  <c:v>133255.80995712944</c:v>
                </c:pt>
                <c:pt idx="4">
                  <c:v>49125.370044612624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8443-A574-B53FE7ABD5F9}"/>
            </c:ext>
          </c:extLst>
        </c:ser>
        <c:ser>
          <c:idx val="1"/>
          <c:order val="1"/>
          <c:tx>
            <c:strRef>
              <c:f>Crms_cru!$J$37</c:f>
              <c:strCache>
                <c:ptCount val="1"/>
                <c:pt idx="0">
                  <c:v>biomasaVuln 2021/22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Crms_cru!$J$38:$J$42</c:f>
              <c:numCache>
                <c:formatCode>0</c:formatCode>
                <c:ptCount val="5"/>
                <c:pt idx="0">
                  <c:v>933465.79865246126</c:v>
                </c:pt>
                <c:pt idx="1">
                  <c:v>955706.43454136373</c:v>
                </c:pt>
                <c:pt idx="2">
                  <c:v>80723.768277490817</c:v>
                </c:pt>
                <c:pt idx="3">
                  <c:v>40493.674113345354</c:v>
                </c:pt>
                <c:pt idx="4">
                  <c:v>64735.070715625254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C-8443-A574-B53FE7ABD5F9}"/>
            </c:ext>
          </c:extLst>
        </c:ser>
        <c:ser>
          <c:idx val="2"/>
          <c:order val="2"/>
          <c:tx>
            <c:strRef>
              <c:f>Crms_cru!$J$16</c:f>
              <c:strCache>
                <c:ptCount val="1"/>
                <c:pt idx="0">
                  <c:v>Biomasa_vulnerable_cru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Crms_cru!$J$17:$J$21</c:f>
              <c:numCache>
                <c:formatCode>0</c:formatCode>
                <c:ptCount val="5"/>
                <c:pt idx="0">
                  <c:v>1191507.2711858072</c:v>
                </c:pt>
                <c:pt idx="1">
                  <c:v>245494.40805520018</c:v>
                </c:pt>
                <c:pt idx="2">
                  <c:v>306086.4734219244</c:v>
                </c:pt>
                <c:pt idx="3">
                  <c:v>109235.57083075654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C-8443-A574-B53FE7A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04015"/>
        <c:axId val="1797619311"/>
      </c:barChart>
      <c:catAx>
        <c:axId val="18010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97619311"/>
        <c:crosses val="autoZero"/>
        <c:auto val="1"/>
        <c:lblAlgn val="ctr"/>
        <c:lblOffset val="100"/>
        <c:noMultiLvlLbl val="0"/>
      </c:catAx>
      <c:valAx>
        <c:axId val="1797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10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Estructura Edad Crucero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Crms_cru!$B$17:$B$21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5-214F-9056-2290923AF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Crms_cru!$C$17:$C$21</c:f>
              <c:numCache>
                <c:formatCode>0</c:formatCode>
                <c:ptCount val="5"/>
                <c:pt idx="0">
                  <c:v>309780.2241665881</c:v>
                </c:pt>
                <c:pt idx="1">
                  <c:v>9784.2019766141766</c:v>
                </c:pt>
                <c:pt idx="2">
                  <c:v>8294.5854102871581</c:v>
                </c:pt>
                <c:pt idx="3">
                  <c:v>2659.9474212601499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5-214F-9056-2290923A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069808"/>
        <c:axId val="1156071456"/>
      </c:barChart>
      <c:catAx>
        <c:axId val="11560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071456"/>
        <c:crosses val="autoZero"/>
        <c:auto val="1"/>
        <c:lblAlgn val="ctr"/>
        <c:lblOffset val="100"/>
        <c:noMultiLvlLbl val="0"/>
      </c:catAx>
      <c:valAx>
        <c:axId val="1156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0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9A68F7B-81D6-4555-A7E3-3F4B0BE7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9673C8C-D28F-4D2C-A7E7-334B156A2BFD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0.54779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0653" y="1407976"/>
          <a:ext cx="34181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24.269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B9CEB99-49D2-46E1-81B9-528F4919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B04C533-39D6-4D05-8822-CB5113D3D5E6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0.58812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5453" y="1407976"/>
          <a:ext cx="31133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21.269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ED7854F-12FC-47F6-B0A4-597C5F9B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F4EFCDB-8963-478C-8E89-7B041A0FAE98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0.22409</cdr:x>
      <cdr:y>0.01053</cdr:y>
    </cdr:from>
    <cdr:to>
      <cdr:x>0.4819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3836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0.55068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2425" y="1407976"/>
          <a:ext cx="3396343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329.634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850900</xdr:colOff>
      <xdr:row>27</xdr:row>
      <xdr:rowOff>115455</xdr:rowOff>
    </xdr:from>
    <xdr:to>
      <xdr:col>22</xdr:col>
      <xdr:colOff>307603</xdr:colOff>
      <xdr:row>58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8A0F4-2B04-D94E-8A2E-C6A98E60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1385454</xdr:colOff>
      <xdr:row>44</xdr:row>
      <xdr:rowOff>25400</xdr:rowOff>
    </xdr:from>
    <xdr:to>
      <xdr:col>7</xdr:col>
      <xdr:colOff>1962728</xdr:colOff>
      <xdr:row>62</xdr:row>
      <xdr:rowOff>69273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D9FBCA-002F-A146-A28C-C89C237FD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malia.lopez/Documents/respaldo%20amalia%20lopez/SEGUIM/2018/para%20inf-2017/inf_centro%20sur_2016-2017/TABLAS%20y%20FIG_16-17/ANEXO%205B%20SCOMUN/ANEXO%204B%20Claves%20SComun_2016_2017_Tabla%201%20a%20la%2018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Saño16-17"/>
      <sheetName val="2.CS3T16"/>
      <sheetName val="3.CS4T16"/>
      <sheetName val="4.CS1T17"/>
      <sheetName val="5.CS2T17"/>
      <sheetName val="6-.283T16"/>
      <sheetName val="7-.284T16"/>
      <sheetName val="8-.281T17"/>
      <sheetName val="9-.282T17"/>
      <sheetName val="10-.393T16"/>
      <sheetName val="11-.394T16"/>
      <sheetName val="12-.391T17"/>
      <sheetName val="13-.392T17"/>
      <sheetName val="14.añoCalbuco16-17"/>
      <sheetName val="15.Calb3t16"/>
      <sheetName val="16.Calb4t16"/>
      <sheetName val="17.Calb1t17"/>
      <sheetName val="18.Calb2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5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6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7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C Quiroz" id="{94352A3F-3B8F-E246-B353-49B540D4A5C7}" userId="cd2174d721131cb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8" dT="2021-03-31T23:33:13.52" personId="{94352A3F-3B8F-E246-B353-49B540D4A5C7}" id="{87DA0DC8-222A-1B4E-B4D4-F8F113BBEFB0}">
    <text>Esto es estimado, no?</text>
  </threadedComment>
  <threadedComment ref="C38" dT="2021-03-31T23:35:40.60" personId="{94352A3F-3B8F-E246-B353-49B540D4A5C7}" id="{338B764F-8B1F-4048-A31D-2531BB3AE044}">
    <text>Aca usamos el supuesto de proyección, que 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C02-A187-4DE9-A570-C65BDF04B94D}">
  <dimension ref="B1:W66"/>
  <sheetViews>
    <sheetView showZeros="0" zoomScale="50" zoomScaleNormal="50" workbookViewId="0">
      <selection activeCell="D48" sqref="D48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253" t="s">
        <v>35</v>
      </c>
      <c r="C1" s="253"/>
      <c r="D1" s="253"/>
      <c r="E1" s="253"/>
      <c r="F1" s="253"/>
      <c r="G1" s="253"/>
      <c r="H1" s="253"/>
      <c r="I1" s="253"/>
      <c r="J1" s="253"/>
    </row>
    <row r="2" spans="2:23" ht="36" x14ac:dyDescent="0.15">
      <c r="B2" s="253" t="s">
        <v>44</v>
      </c>
      <c r="C2" s="253"/>
      <c r="D2" s="253"/>
      <c r="E2" s="253"/>
      <c r="F2" s="253"/>
      <c r="G2" s="253"/>
      <c r="H2" s="253"/>
      <c r="I2" s="253"/>
      <c r="J2" s="253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24269781247.663551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4468385.5942338388</v>
      </c>
      <c r="D9" s="33">
        <v>4468385.5942338388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42957957.143397778</v>
      </c>
      <c r="D10" s="33">
        <v>42957957.143397778</v>
      </c>
      <c r="E10" s="33">
        <v>0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167871736.97753361</v>
      </c>
      <c r="D11" s="33">
        <v>167871736.97753361</v>
      </c>
      <c r="E11" s="33">
        <v>0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200029178.27248386</v>
      </c>
      <c r="D12" s="33">
        <v>200029178.27248386</v>
      </c>
      <c r="E12" s="33">
        <v>0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165669129.65210286</v>
      </c>
      <c r="D13" s="33">
        <v>165669129.65210286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102942300.00010371</v>
      </c>
      <c r="D14" s="33">
        <v>102942300.00010371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15639349.579818437</v>
      </c>
      <c r="D15" s="33">
        <v>15639349.579818437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9672819.2632394861</v>
      </c>
      <c r="D16" s="33">
        <v>9672819.2632394861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5204433.6690056454</v>
      </c>
      <c r="D17" s="33">
        <v>5204433.6690056454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17.267969262650993</v>
      </c>
      <c r="M17" s="39" t="s">
        <v>18</v>
      </c>
    </row>
    <row r="18" spans="2:13" x14ac:dyDescent="0.25">
      <c r="B18" s="25">
        <v>7</v>
      </c>
      <c r="C18" s="32">
        <v>11314346.745508531</v>
      </c>
      <c r="D18" s="33">
        <v>11314346.745508531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6.0641697986533731E-2</v>
      </c>
      <c r="M18" s="39" t="s">
        <v>19</v>
      </c>
    </row>
    <row r="19" spans="2:13" x14ac:dyDescent="0.25">
      <c r="B19" s="25">
        <v>7.5</v>
      </c>
      <c r="C19" s="32">
        <v>50245231.977401137</v>
      </c>
      <c r="D19" s="33">
        <v>50245231.977401137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24269781247.663551</v>
      </c>
      <c r="M19" s="39" t="s">
        <v>20</v>
      </c>
    </row>
    <row r="20" spans="2:13" x14ac:dyDescent="0.25">
      <c r="B20" s="25">
        <v>8</v>
      </c>
      <c r="C20" s="32">
        <v>334156340.9355793</v>
      </c>
      <c r="D20" s="33">
        <v>334156340.9355793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545302045.67992175</v>
      </c>
      <c r="D21" s="33">
        <v>545302045.67992175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490300985.99135011</v>
      </c>
      <c r="D22" s="33">
        <v>490300985.99135011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347907010.18511719</v>
      </c>
      <c r="D23" s="33">
        <v>347907010.18511719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522834135.03252584</v>
      </c>
      <c r="D24" s="33">
        <v>522834135.03252584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345905292.15254778</v>
      </c>
      <c r="D25" s="33">
        <v>345905292.15254778</v>
      </c>
      <c r="E25" s="33">
        <v>0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472207289.26940918</v>
      </c>
      <c r="D26" s="33">
        <v>472207289.26940918</v>
      </c>
      <c r="E26" s="33">
        <v>0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356270397.83789665</v>
      </c>
      <c r="D27" s="33">
        <v>356270397.83789665</v>
      </c>
      <c r="E27" s="33">
        <v>0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640394650.79032016</v>
      </c>
      <c r="D28" s="33">
        <v>384236790.47419208</v>
      </c>
      <c r="E28" s="33">
        <v>256157860.31612808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910388646.50775683</v>
      </c>
      <c r="D29" s="33">
        <v>606925764.33850455</v>
      </c>
      <c r="E29" s="33">
        <v>303462882.16925228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1149034879.7136443</v>
      </c>
      <c r="D30" s="33">
        <v>574517439.85682213</v>
      </c>
      <c r="E30" s="33">
        <v>574517439.85682213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2116434018.9828353</v>
      </c>
      <c r="D31" s="33">
        <v>162802616.84483349</v>
      </c>
      <c r="E31" s="33">
        <v>1953631402.1380019</v>
      </c>
      <c r="F31" s="33">
        <v>0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2697824624.5997248</v>
      </c>
      <c r="D32" s="33">
        <v>158695566.15292498</v>
      </c>
      <c r="E32" s="33">
        <v>2539129058.4467998</v>
      </c>
      <c r="F32" s="33">
        <v>0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2928969407.024405</v>
      </c>
      <c r="D33" s="33">
        <v>0</v>
      </c>
      <c r="E33" s="33">
        <v>2928969407.024405</v>
      </c>
      <c r="F33" s="33">
        <v>0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2834413225.449429</v>
      </c>
      <c r="D34" s="33">
        <v>0</v>
      </c>
      <c r="E34" s="33">
        <v>2834413225.449429</v>
      </c>
      <c r="F34" s="33">
        <v>0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2599323641.2383304</v>
      </c>
      <c r="D35" s="33">
        <v>0</v>
      </c>
      <c r="E35" s="33">
        <v>2339391277.1144972</v>
      </c>
      <c r="F35" s="33">
        <v>259932364.12383306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2015771779.6502624</v>
      </c>
      <c r="D36" s="33">
        <v>0</v>
      </c>
      <c r="E36" s="33">
        <v>1727804382.5573678</v>
      </c>
      <c r="F36" s="33">
        <v>287967397.09289461</v>
      </c>
      <c r="G36" s="33">
        <v>0</v>
      </c>
      <c r="H36" s="33"/>
      <c r="I36" s="33"/>
      <c r="J36" s="38">
        <v>0</v>
      </c>
    </row>
    <row r="37" spans="2:14" x14ac:dyDescent="0.25">
      <c r="B37" s="25">
        <v>16.5</v>
      </c>
      <c r="C37" s="32">
        <v>1126487479.9386849</v>
      </c>
      <c r="D37" s="33">
        <v>0</v>
      </c>
      <c r="E37" s="33">
        <v>953181713.79427183</v>
      </c>
      <c r="F37" s="33">
        <v>173305766.14441308</v>
      </c>
      <c r="G37" s="33">
        <v>0</v>
      </c>
      <c r="H37" s="33"/>
      <c r="I37" s="33"/>
      <c r="J37" s="38">
        <v>0</v>
      </c>
    </row>
    <row r="38" spans="2:14" x14ac:dyDescent="0.25">
      <c r="B38" s="25">
        <v>17</v>
      </c>
      <c r="C38" s="32">
        <v>530691027.98045439</v>
      </c>
      <c r="D38" s="33">
        <v>0</v>
      </c>
      <c r="E38" s="33">
        <v>75813003.997207776</v>
      </c>
      <c r="F38" s="33">
        <v>454878023.98324662</v>
      </c>
      <c r="G38" s="33">
        <v>0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376092074.22155774</v>
      </c>
      <c r="D39" s="33">
        <v>0</v>
      </c>
      <c r="E39" s="33">
        <v>94023018.555389434</v>
      </c>
      <c r="F39" s="33">
        <v>282069055.66616833</v>
      </c>
      <c r="G39" s="33">
        <v>0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132051635.54865687</v>
      </c>
      <c r="D40" s="33">
        <v>0</v>
      </c>
      <c r="E40" s="33">
        <v>0</v>
      </c>
      <c r="F40" s="33">
        <v>132051635.54865687</v>
      </c>
      <c r="G40" s="33">
        <v>0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21005790.058311015</v>
      </c>
      <c r="D41" s="33">
        <v>0</v>
      </c>
      <c r="E41" s="33">
        <v>0</v>
      </c>
      <c r="F41" s="33">
        <v>0</v>
      </c>
      <c r="G41" s="33">
        <v>21005790.058311015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37">
        <v>24269781247.663551</v>
      </c>
      <c r="D46" s="132">
        <v>6078076543.6264534</v>
      </c>
      <c r="E46" s="132">
        <v>16580494671.419571</v>
      </c>
      <c r="F46" s="132">
        <v>1590204242.5592127</v>
      </c>
      <c r="G46" s="132">
        <v>21005790.058311015</v>
      </c>
      <c r="H46" s="47"/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138">
        <v>99.999999999999986</v>
      </c>
      <c r="D47" s="128">
        <v>25.043804398573183</v>
      </c>
      <c r="E47" s="128">
        <v>68.317445889693673</v>
      </c>
      <c r="F47" s="128">
        <v>6.552198498749557</v>
      </c>
      <c r="G47" s="128">
        <v>8.6551212983566703E-2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139">
        <v>13.655963508256162</v>
      </c>
      <c r="D48" s="129">
        <v>9.9843182909963826</v>
      </c>
      <c r="E48" s="129">
        <v>14.70469696579668</v>
      </c>
      <c r="F48" s="129">
        <v>16.69096255071096</v>
      </c>
      <c r="G48" s="129">
        <v>18.5</v>
      </c>
      <c r="H48" s="54"/>
      <c r="I48" s="54"/>
      <c r="J48" s="55">
        <v>0</v>
      </c>
      <c r="L48"/>
      <c r="M48"/>
      <c r="N48"/>
    </row>
    <row r="49" spans="2:14" s="59" customFormat="1" x14ac:dyDescent="0.25">
      <c r="B49" s="56" t="s">
        <v>40</v>
      </c>
      <c r="C49" s="133">
        <v>21.814676272275857</v>
      </c>
      <c r="D49" s="57">
        <v>8.3636481132382556</v>
      </c>
      <c r="E49" s="57">
        <v>24.503088874711615</v>
      </c>
      <c r="F49" s="57">
        <v>37.330387361258346</v>
      </c>
      <c r="G49" s="57">
        <v>52.573880578380802</v>
      </c>
      <c r="H49" s="57"/>
      <c r="I49" s="57"/>
      <c r="J49" s="58">
        <v>0</v>
      </c>
      <c r="L49"/>
      <c r="M49"/>
      <c r="N49"/>
    </row>
    <row r="50" spans="2:14" x14ac:dyDescent="0.25">
      <c r="B50" s="60" t="s">
        <v>41</v>
      </c>
      <c r="C50" s="134">
        <v>2.1660796894045724E+18</v>
      </c>
      <c r="D50" s="131">
        <v>3.4647240708773107E+17</v>
      </c>
      <c r="E50" s="131">
        <v>1.6878885616375032E+18</v>
      </c>
      <c r="F50" s="131">
        <v>1.3148515237167384E+17</v>
      </c>
      <c r="G50" s="131">
        <v>233568307664351.25</v>
      </c>
      <c r="H50" s="61"/>
      <c r="I50" s="61"/>
      <c r="J50" s="62">
        <v>0</v>
      </c>
      <c r="L50"/>
      <c r="M50"/>
      <c r="N50"/>
    </row>
    <row r="51" spans="2:14" x14ac:dyDescent="0.25">
      <c r="B51" s="63" t="s">
        <v>42</v>
      </c>
      <c r="C51" s="135">
        <v>6.0641697986533731E-2</v>
      </c>
      <c r="D51" s="64">
        <v>9.684298374140482E-2</v>
      </c>
      <c r="E51" s="64">
        <v>7.8356386842419537E-2</v>
      </c>
      <c r="F51" s="64">
        <v>0.22802656716727734</v>
      </c>
      <c r="G51" s="64">
        <v>0.7275585292972655</v>
      </c>
      <c r="H51" s="64"/>
      <c r="I51" s="64"/>
      <c r="J51" s="65">
        <v>0</v>
      </c>
      <c r="L51"/>
      <c r="M51"/>
      <c r="N51"/>
    </row>
    <row r="52" spans="2:14" ht="26" thickBot="1" x14ac:dyDescent="0.3">
      <c r="B52" s="66" t="s">
        <v>43</v>
      </c>
      <c r="C52" s="136">
        <v>7.6859516835911892</v>
      </c>
      <c r="D52" s="68">
        <v>7.3575950553019869</v>
      </c>
      <c r="E52" s="68">
        <v>1.0898045793484337</v>
      </c>
      <c r="F52" s="68">
        <v>0.60799703298708985</v>
      </c>
      <c r="G52" s="68">
        <v>4.5400547142451919E-14</v>
      </c>
      <c r="H52" s="68"/>
      <c r="I52" s="69"/>
      <c r="J52" s="70"/>
    </row>
    <row r="54" spans="2:14" x14ac:dyDescent="0.25">
      <c r="C54" s="3" t="s">
        <v>37</v>
      </c>
      <c r="E54" s="71">
        <f>E51*100/C51</f>
        <v>129.2120594311518</v>
      </c>
    </row>
    <row r="55" spans="2:14" x14ac:dyDescent="0.25">
      <c r="C55" s="3" t="s">
        <v>18</v>
      </c>
      <c r="D55" s="3">
        <f t="shared" ref="D55:I55" si="0">D46/1000000</f>
        <v>6078.0765436264537</v>
      </c>
      <c r="E55" s="3">
        <f t="shared" si="0"/>
        <v>16580.494671419572</v>
      </c>
      <c r="F55" s="3">
        <f t="shared" si="0"/>
        <v>1590.2042425592126</v>
      </c>
      <c r="G55" s="3">
        <f t="shared" si="0"/>
        <v>21.005790058311014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17</v>
      </c>
    </row>
    <row r="57" spans="2:14" x14ac:dyDescent="0.25">
      <c r="C57" s="71">
        <f>K58</f>
        <v>17.267969262650993</v>
      </c>
      <c r="D57" s="72" t="str">
        <f t="shared" ref="D57:I57" si="1">D6</f>
        <v>O</v>
      </c>
      <c r="E57" s="72" t="str">
        <f t="shared" si="1"/>
        <v>I</v>
      </c>
      <c r="F57" s="72" t="str">
        <f t="shared" si="1"/>
        <v>II</v>
      </c>
      <c r="G57" s="72" t="str">
        <f t="shared" si="1"/>
        <v>III</v>
      </c>
      <c r="H57" s="72" t="str">
        <f t="shared" si="1"/>
        <v>IV</v>
      </c>
      <c r="I57" s="72" t="str">
        <f t="shared" si="1"/>
        <v>V</v>
      </c>
    </row>
    <row r="58" spans="2:14" x14ac:dyDescent="0.25">
      <c r="B58" s="73">
        <v>2019</v>
      </c>
      <c r="C58" s="3" t="str">
        <f>CONCATENATE(C54,C56,C55)</f>
        <v>&lt; 12,0 cm =17%</v>
      </c>
      <c r="D58" s="71">
        <f>SUM(D8:D27)/1000000000</f>
        <v>4.1908983659591774</v>
      </c>
      <c r="E58" s="71">
        <f t="shared" ref="E58:I58" si="2">SUM(E8:E27)/1000000000</f>
        <v>0</v>
      </c>
      <c r="F58" s="71">
        <f t="shared" si="2"/>
        <v>0</v>
      </c>
      <c r="G58" s="71">
        <f t="shared" si="2"/>
        <v>0</v>
      </c>
      <c r="H58" s="71">
        <f t="shared" si="2"/>
        <v>0</v>
      </c>
      <c r="I58" s="71">
        <f t="shared" si="2"/>
        <v>0</v>
      </c>
      <c r="J58" s="71">
        <f>SUM(D58:I58)</f>
        <v>4.1908983659591774</v>
      </c>
      <c r="K58" s="71">
        <f>(J58/$J60)*100</f>
        <v>17.267969262650993</v>
      </c>
      <c r="L58" s="71">
        <f>ROUND(K58,0)</f>
        <v>17</v>
      </c>
    </row>
    <row r="59" spans="2:14" x14ac:dyDescent="0.25">
      <c r="B59" s="73"/>
      <c r="C59" s="3" t="s">
        <v>38</v>
      </c>
      <c r="D59" s="71">
        <f>SUM(D28:D45)/1000000000</f>
        <v>1.8871781776672774</v>
      </c>
      <c r="E59" s="71">
        <f t="shared" ref="E59:I59" si="3">SUM(E28:E45)/1000000000</f>
        <v>16.580494671419572</v>
      </c>
      <c r="F59" s="71">
        <f t="shared" si="3"/>
        <v>1.5902042425592127</v>
      </c>
      <c r="G59" s="71">
        <f t="shared" si="3"/>
        <v>2.1005790058311016E-2</v>
      </c>
      <c r="H59" s="71">
        <f t="shared" si="3"/>
        <v>0</v>
      </c>
      <c r="I59" s="71">
        <f t="shared" si="3"/>
        <v>0</v>
      </c>
      <c r="J59" s="71">
        <f>SUM(D59:I59)</f>
        <v>20.078882881704374</v>
      </c>
      <c r="K59" s="71">
        <f>(J59/$J60)*100</f>
        <v>82.732030737349007</v>
      </c>
    </row>
    <row r="60" spans="2:14" x14ac:dyDescent="0.25">
      <c r="B60" s="73"/>
      <c r="J60" s="71">
        <f>SUM(J58:J59)</f>
        <v>24.269781247663552</v>
      </c>
      <c r="K60" s="71">
        <f>SUM(K58:K59)</f>
        <v>100</v>
      </c>
    </row>
    <row r="61" spans="2:14" x14ac:dyDescent="0.25">
      <c r="B61" s="73"/>
    </row>
    <row r="62" spans="2:14" x14ac:dyDescent="0.25">
      <c r="B62" s="73"/>
    </row>
    <row r="63" spans="2:14" x14ac:dyDescent="0.25">
      <c r="B63" s="73"/>
      <c r="C63" s="71">
        <f>K64</f>
        <v>0</v>
      </c>
      <c r="D63" s="74" t="s">
        <v>5</v>
      </c>
      <c r="E63" s="74" t="s">
        <v>6</v>
      </c>
      <c r="F63" s="74" t="s">
        <v>7</v>
      </c>
      <c r="G63" s="74" t="s">
        <v>8</v>
      </c>
      <c r="H63" s="74" t="s">
        <v>9</v>
      </c>
      <c r="I63" s="74" t="s">
        <v>10</v>
      </c>
      <c r="K63" s="3"/>
    </row>
    <row r="64" spans="2:14" x14ac:dyDescent="0.25">
      <c r="B64" s="73"/>
      <c r="C64" s="3" t="s">
        <v>39</v>
      </c>
      <c r="D64" s="75"/>
      <c r="E64" s="75"/>
      <c r="F64" s="75"/>
      <c r="G64" s="75"/>
      <c r="H64" s="75"/>
      <c r="I64" s="75">
        <v>0</v>
      </c>
      <c r="J64" s="71"/>
      <c r="K64" s="71"/>
      <c r="L64" s="41"/>
    </row>
    <row r="65" spans="2:12" x14ac:dyDescent="0.25">
      <c r="B65" s="73"/>
      <c r="C65" s="3" t="s">
        <v>38</v>
      </c>
      <c r="D65" s="75"/>
      <c r="E65" s="75"/>
      <c r="F65" s="75"/>
      <c r="G65" s="75"/>
      <c r="H65" s="75"/>
      <c r="I65" s="75">
        <v>0</v>
      </c>
      <c r="J65" s="71"/>
      <c r="K65" s="71"/>
      <c r="L65" s="41"/>
    </row>
    <row r="66" spans="2:12" x14ac:dyDescent="0.25">
      <c r="B66" s="73"/>
      <c r="J66" s="71"/>
      <c r="K66" s="71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2EF4-835D-40DC-A191-19BCF19DDFE0}">
  <sheetPr syncVertical="1" syncRef="A1" transitionEvaluation="1"/>
  <dimension ref="B1:AP52"/>
  <sheetViews>
    <sheetView showZeros="0" zoomScale="40" zoomScaleNormal="40" workbookViewId="0"/>
  </sheetViews>
  <sheetFormatPr baseColWidth="10" defaultColWidth="13.85546875" defaultRowHeight="16" x14ac:dyDescent="0.2"/>
  <cols>
    <col min="1" max="1" width="5.42578125" style="76" customWidth="1"/>
    <col min="2" max="2" width="16.5703125" style="76" customWidth="1"/>
    <col min="3" max="3" width="16.140625" style="77" customWidth="1"/>
    <col min="4" max="11" width="22.140625" style="77" customWidth="1"/>
    <col min="12" max="12" width="11.7109375" style="76" bestFit="1" customWidth="1"/>
    <col min="13" max="13" width="8.28515625" style="76" customWidth="1"/>
    <col min="14" max="14" width="9" style="76" bestFit="1" customWidth="1"/>
    <col min="15" max="20" width="8.28515625" style="76" customWidth="1"/>
    <col min="21" max="21" width="11.7109375" style="76" bestFit="1" customWidth="1"/>
    <col min="22" max="22" width="8.28515625" style="76" customWidth="1"/>
    <col min="23" max="24" width="9" style="76" bestFit="1" customWidth="1"/>
    <col min="25" max="29" width="8.28515625" style="76" customWidth="1"/>
    <col min="30" max="30" width="11.7109375" style="76" bestFit="1" customWidth="1"/>
    <col min="31" max="31" width="8.42578125" style="76" bestFit="1" customWidth="1"/>
    <col min="32" max="34" width="9" style="76" bestFit="1" customWidth="1"/>
    <col min="35" max="36" width="9" style="76" customWidth="1"/>
    <col min="37" max="38" width="8.28515625" style="76" customWidth="1"/>
    <col min="39" max="39" width="4.140625" style="76" customWidth="1"/>
    <col min="40" max="16384" width="13.85546875" style="76"/>
  </cols>
  <sheetData>
    <row r="1" spans="2:42" ht="27" customHeight="1" x14ac:dyDescent="0.2">
      <c r="S1" s="78"/>
    </row>
    <row r="2" spans="2:42" s="80" customFormat="1" ht="27" customHeight="1" x14ac:dyDescent="0.3">
      <c r="B2" s="254" t="s">
        <v>45</v>
      </c>
      <c r="C2" s="254"/>
      <c r="D2" s="254"/>
      <c r="E2" s="254"/>
      <c r="F2" s="254"/>
      <c r="G2" s="254"/>
      <c r="H2" s="254"/>
      <c r="I2" s="254"/>
      <c r="J2" s="254"/>
      <c r="K2" s="254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</row>
    <row r="3" spans="2:42" ht="27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2:42" ht="27" customHeight="1" thickBot="1" x14ac:dyDescent="0.25"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2:42" ht="27" customHeight="1" x14ac:dyDescent="0.2">
      <c r="B5" s="81"/>
      <c r="C5" s="82"/>
      <c r="D5" s="83"/>
      <c r="E5" s="83"/>
      <c r="F5" s="83"/>
      <c r="G5" s="83"/>
      <c r="H5" s="83"/>
      <c r="I5" s="83"/>
      <c r="J5" s="83"/>
      <c r="K5" s="84"/>
    </row>
    <row r="6" spans="2:42" s="85" customFormat="1" ht="27" customHeight="1" x14ac:dyDescent="0.25">
      <c r="C6" s="255" t="s">
        <v>27</v>
      </c>
      <c r="D6" s="256"/>
      <c r="E6" s="256"/>
      <c r="F6" s="256"/>
      <c r="G6" s="256"/>
      <c r="H6" s="256"/>
      <c r="I6" s="256"/>
      <c r="J6" s="256"/>
      <c r="K6" s="257"/>
    </row>
    <row r="7" spans="2:42" ht="27" customHeight="1" thickBot="1" x14ac:dyDescent="0.25">
      <c r="B7" s="86"/>
      <c r="C7" s="87"/>
      <c r="D7" s="88"/>
      <c r="E7" s="88"/>
      <c r="F7" s="88"/>
      <c r="G7" s="88"/>
      <c r="H7" s="88"/>
      <c r="I7" s="88"/>
      <c r="J7" s="88"/>
      <c r="K7" s="89"/>
    </row>
    <row r="8" spans="2:42" s="91" customFormat="1" ht="27" customHeight="1" thickBot="1" x14ac:dyDescent="0.3">
      <c r="B8" s="90" t="s">
        <v>28</v>
      </c>
      <c r="C8" s="258" t="s">
        <v>29</v>
      </c>
      <c r="D8" s="258"/>
      <c r="E8" s="258"/>
      <c r="F8" s="258"/>
      <c r="G8" s="258"/>
      <c r="H8" s="258"/>
      <c r="I8" s="258"/>
      <c r="J8" s="258"/>
      <c r="K8" s="259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</row>
    <row r="9" spans="2:42" s="91" customFormat="1" ht="27" customHeight="1" x14ac:dyDescent="0.25">
      <c r="B9" s="92" t="s">
        <v>30</v>
      </c>
      <c r="C9" s="93" t="s">
        <v>31</v>
      </c>
      <c r="D9" s="94" t="s">
        <v>32</v>
      </c>
      <c r="E9" s="94" t="s">
        <v>6</v>
      </c>
      <c r="F9" s="94" t="s">
        <v>7</v>
      </c>
      <c r="G9" s="94" t="s">
        <v>8</v>
      </c>
      <c r="H9" s="94" t="s">
        <v>9</v>
      </c>
      <c r="I9" s="94" t="s">
        <v>10</v>
      </c>
      <c r="J9" s="94" t="s">
        <v>33</v>
      </c>
      <c r="K9" s="95" t="s">
        <v>34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</row>
    <row r="10" spans="2:42" s="91" customFormat="1" ht="27" customHeight="1" thickBot="1" x14ac:dyDescent="0.3">
      <c r="B10" s="120"/>
      <c r="C10" s="123"/>
      <c r="D10" s="96"/>
      <c r="E10" s="96"/>
      <c r="F10" s="96"/>
      <c r="G10" s="96"/>
      <c r="H10" s="96"/>
      <c r="I10" s="96"/>
      <c r="J10" s="96"/>
      <c r="K10" s="97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</row>
    <row r="11" spans="2:42" s="80" customFormat="1" ht="27" customHeight="1" x14ac:dyDescent="0.25">
      <c r="B11" s="121">
        <v>2</v>
      </c>
      <c r="C11" s="125">
        <f t="shared" ref="C11:C48" si="0">SUM(D11:K11)</f>
        <v>0</v>
      </c>
      <c r="D11" s="98"/>
      <c r="E11" s="98"/>
      <c r="F11" s="98"/>
      <c r="G11" s="98"/>
      <c r="H11" s="98"/>
      <c r="I11" s="98"/>
      <c r="J11" s="98">
        <f>+'[2]15.Calb3t16'!AE11+'[2]16.Calb4t16'!AE11+'[2]17.Calb1t17'!AE11+'[2]18.Calb2t17'!AE11</f>
        <v>0</v>
      </c>
      <c r="K11" s="99">
        <f>+'[2]15.Calb3t16'!AF11+'[2]16.Calb4t16'!AF11+'[2]17.Calb1t17'!AF11+'[2]18.Calb2t17'!AF11</f>
        <v>0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</row>
    <row r="12" spans="2:42" s="80" customFormat="1" ht="27" customHeight="1" x14ac:dyDescent="0.25">
      <c r="B12" s="104">
        <v>2.5</v>
      </c>
      <c r="C12" s="126">
        <f t="shared" si="0"/>
        <v>1</v>
      </c>
      <c r="D12" s="100">
        <v>1</v>
      </c>
      <c r="E12" s="100"/>
      <c r="F12" s="100"/>
      <c r="G12" s="100"/>
      <c r="H12" s="100"/>
      <c r="I12" s="100"/>
      <c r="J12" s="100">
        <f>+'[2]15.Calb3t16'!AE12+'[2]16.Calb4t16'!AE12+'[2]17.Calb1t17'!AE12+'[2]18.Calb2t17'!AE12</f>
        <v>0</v>
      </c>
      <c r="K12" s="101">
        <f>+'[2]15.Calb3t16'!AF12+'[2]16.Calb4t16'!AF12+'[2]17.Calb1t17'!AF12+'[2]18.Calb2t17'!AF12</f>
        <v>0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</row>
    <row r="13" spans="2:42" s="80" customFormat="1" ht="27" customHeight="1" x14ac:dyDescent="0.25">
      <c r="B13" s="104">
        <v>3</v>
      </c>
      <c r="C13" s="126">
        <f t="shared" si="0"/>
        <v>1</v>
      </c>
      <c r="D13" s="100">
        <v>1</v>
      </c>
      <c r="E13" s="100"/>
      <c r="F13" s="100"/>
      <c r="G13" s="100"/>
      <c r="H13" s="100"/>
      <c r="I13" s="100"/>
      <c r="J13" s="100">
        <f>+'[2]15.Calb3t16'!AE13+'[2]16.Calb4t16'!AE13+'[2]17.Calb1t17'!AE13+'[2]18.Calb2t17'!AE13</f>
        <v>0</v>
      </c>
      <c r="K13" s="101">
        <f>+'[2]15.Calb3t16'!AF13+'[2]16.Calb4t16'!AF13+'[2]17.Calb1t17'!AF13+'[2]18.Calb2t17'!AF13</f>
        <v>0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</row>
    <row r="14" spans="2:42" s="80" customFormat="1" ht="27" customHeight="1" x14ac:dyDescent="0.25">
      <c r="B14" s="104">
        <v>3.5</v>
      </c>
      <c r="C14" s="126">
        <f t="shared" si="0"/>
        <v>3</v>
      </c>
      <c r="D14" s="100">
        <v>3</v>
      </c>
      <c r="E14" s="100"/>
      <c r="F14" s="100"/>
      <c r="G14" s="100"/>
      <c r="H14" s="100"/>
      <c r="I14" s="100"/>
      <c r="J14" s="100">
        <f>+'[2]15.Calb3t16'!AE14+'[2]16.Calb4t16'!AE14+'[2]17.Calb1t17'!AE14+'[2]18.Calb2t17'!AE14</f>
        <v>0</v>
      </c>
      <c r="K14" s="101">
        <f>+'[2]15.Calb3t16'!AF14+'[2]16.Calb4t16'!AF14+'[2]17.Calb1t17'!AF14+'[2]18.Calb2t17'!AF14</f>
        <v>0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</row>
    <row r="15" spans="2:42" s="80" customFormat="1" ht="27" customHeight="1" x14ac:dyDescent="0.25">
      <c r="B15" s="104">
        <v>4</v>
      </c>
      <c r="C15" s="126">
        <f t="shared" si="0"/>
        <v>4</v>
      </c>
      <c r="D15" s="100">
        <v>4</v>
      </c>
      <c r="E15" s="100"/>
      <c r="F15" s="100"/>
      <c r="G15" s="100"/>
      <c r="H15" s="100"/>
      <c r="I15" s="100"/>
      <c r="J15" s="100">
        <f>+'[2]15.Calb3t16'!AE15+'[2]16.Calb4t16'!AE15+'[2]17.Calb1t17'!AE15+'[2]18.Calb2t17'!AE15</f>
        <v>0</v>
      </c>
      <c r="K15" s="101">
        <f>+'[2]15.Calb3t16'!AF15+'[2]16.Calb4t16'!AF15+'[2]17.Calb1t17'!AF15+'[2]18.Calb2t17'!AF15</f>
        <v>0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</row>
    <row r="16" spans="2:42" s="80" customFormat="1" ht="27" customHeight="1" x14ac:dyDescent="0.25">
      <c r="B16" s="104">
        <v>4.5</v>
      </c>
      <c r="C16" s="126">
        <f t="shared" si="0"/>
        <v>4</v>
      </c>
      <c r="D16" s="100">
        <v>4</v>
      </c>
      <c r="E16" s="100"/>
      <c r="F16" s="100"/>
      <c r="G16" s="100"/>
      <c r="H16" s="100"/>
      <c r="I16" s="100"/>
      <c r="J16" s="100">
        <f>+'[2]15.Calb3t16'!AE16+'[2]16.Calb4t16'!AE16+'[2]17.Calb1t17'!AE16+'[2]18.Calb2t17'!AE16</f>
        <v>0</v>
      </c>
      <c r="K16" s="101">
        <f>+'[2]15.Calb3t16'!AF16+'[2]16.Calb4t16'!AF16+'[2]17.Calb1t17'!AF16+'[2]18.Calb2t17'!AF16</f>
        <v>0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</row>
    <row r="17" spans="2:42" s="80" customFormat="1" ht="27" customHeight="1" x14ac:dyDescent="0.25">
      <c r="B17" s="104">
        <v>5</v>
      </c>
      <c r="C17" s="126">
        <f t="shared" si="0"/>
        <v>2</v>
      </c>
      <c r="D17" s="100">
        <v>2</v>
      </c>
      <c r="E17" s="100"/>
      <c r="F17" s="100"/>
      <c r="G17" s="100"/>
      <c r="H17" s="100"/>
      <c r="I17" s="100"/>
      <c r="J17" s="100">
        <f>+'[2]15.Calb3t16'!AE17+'[2]16.Calb4t16'!AE17+'[2]17.Calb1t17'!AE17+'[2]18.Calb2t17'!AE17</f>
        <v>0</v>
      </c>
      <c r="K17" s="101">
        <f>+'[2]15.Calb3t16'!AF17+'[2]16.Calb4t16'!AF17+'[2]17.Calb1t17'!AF17+'[2]18.Calb2t17'!AF17</f>
        <v>0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</row>
    <row r="18" spans="2:42" s="80" customFormat="1" ht="27" customHeight="1" x14ac:dyDescent="0.25">
      <c r="B18" s="104">
        <v>5.5</v>
      </c>
      <c r="C18" s="126">
        <f t="shared" si="0"/>
        <v>1</v>
      </c>
      <c r="D18" s="100">
        <v>1</v>
      </c>
      <c r="E18" s="100"/>
      <c r="F18" s="100"/>
      <c r="G18" s="100"/>
      <c r="H18" s="100"/>
      <c r="I18" s="100"/>
      <c r="J18" s="100">
        <f>+'[2]15.Calb3t16'!AE18+'[2]16.Calb4t16'!AE18+'[2]17.Calb1t17'!AE18+'[2]18.Calb2t17'!AE18</f>
        <v>0</v>
      </c>
      <c r="K18" s="101">
        <f>+'[2]15.Calb3t16'!AF18+'[2]16.Calb4t16'!AF18+'[2]17.Calb1t17'!AF18+'[2]18.Calb2t17'!AF18</f>
        <v>0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</row>
    <row r="19" spans="2:42" s="80" customFormat="1" ht="27" customHeight="1" x14ac:dyDescent="0.25">
      <c r="B19" s="104">
        <v>6</v>
      </c>
      <c r="C19" s="126">
        <f t="shared" si="0"/>
        <v>1</v>
      </c>
      <c r="D19" s="100">
        <v>1</v>
      </c>
      <c r="E19" s="100"/>
      <c r="F19" s="100"/>
      <c r="G19" s="100"/>
      <c r="H19" s="100"/>
      <c r="I19" s="100"/>
      <c r="J19" s="100">
        <f>+'[2]15.Calb3t16'!AE19+'[2]16.Calb4t16'!AE19+'[2]17.Calb1t17'!AE19+'[2]18.Calb2t17'!AE19</f>
        <v>0</v>
      </c>
      <c r="K19" s="101">
        <f>+'[2]15.Calb3t16'!AF19+'[2]16.Calb4t16'!AF19+'[2]17.Calb1t17'!AF19+'[2]18.Calb2t17'!AF19</f>
        <v>0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pans="2:42" s="80" customFormat="1" ht="27" customHeight="1" x14ac:dyDescent="0.25">
      <c r="B20" s="104">
        <v>6.5</v>
      </c>
      <c r="C20" s="126">
        <f t="shared" si="0"/>
        <v>1</v>
      </c>
      <c r="D20" s="100">
        <v>1</v>
      </c>
      <c r="E20" s="100"/>
      <c r="F20" s="100"/>
      <c r="G20" s="100"/>
      <c r="H20" s="100"/>
      <c r="I20" s="100"/>
      <c r="J20" s="100">
        <f>+'[2]15.Calb3t16'!AE20+'[2]16.Calb4t16'!AE20+'[2]17.Calb1t17'!AE20+'[2]18.Calb2t17'!AE20</f>
        <v>0</v>
      </c>
      <c r="K20" s="101">
        <f>+'[2]15.Calb3t16'!AF20+'[2]16.Calb4t16'!AF20+'[2]17.Calb1t17'!AF20+'[2]18.Calb2t17'!AF20</f>
        <v>0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</row>
    <row r="21" spans="2:42" s="80" customFormat="1" ht="27" customHeight="1" x14ac:dyDescent="0.25">
      <c r="B21" s="104">
        <v>7</v>
      </c>
      <c r="C21" s="126">
        <f t="shared" si="0"/>
        <v>1</v>
      </c>
      <c r="D21" s="100">
        <v>1</v>
      </c>
      <c r="E21" s="100"/>
      <c r="F21" s="100"/>
      <c r="G21" s="100"/>
      <c r="H21" s="100"/>
      <c r="I21" s="100"/>
      <c r="J21" s="100">
        <f>+'[2]15.Calb3t16'!AE21+'[2]16.Calb4t16'!AE21+'[2]17.Calb1t17'!AE21+'[2]18.Calb2t17'!AE21</f>
        <v>0</v>
      </c>
      <c r="K21" s="101">
        <f>+'[2]15.Calb3t16'!AF21+'[2]16.Calb4t16'!AF21+'[2]17.Calb1t17'!AF21+'[2]18.Calb2t17'!AF21</f>
        <v>0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</row>
    <row r="22" spans="2:42" s="80" customFormat="1" ht="27" customHeight="1" x14ac:dyDescent="0.25">
      <c r="B22" s="104">
        <v>7.5</v>
      </c>
      <c r="C22" s="126">
        <f t="shared" si="0"/>
        <v>1</v>
      </c>
      <c r="D22" s="100">
        <v>1</v>
      </c>
      <c r="E22" s="100"/>
      <c r="F22" s="100"/>
      <c r="G22" s="100"/>
      <c r="H22" s="100"/>
      <c r="I22" s="100"/>
      <c r="J22" s="100">
        <f>+'[2]15.Calb3t16'!AE22+'[2]16.Calb4t16'!AE22+'[2]17.Calb1t17'!AE22+'[2]18.Calb2t17'!AE22</f>
        <v>0</v>
      </c>
      <c r="K22" s="101">
        <f>+'[2]15.Calb3t16'!AF22+'[2]16.Calb4t16'!AF22+'[2]17.Calb1t17'!AF22+'[2]18.Calb2t17'!AF22</f>
        <v>0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</row>
    <row r="23" spans="2:42" s="80" customFormat="1" ht="27" customHeight="1" x14ac:dyDescent="0.25">
      <c r="B23" s="104">
        <v>8</v>
      </c>
      <c r="C23" s="126">
        <f t="shared" si="0"/>
        <v>6</v>
      </c>
      <c r="D23" s="100">
        <v>6</v>
      </c>
      <c r="E23" s="100"/>
      <c r="F23" s="100"/>
      <c r="G23" s="100"/>
      <c r="H23" s="100"/>
      <c r="I23" s="100"/>
      <c r="J23" s="100">
        <f>+'[2]15.Calb3t16'!AE23+'[2]16.Calb4t16'!AE23+'[2]17.Calb1t17'!AE23+'[2]18.Calb2t17'!AE23</f>
        <v>0</v>
      </c>
      <c r="K23" s="101">
        <f>+'[2]15.Calb3t16'!AF23+'[2]16.Calb4t16'!AF23+'[2]17.Calb1t17'!AF23+'[2]18.Calb2t17'!AF23</f>
        <v>0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</row>
    <row r="24" spans="2:42" s="80" customFormat="1" ht="27" customHeight="1" x14ac:dyDescent="0.25">
      <c r="B24" s="104">
        <v>8.5</v>
      </c>
      <c r="C24" s="126">
        <f t="shared" si="0"/>
        <v>9</v>
      </c>
      <c r="D24" s="100">
        <v>9</v>
      </c>
      <c r="E24" s="100"/>
      <c r="F24" s="100"/>
      <c r="G24" s="100"/>
      <c r="H24" s="100"/>
      <c r="I24" s="100"/>
      <c r="J24" s="100">
        <f>+'[2]15.Calb3t16'!AE24+'[2]16.Calb4t16'!AE24+'[2]17.Calb1t17'!AE24+'[2]18.Calb2t17'!AE24</f>
        <v>0</v>
      </c>
      <c r="K24" s="101">
        <f>+'[2]15.Calb3t16'!AF24+'[2]16.Calb4t16'!AF24+'[2]17.Calb1t17'!AF24+'[2]18.Calb2t17'!AF24</f>
        <v>0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</row>
    <row r="25" spans="2:42" s="80" customFormat="1" ht="27" customHeight="1" x14ac:dyDescent="0.25">
      <c r="B25" s="104">
        <v>9</v>
      </c>
      <c r="C25" s="126">
        <f t="shared" si="0"/>
        <v>9</v>
      </c>
      <c r="D25" s="100">
        <v>9</v>
      </c>
      <c r="E25" s="100"/>
      <c r="F25" s="100"/>
      <c r="G25" s="100"/>
      <c r="H25" s="100"/>
      <c r="I25" s="100"/>
      <c r="J25" s="100">
        <f>+'[2]15.Calb3t16'!AE25+'[2]16.Calb4t16'!AE25+'[2]17.Calb1t17'!AE25+'[2]18.Calb2t17'!AE25</f>
        <v>0</v>
      </c>
      <c r="K25" s="101">
        <f>+'[2]15.Calb3t16'!AF25+'[2]16.Calb4t16'!AF25+'[2]17.Calb1t17'!AF25+'[2]18.Calb2t17'!AF25</f>
        <v>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</row>
    <row r="26" spans="2:42" s="80" customFormat="1" ht="27" customHeight="1" x14ac:dyDescent="0.25">
      <c r="B26" s="104">
        <v>9.5</v>
      </c>
      <c r="C26" s="126">
        <f t="shared" si="0"/>
        <v>6</v>
      </c>
      <c r="D26" s="100">
        <v>6</v>
      </c>
      <c r="E26" s="100"/>
      <c r="F26" s="100"/>
      <c r="G26" s="100"/>
      <c r="H26" s="100"/>
      <c r="I26" s="100"/>
      <c r="J26" s="100">
        <f>+'[2]15.Calb3t16'!AE26+'[2]16.Calb4t16'!AE26+'[2]17.Calb1t17'!AE26+'[2]18.Calb2t17'!AE26</f>
        <v>0</v>
      </c>
      <c r="K26" s="101">
        <f>+'[2]15.Calb3t16'!AF26+'[2]16.Calb4t16'!AF26+'[2]17.Calb1t17'!AF26+'[2]18.Calb2t17'!AF26</f>
        <v>0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</row>
    <row r="27" spans="2:42" s="80" customFormat="1" ht="27" customHeight="1" x14ac:dyDescent="0.25">
      <c r="B27" s="104">
        <v>10</v>
      </c>
      <c r="C27" s="126">
        <f t="shared" si="0"/>
        <v>6</v>
      </c>
      <c r="D27" s="100">
        <v>6</v>
      </c>
      <c r="E27" s="100"/>
      <c r="F27" s="100"/>
      <c r="G27" s="100"/>
      <c r="H27" s="100"/>
      <c r="I27" s="100"/>
      <c r="J27" s="100">
        <f>+'[2]15.Calb3t16'!AE27+'[2]16.Calb4t16'!AE27+'[2]17.Calb1t17'!AE27+'[2]18.Calb2t17'!AE27</f>
        <v>0</v>
      </c>
      <c r="K27" s="101">
        <f>+'[2]15.Calb3t16'!AF27+'[2]16.Calb4t16'!AF27+'[2]17.Calb1t17'!AF27+'[2]18.Calb2t17'!AF27</f>
        <v>0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2:42" s="80" customFormat="1" ht="27" customHeight="1" x14ac:dyDescent="0.25">
      <c r="B28" s="104">
        <v>10.5</v>
      </c>
      <c r="C28" s="126">
        <f t="shared" si="0"/>
        <v>4</v>
      </c>
      <c r="D28" s="100">
        <v>4</v>
      </c>
      <c r="E28" s="100"/>
      <c r="F28" s="100"/>
      <c r="G28" s="100"/>
      <c r="H28" s="100"/>
      <c r="I28" s="100"/>
      <c r="J28" s="100">
        <f>+'[2]15.Calb3t16'!AE28+'[2]16.Calb4t16'!AE28+'[2]17.Calb1t17'!AE28+'[2]18.Calb2t17'!AE28</f>
        <v>0</v>
      </c>
      <c r="K28" s="101">
        <f>+'[2]15.Calb3t16'!AF28+'[2]16.Calb4t16'!AF28+'[2]17.Calb1t17'!AF28+'[2]18.Calb2t17'!AF28</f>
        <v>0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</row>
    <row r="29" spans="2:42" s="80" customFormat="1" ht="27" customHeight="1" x14ac:dyDescent="0.25">
      <c r="B29" s="104">
        <v>11</v>
      </c>
      <c r="C29" s="126">
        <f t="shared" si="0"/>
        <v>4</v>
      </c>
      <c r="D29" s="100">
        <v>4</v>
      </c>
      <c r="E29" s="100"/>
      <c r="F29" s="100"/>
      <c r="G29" s="100"/>
      <c r="H29" s="100"/>
      <c r="I29" s="100"/>
      <c r="J29" s="100">
        <f>+'[2]15.Calb3t16'!AE29+'[2]16.Calb4t16'!AE29+'[2]17.Calb1t17'!AE29+'[2]18.Calb2t17'!AE29</f>
        <v>0</v>
      </c>
      <c r="K29" s="101">
        <f>+'[2]15.Calb3t16'!AF29+'[2]16.Calb4t16'!AF29+'[2]17.Calb1t17'!AF29+'[2]18.Calb2t17'!AF29</f>
        <v>0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</row>
    <row r="30" spans="2:42" s="80" customFormat="1" ht="27" customHeight="1" x14ac:dyDescent="0.25">
      <c r="B30" s="104">
        <v>11.5</v>
      </c>
      <c r="C30" s="126">
        <f t="shared" si="0"/>
        <v>3</v>
      </c>
      <c r="D30" s="100">
        <v>3</v>
      </c>
      <c r="E30" s="100"/>
      <c r="F30" s="100"/>
      <c r="G30" s="100"/>
      <c r="H30" s="100"/>
      <c r="I30" s="100"/>
      <c r="J30" s="100">
        <f>+'[2]15.Calb3t16'!AE30+'[2]16.Calb4t16'!AE30+'[2]17.Calb1t17'!AE30+'[2]18.Calb2t17'!AE30</f>
        <v>0</v>
      </c>
      <c r="K30" s="101">
        <f>+'[2]15.Calb3t16'!AF30+'[2]16.Calb4t16'!AF30+'[2]17.Calb1t17'!AF30+'[2]18.Calb2t17'!AF30</f>
        <v>0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2:42" s="80" customFormat="1" ht="27" customHeight="1" x14ac:dyDescent="0.25">
      <c r="B31" s="104">
        <v>12</v>
      </c>
      <c r="C31" s="126">
        <f t="shared" si="0"/>
        <v>5</v>
      </c>
      <c r="D31" s="100">
        <v>3</v>
      </c>
      <c r="E31" s="100">
        <v>2</v>
      </c>
      <c r="F31" s="100"/>
      <c r="G31" s="100"/>
      <c r="H31" s="100"/>
      <c r="I31" s="100"/>
      <c r="J31" s="100">
        <f>+'[2]15.Calb3t16'!AE31+'[2]16.Calb4t16'!AE31+'[2]17.Calb1t17'!AE31+'[2]18.Calb2t17'!AE31</f>
        <v>0</v>
      </c>
      <c r="K31" s="101">
        <f>+'[2]15.Calb3t16'!AF31+'[2]16.Calb4t16'!AF31+'[2]17.Calb1t17'!AF31+'[2]18.Calb2t17'!AF31</f>
        <v>0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</row>
    <row r="32" spans="2:42" s="80" customFormat="1" ht="27" customHeight="1" x14ac:dyDescent="0.25">
      <c r="B32" s="104">
        <v>12.5</v>
      </c>
      <c r="C32" s="126">
        <f t="shared" si="0"/>
        <v>6</v>
      </c>
      <c r="D32" s="100">
        <v>4</v>
      </c>
      <c r="E32" s="100">
        <v>2</v>
      </c>
      <c r="F32" s="100"/>
      <c r="G32" s="100"/>
      <c r="H32" s="100"/>
      <c r="I32" s="100"/>
      <c r="J32" s="100">
        <f>+'[2]15.Calb3t16'!AE32+'[2]16.Calb4t16'!AE32+'[2]17.Calb1t17'!AE32+'[2]18.Calb2t17'!AE32</f>
        <v>0</v>
      </c>
      <c r="K32" s="101">
        <f>+'[2]15.Calb3t16'!AF32+'[2]16.Calb4t16'!AF32+'[2]17.Calb1t17'!AF32+'[2]18.Calb2t17'!AF32</f>
        <v>0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</row>
    <row r="33" spans="2:42" s="80" customFormat="1" ht="27" customHeight="1" x14ac:dyDescent="0.25">
      <c r="B33" s="104">
        <v>13</v>
      </c>
      <c r="C33" s="126">
        <f t="shared" si="0"/>
        <v>8</v>
      </c>
      <c r="D33" s="100">
        <v>4</v>
      </c>
      <c r="E33" s="100">
        <v>4</v>
      </c>
      <c r="F33" s="100"/>
      <c r="G33" s="100"/>
      <c r="H33" s="100"/>
      <c r="I33" s="100"/>
      <c r="J33" s="100">
        <f>+'[2]15.Calb3t16'!AE33+'[2]16.Calb4t16'!AE33+'[2]17.Calb1t17'!AE33+'[2]18.Calb2t17'!AE33</f>
        <v>0</v>
      </c>
      <c r="K33" s="101">
        <f>+'[2]15.Calb3t16'!AF33+'[2]16.Calb4t16'!AF33+'[2]17.Calb1t17'!AF33+'[2]18.Calb2t17'!AF33</f>
        <v>0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</row>
    <row r="34" spans="2:42" s="80" customFormat="1" ht="27" customHeight="1" x14ac:dyDescent="0.25">
      <c r="B34" s="104">
        <v>13.5</v>
      </c>
      <c r="C34" s="126">
        <f t="shared" si="0"/>
        <v>13</v>
      </c>
      <c r="D34" s="100">
        <v>1</v>
      </c>
      <c r="E34" s="100">
        <v>12</v>
      </c>
      <c r="F34" s="100"/>
      <c r="G34" s="100"/>
      <c r="H34" s="100"/>
      <c r="I34" s="100"/>
      <c r="J34" s="100">
        <f>+'[2]15.Calb3t16'!AE34+'[2]16.Calb4t16'!AE34+'[2]17.Calb1t17'!AE34+'[2]18.Calb2t17'!AE34</f>
        <v>0</v>
      </c>
      <c r="K34" s="101">
        <f>+'[2]15.Calb3t16'!AF34+'[2]16.Calb4t16'!AF34+'[2]17.Calb1t17'!AF34+'[2]18.Calb2t17'!AF34</f>
        <v>0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pans="2:42" s="80" customFormat="1" ht="27" customHeight="1" x14ac:dyDescent="0.25">
      <c r="B35" s="104">
        <v>14</v>
      </c>
      <c r="C35" s="126">
        <f t="shared" si="0"/>
        <v>17</v>
      </c>
      <c r="D35" s="100">
        <v>1</v>
      </c>
      <c r="E35" s="100">
        <v>16</v>
      </c>
      <c r="F35" s="100"/>
      <c r="G35" s="100"/>
      <c r="H35" s="100"/>
      <c r="I35" s="100"/>
      <c r="J35" s="100">
        <f>+'[2]15.Calb3t16'!AE35+'[2]16.Calb4t16'!AE35+'[2]17.Calb1t17'!AE35+'[2]18.Calb2t17'!AE35</f>
        <v>0</v>
      </c>
      <c r="K35" s="101">
        <f>+'[2]15.Calb3t16'!AF35+'[2]16.Calb4t16'!AF35+'[2]17.Calb1t17'!AF35+'[2]18.Calb2t17'!AF35</f>
        <v>0</v>
      </c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</row>
    <row r="36" spans="2:42" s="80" customFormat="1" ht="27" customHeight="1" x14ac:dyDescent="0.25">
      <c r="B36" s="104">
        <v>14.5</v>
      </c>
      <c r="C36" s="126">
        <f t="shared" si="0"/>
        <v>21</v>
      </c>
      <c r="D36" s="100"/>
      <c r="E36" s="100">
        <v>21</v>
      </c>
      <c r="F36" s="100"/>
      <c r="G36" s="100"/>
      <c r="H36" s="100"/>
      <c r="I36" s="100"/>
      <c r="J36" s="100">
        <f>+'[2]15.Calb3t16'!AE36+'[2]16.Calb4t16'!AE36+'[2]17.Calb1t17'!AE36+'[2]18.Calb2t17'!AE36</f>
        <v>0</v>
      </c>
      <c r="K36" s="101">
        <f>+'[2]15.Calb3t16'!AF36+'[2]16.Calb4t16'!AF36+'[2]17.Calb1t17'!AF36+'[2]18.Calb2t17'!AF36</f>
        <v>0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</row>
    <row r="37" spans="2:42" s="80" customFormat="1" ht="27" customHeight="1" x14ac:dyDescent="0.25">
      <c r="B37" s="104">
        <v>15</v>
      </c>
      <c r="C37" s="126">
        <f t="shared" si="0"/>
        <v>21</v>
      </c>
      <c r="D37" s="100"/>
      <c r="E37" s="100">
        <v>21</v>
      </c>
      <c r="F37" s="100"/>
      <c r="G37" s="100"/>
      <c r="H37" s="100"/>
      <c r="I37" s="100"/>
      <c r="J37" s="100">
        <f>+'[2]15.Calb3t16'!AE37+'[2]16.Calb4t16'!AE37+'[2]17.Calb1t17'!AE37+'[2]18.Calb2t17'!AE37</f>
        <v>0</v>
      </c>
      <c r="K37" s="101">
        <f>+'[2]15.Calb3t16'!AF37+'[2]16.Calb4t16'!AF37+'[2]17.Calb1t17'!AF37+'[2]18.Calb2t17'!AF37</f>
        <v>0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</row>
    <row r="38" spans="2:42" s="80" customFormat="1" ht="27" customHeight="1" x14ac:dyDescent="0.25">
      <c r="B38" s="104">
        <v>15.5</v>
      </c>
      <c r="C38" s="126">
        <f t="shared" si="0"/>
        <v>20</v>
      </c>
      <c r="D38" s="100"/>
      <c r="E38" s="100">
        <v>18</v>
      </c>
      <c r="F38" s="100">
        <v>2</v>
      </c>
      <c r="G38" s="100"/>
      <c r="H38" s="100"/>
      <c r="I38" s="100"/>
      <c r="J38" s="100">
        <f>+'[2]15.Calb3t16'!AE38+'[2]16.Calb4t16'!AE38+'[2]17.Calb1t17'!AE38+'[2]18.Calb2t17'!AE38</f>
        <v>0</v>
      </c>
      <c r="K38" s="101">
        <f>+'[2]15.Calb3t16'!AF38+'[2]16.Calb4t16'!AF38+'[2]17.Calb1t17'!AF38+'[2]18.Calb2t17'!AF38</f>
        <v>0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</row>
    <row r="39" spans="2:42" s="80" customFormat="1" ht="27" customHeight="1" x14ac:dyDescent="0.25">
      <c r="B39" s="104">
        <v>16</v>
      </c>
      <c r="C39" s="126">
        <f t="shared" si="0"/>
        <v>14</v>
      </c>
      <c r="D39" s="100"/>
      <c r="E39" s="100">
        <v>12</v>
      </c>
      <c r="F39" s="100">
        <v>2</v>
      </c>
      <c r="G39" s="100"/>
      <c r="H39" s="100"/>
      <c r="I39" s="100"/>
      <c r="J39" s="100">
        <f>+'[2]15.Calb3t16'!AE39+'[2]16.Calb4t16'!AE39+'[2]17.Calb1t17'!AE39+'[2]18.Calb2t17'!AE39</f>
        <v>0</v>
      </c>
      <c r="K39" s="101">
        <f>+'[2]15.Calb3t16'!AF39+'[2]16.Calb4t16'!AF39+'[2]17.Calb1t17'!AF39+'[2]18.Calb2t17'!AF39</f>
        <v>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</row>
    <row r="40" spans="2:42" s="80" customFormat="1" ht="27" customHeight="1" x14ac:dyDescent="0.25">
      <c r="B40" s="104">
        <v>16.5</v>
      </c>
      <c r="C40" s="126">
        <f t="shared" si="0"/>
        <v>13</v>
      </c>
      <c r="D40" s="100"/>
      <c r="E40" s="100">
        <v>11</v>
      </c>
      <c r="F40" s="100">
        <v>2</v>
      </c>
      <c r="G40" s="100"/>
      <c r="H40" s="100"/>
      <c r="I40" s="100"/>
      <c r="J40" s="100">
        <f>+'[2]15.Calb3t16'!AE40+'[2]16.Calb4t16'!AE40+'[2]17.Calb1t17'!AE40+'[2]18.Calb2t17'!AE40</f>
        <v>0</v>
      </c>
      <c r="K40" s="101">
        <f>+'[2]15.Calb3t16'!AF40+'[2]16.Calb4t16'!AF40+'[2]17.Calb1t17'!AF40+'[2]18.Calb2t17'!AF40</f>
        <v>0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</row>
    <row r="41" spans="2:42" s="80" customFormat="1" ht="27" customHeight="1" x14ac:dyDescent="0.25">
      <c r="B41" s="104">
        <v>17</v>
      </c>
      <c r="C41" s="126">
        <f t="shared" si="0"/>
        <v>7</v>
      </c>
      <c r="D41" s="100"/>
      <c r="E41" s="100">
        <v>1</v>
      </c>
      <c r="F41" s="100">
        <v>6</v>
      </c>
      <c r="G41" s="100"/>
      <c r="H41" s="100"/>
      <c r="I41" s="100"/>
      <c r="J41" s="100"/>
      <c r="K41" s="101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</row>
    <row r="42" spans="2:42" s="80" customFormat="1" ht="27" customHeight="1" x14ac:dyDescent="0.25">
      <c r="B42" s="104">
        <v>17.5</v>
      </c>
      <c r="C42" s="126">
        <f t="shared" si="0"/>
        <v>4</v>
      </c>
      <c r="D42" s="100"/>
      <c r="E42" s="100">
        <v>1</v>
      </c>
      <c r="F42" s="100">
        <v>3</v>
      </c>
      <c r="G42" s="100"/>
      <c r="H42" s="100"/>
      <c r="I42" s="100"/>
      <c r="J42" s="100"/>
      <c r="K42" s="101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</row>
    <row r="43" spans="2:42" s="80" customFormat="1" ht="27" customHeight="1" x14ac:dyDescent="0.25">
      <c r="B43" s="104">
        <v>18</v>
      </c>
      <c r="C43" s="126">
        <f t="shared" si="0"/>
        <v>1</v>
      </c>
      <c r="D43" s="100"/>
      <c r="E43" s="100"/>
      <c r="F43" s="100">
        <v>1</v>
      </c>
      <c r="G43" s="100"/>
      <c r="H43" s="100"/>
      <c r="I43" s="100"/>
      <c r="J43" s="100"/>
      <c r="K43" s="101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</row>
    <row r="44" spans="2:42" s="80" customFormat="1" ht="27" customHeight="1" x14ac:dyDescent="0.25">
      <c r="B44" s="104">
        <v>18.5</v>
      </c>
      <c r="C44" s="126">
        <f t="shared" si="0"/>
        <v>1</v>
      </c>
      <c r="D44" s="100"/>
      <c r="E44" s="100"/>
      <c r="F44" s="100"/>
      <c r="G44" s="100">
        <v>1</v>
      </c>
      <c r="H44" s="100"/>
      <c r="I44" s="100"/>
      <c r="J44" s="100"/>
      <c r="K44" s="101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</row>
    <row r="45" spans="2:42" s="80" customFormat="1" ht="27" customHeight="1" x14ac:dyDescent="0.25">
      <c r="B45" s="104">
        <v>19</v>
      </c>
      <c r="C45" s="126">
        <f t="shared" si="0"/>
        <v>0</v>
      </c>
      <c r="D45" s="100"/>
      <c r="E45" s="100"/>
      <c r="F45" s="100"/>
      <c r="G45" s="100"/>
      <c r="H45" s="100"/>
      <c r="I45" s="100"/>
      <c r="J45" s="100">
        <f>+'[2]15.Calb3t16'!AE41+'[2]16.Calb4t16'!AE41+'[2]17.Calb1t17'!AE41+'[2]18.Calb2t17'!AE41</f>
        <v>0</v>
      </c>
      <c r="K45" s="101">
        <f>+'[2]15.Calb3t16'!AF41+'[2]16.Calb4t16'!AF41+'[2]17.Calb1t17'!AF41+'[2]18.Calb2t17'!AF41</f>
        <v>0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</row>
    <row r="46" spans="2:42" s="80" customFormat="1" ht="27" customHeight="1" x14ac:dyDescent="0.25">
      <c r="B46" s="104">
        <v>19.5</v>
      </c>
      <c r="C46" s="126">
        <f t="shared" si="0"/>
        <v>0</v>
      </c>
      <c r="D46" s="100"/>
      <c r="E46" s="100"/>
      <c r="F46" s="100"/>
      <c r="G46" s="100"/>
      <c r="H46" s="100"/>
      <c r="I46" s="100"/>
      <c r="J46" s="100">
        <f>+'[2]15.Calb3t16'!AE42+'[2]16.Calb4t16'!AE42+'[2]17.Calb1t17'!AE42+'[2]18.Calb2t17'!AE42</f>
        <v>0</v>
      </c>
      <c r="K46" s="101">
        <f>+'[2]15.Calb3t16'!AF42+'[2]16.Calb4t16'!AF42+'[2]17.Calb1t17'!AF42+'[2]18.Calb2t17'!AF42</f>
        <v>0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</row>
    <row r="47" spans="2:42" s="80" customFormat="1" ht="27" customHeight="1" x14ac:dyDescent="0.25">
      <c r="B47" s="104">
        <v>20</v>
      </c>
      <c r="C47" s="126">
        <f t="shared" si="0"/>
        <v>0</v>
      </c>
      <c r="D47" s="100"/>
      <c r="E47" s="100"/>
      <c r="F47" s="100"/>
      <c r="G47" s="100"/>
      <c r="H47" s="100"/>
      <c r="I47" s="100"/>
      <c r="J47" s="100">
        <f>+'[2]15.Calb3t16'!AE43+'[2]16.Calb4t16'!AE43+'[2]17.Calb1t17'!AE43+'[2]18.Calb2t17'!AE43</f>
        <v>0</v>
      </c>
      <c r="K47" s="101">
        <f>+'[2]15.Calb3t16'!AF43+'[2]16.Calb4t16'!AF43+'[2]17.Calb1t17'!AF43+'[2]18.Calb2t17'!AF43</f>
        <v>0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</row>
    <row r="48" spans="2:42" s="80" customFormat="1" ht="27" customHeight="1" thickBot="1" x14ac:dyDescent="0.3">
      <c r="B48" s="122"/>
      <c r="C48" s="127">
        <f t="shared" si="0"/>
        <v>0</v>
      </c>
      <c r="D48" s="102"/>
      <c r="E48" s="102"/>
      <c r="F48" s="102"/>
      <c r="G48" s="102"/>
      <c r="H48" s="102"/>
      <c r="I48" s="102"/>
      <c r="J48" s="102">
        <f>+'[2]15.Calb3t16'!AE44+'[2]16.Calb4t16'!AE44+'[2]17.Calb1t17'!AE44+'[2]18.Calb2t17'!AE44</f>
        <v>0</v>
      </c>
      <c r="K48" s="103">
        <f>+'[2]15.Calb3t16'!AF44+'[2]16.Calb4t16'!AF44+'[2]17.Calb1t17'!AF44+'[2]18.Calb2t17'!AF44</f>
        <v>0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</row>
    <row r="49" spans="2:42" s="80" customFormat="1" ht="27" customHeight="1" x14ac:dyDescent="0.25">
      <c r="B49" s="104"/>
      <c r="C49" s="124"/>
      <c r="D49" s="105"/>
      <c r="E49" s="105"/>
      <c r="F49" s="105"/>
      <c r="G49" s="105"/>
      <c r="H49" s="105"/>
      <c r="I49" s="105"/>
      <c r="J49" s="105"/>
      <c r="K49" s="10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</row>
    <row r="50" spans="2:42" s="80" customFormat="1" ht="27" customHeight="1" x14ac:dyDescent="0.25">
      <c r="B50" s="107" t="s">
        <v>21</v>
      </c>
      <c r="C50" s="108">
        <f t="shared" ref="C50:K50" si="1">SUM(C11:C48)</f>
        <v>218</v>
      </c>
      <c r="D50" s="109">
        <f t="shared" si="1"/>
        <v>80</v>
      </c>
      <c r="E50" s="109">
        <f t="shared" si="1"/>
        <v>121</v>
      </c>
      <c r="F50" s="109">
        <f t="shared" si="1"/>
        <v>16</v>
      </c>
      <c r="G50" s="109">
        <f t="shared" si="1"/>
        <v>1</v>
      </c>
      <c r="H50" s="109">
        <f t="shared" si="1"/>
        <v>0</v>
      </c>
      <c r="I50" s="109">
        <f t="shared" si="1"/>
        <v>0</v>
      </c>
      <c r="J50" s="109">
        <f t="shared" si="1"/>
        <v>0</v>
      </c>
      <c r="K50" s="110">
        <f t="shared" si="1"/>
        <v>0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</row>
    <row r="51" spans="2:42" s="115" customFormat="1" ht="27" customHeight="1" x14ac:dyDescent="0.25">
      <c r="B51" s="111" t="s">
        <v>18</v>
      </c>
      <c r="C51" s="112">
        <f>SUM(D51:K51)</f>
        <v>100</v>
      </c>
      <c r="D51" s="113">
        <f t="shared" ref="D51:K51" si="2">IF(D50=0,0,+(D50/$C50)*100)</f>
        <v>36.697247706422019</v>
      </c>
      <c r="E51" s="113">
        <f t="shared" si="2"/>
        <v>55.5045871559633</v>
      </c>
      <c r="F51" s="113">
        <f t="shared" si="2"/>
        <v>7.3394495412844041</v>
      </c>
      <c r="G51" s="113">
        <f t="shared" si="2"/>
        <v>0.45871559633027525</v>
      </c>
      <c r="H51" s="113">
        <f t="shared" si="2"/>
        <v>0</v>
      </c>
      <c r="I51" s="113">
        <f t="shared" si="2"/>
        <v>0</v>
      </c>
      <c r="J51" s="113">
        <f t="shared" si="2"/>
        <v>0</v>
      </c>
      <c r="K51" s="114">
        <f t="shared" si="2"/>
        <v>0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</row>
    <row r="52" spans="2:42" s="80" customFormat="1" ht="27" customHeight="1" thickBot="1" x14ac:dyDescent="0.3">
      <c r="B52" s="116"/>
      <c r="C52" s="117"/>
      <c r="D52" s="118"/>
      <c r="E52" s="118"/>
      <c r="F52" s="118"/>
      <c r="G52" s="118"/>
      <c r="H52" s="118"/>
      <c r="I52" s="118"/>
      <c r="J52" s="118"/>
      <c r="K52" s="119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A8D-95D8-4BC7-A3D3-14940414BD10}">
  <dimension ref="B1:W66"/>
  <sheetViews>
    <sheetView showZeros="0" zoomScale="60" zoomScaleNormal="60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253" t="s">
        <v>35</v>
      </c>
      <c r="C1" s="253"/>
      <c r="D1" s="253"/>
      <c r="E1" s="253"/>
      <c r="F1" s="253"/>
      <c r="G1" s="253"/>
      <c r="H1" s="253"/>
      <c r="I1" s="253"/>
      <c r="J1" s="253"/>
    </row>
    <row r="2" spans="2:23" ht="36" x14ac:dyDescent="0.15">
      <c r="B2" s="253" t="s">
        <v>44</v>
      </c>
      <c r="C2" s="253"/>
      <c r="D2" s="253"/>
      <c r="E2" s="253"/>
      <c r="F2" s="253"/>
      <c r="G2" s="253"/>
      <c r="H2" s="253"/>
      <c r="I2" s="253"/>
      <c r="J2" s="253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24269781247.663551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4468385.5942338388</v>
      </c>
      <c r="D9" s="33">
        <v>0</v>
      </c>
      <c r="E9" s="33">
        <v>4468385.5942338388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42957957.143397778</v>
      </c>
      <c r="D10" s="33">
        <v>0</v>
      </c>
      <c r="E10" s="33">
        <v>42957957.143397778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167871736.97753361</v>
      </c>
      <c r="D11" s="33">
        <v>0</v>
      </c>
      <c r="E11" s="33">
        <v>167871736.97753361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200029178.27248386</v>
      </c>
      <c r="D12" s="33">
        <v>0</v>
      </c>
      <c r="E12" s="33">
        <v>200029178.27248386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165669129.65210286</v>
      </c>
      <c r="D13" s="33">
        <v>0</v>
      </c>
      <c r="E13" s="33">
        <v>165669129.65210286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102942300.00010371</v>
      </c>
      <c r="D14" s="33">
        <v>0</v>
      </c>
      <c r="E14" s="33">
        <v>102942300.00010371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15639349.579818437</v>
      </c>
      <c r="D15" s="33">
        <v>0</v>
      </c>
      <c r="E15" s="33">
        <v>15639349.579818437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9672819.2632394861</v>
      </c>
      <c r="D16" s="33">
        <v>0</v>
      </c>
      <c r="E16" s="33">
        <v>9672819.2632394861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5204433.6690056454</v>
      </c>
      <c r="D17" s="33">
        <v>0</v>
      </c>
      <c r="E17" s="33">
        <v>5204433.6690056454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17.267969262650997</v>
      </c>
      <c r="M17" s="39" t="s">
        <v>18</v>
      </c>
    </row>
    <row r="18" spans="2:13" x14ac:dyDescent="0.25">
      <c r="B18" s="25">
        <v>7</v>
      </c>
      <c r="C18" s="32">
        <v>11314346.745508531</v>
      </c>
      <c r="D18" s="33">
        <v>0</v>
      </c>
      <c r="E18" s="33">
        <v>11314346.745508531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6.216313051713835E-2</v>
      </c>
      <c r="M18" s="39" t="s">
        <v>19</v>
      </c>
    </row>
    <row r="19" spans="2:13" x14ac:dyDescent="0.25">
      <c r="B19" s="25">
        <v>7.5</v>
      </c>
      <c r="C19" s="32">
        <v>50245231.977401137</v>
      </c>
      <c r="D19" s="33">
        <v>0</v>
      </c>
      <c r="E19" s="33">
        <v>50245231.977401137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24269781247.663551</v>
      </c>
      <c r="M19" s="39" t="s">
        <v>20</v>
      </c>
    </row>
    <row r="20" spans="2:13" x14ac:dyDescent="0.25">
      <c r="B20" s="25">
        <v>8</v>
      </c>
      <c r="C20" s="32">
        <v>334156340.9355793</v>
      </c>
      <c r="D20" s="33">
        <v>0</v>
      </c>
      <c r="E20" s="33">
        <v>334156340.9355793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545302045.67992175</v>
      </c>
      <c r="D21" s="33">
        <v>0</v>
      </c>
      <c r="E21" s="33">
        <v>545302045.67992175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490300985.99135011</v>
      </c>
      <c r="D22" s="33">
        <v>0</v>
      </c>
      <c r="E22" s="33">
        <v>490300985.99135011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347907010.18511719</v>
      </c>
      <c r="D23" s="33">
        <v>0</v>
      </c>
      <c r="E23" s="33">
        <v>347907010.18511719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522834135.03252584</v>
      </c>
      <c r="D24" s="33">
        <v>0</v>
      </c>
      <c r="E24" s="33">
        <v>522834135.03252584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345905292.15254778</v>
      </c>
      <c r="D25" s="33">
        <v>0</v>
      </c>
      <c r="E25" s="33">
        <v>345905292.15254778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472207289.26940918</v>
      </c>
      <c r="D26" s="33">
        <v>0</v>
      </c>
      <c r="E26" s="33">
        <v>472207289.26940918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356270397.83789665</v>
      </c>
      <c r="D27" s="33">
        <v>0</v>
      </c>
      <c r="E27" s="33">
        <v>356270397.83789665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640394650.79032016</v>
      </c>
      <c r="D28" s="33">
        <v>0</v>
      </c>
      <c r="E28" s="33">
        <v>640394650.79032016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910388646.50775695</v>
      </c>
      <c r="D29" s="33">
        <v>0</v>
      </c>
      <c r="E29" s="33">
        <v>758657205.42313075</v>
      </c>
      <c r="F29" s="33">
        <v>151731441.08462614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1149034879.7136443</v>
      </c>
      <c r="D30" s="33">
        <v>0</v>
      </c>
      <c r="E30" s="33">
        <v>1005405519.7494388</v>
      </c>
      <c r="F30" s="33">
        <v>143629359.96420553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2116434018.9828353</v>
      </c>
      <c r="D31" s="33">
        <v>0</v>
      </c>
      <c r="E31" s="33">
        <v>1302420934.7586679</v>
      </c>
      <c r="F31" s="33">
        <v>814013084.22416747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2697824624.5997248</v>
      </c>
      <c r="D32" s="33">
        <v>0</v>
      </c>
      <c r="E32" s="33">
        <v>1745651227.6821749</v>
      </c>
      <c r="F32" s="33">
        <v>952173396.91754997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2928969407.0244045</v>
      </c>
      <c r="D33" s="33">
        <v>0</v>
      </c>
      <c r="E33" s="33">
        <v>1255272603.0104592</v>
      </c>
      <c r="F33" s="33">
        <v>1673696804.0139456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2834413225.449429</v>
      </c>
      <c r="D34" s="33">
        <v>0</v>
      </c>
      <c r="E34" s="33">
        <v>674860291.77367353</v>
      </c>
      <c r="F34" s="33">
        <v>2159552933.6757555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2599323641.2383304</v>
      </c>
      <c r="D35" s="33">
        <v>0</v>
      </c>
      <c r="E35" s="33">
        <v>649830910.30958259</v>
      </c>
      <c r="F35" s="33">
        <v>1949492730.9287477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2015771779.6502624</v>
      </c>
      <c r="D36" s="33">
        <v>0</v>
      </c>
      <c r="E36" s="33">
        <v>143983698.54644731</v>
      </c>
      <c r="F36" s="33">
        <v>1727804382.5573678</v>
      </c>
      <c r="G36" s="33">
        <v>143983698.54644731</v>
      </c>
      <c r="H36" s="33"/>
      <c r="I36" s="33"/>
      <c r="J36" s="38">
        <v>0</v>
      </c>
    </row>
    <row r="37" spans="2:14" x14ac:dyDescent="0.25">
      <c r="B37" s="25">
        <v>16.5</v>
      </c>
      <c r="C37" s="32">
        <v>1126487479.9386849</v>
      </c>
      <c r="D37" s="33">
        <v>0</v>
      </c>
      <c r="E37" s="33">
        <v>0</v>
      </c>
      <c r="F37" s="33">
        <v>1039834596.8664784</v>
      </c>
      <c r="G37" s="33">
        <v>86652883.072206542</v>
      </c>
      <c r="H37" s="33"/>
      <c r="I37" s="33"/>
      <c r="J37" s="38">
        <v>0</v>
      </c>
    </row>
    <row r="38" spans="2:14" x14ac:dyDescent="0.25">
      <c r="B38" s="25">
        <v>17</v>
      </c>
      <c r="C38" s="32">
        <v>530691027.98045444</v>
      </c>
      <c r="D38" s="33">
        <v>0</v>
      </c>
      <c r="E38" s="33">
        <v>0</v>
      </c>
      <c r="F38" s="33">
        <v>227439011.99162331</v>
      </c>
      <c r="G38" s="33">
        <v>303252015.9888311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376092074.22155774</v>
      </c>
      <c r="D39" s="33">
        <v>0</v>
      </c>
      <c r="E39" s="33">
        <v>0</v>
      </c>
      <c r="F39" s="33">
        <v>94023018.555389434</v>
      </c>
      <c r="G39" s="33">
        <v>282069055.66616833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132051635.54865687</v>
      </c>
      <c r="D40" s="33">
        <v>0</v>
      </c>
      <c r="E40" s="33">
        <v>0</v>
      </c>
      <c r="F40" s="33">
        <v>0</v>
      </c>
      <c r="G40" s="33">
        <v>132051635.54865687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21005790.058311015</v>
      </c>
      <c r="D41" s="33">
        <v>0</v>
      </c>
      <c r="E41" s="33">
        <v>0</v>
      </c>
      <c r="F41" s="33">
        <v>0</v>
      </c>
      <c r="G41" s="33">
        <v>21005790.058311015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37">
        <v>24269781247.663551</v>
      </c>
      <c r="D46" s="132">
        <v>0</v>
      </c>
      <c r="E46" s="132">
        <v>12367375408.003075</v>
      </c>
      <c r="F46" s="132">
        <v>10933390760.779856</v>
      </c>
      <c r="G46" s="132">
        <v>969015078.88062108</v>
      </c>
      <c r="H46" s="47"/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138">
        <v>100</v>
      </c>
      <c r="D47" s="128">
        <v>0</v>
      </c>
      <c r="E47" s="128">
        <v>50.957918745945349</v>
      </c>
      <c r="F47" s="128">
        <v>45.049399700841604</v>
      </c>
      <c r="G47" s="128">
        <v>3.9926815532130435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139">
        <v>13.655963508256162</v>
      </c>
      <c r="D48" s="129">
        <v>0</v>
      </c>
      <c r="E48" s="129">
        <v>12.093126488892993</v>
      </c>
      <c r="F48" s="129">
        <v>15.116670984665465</v>
      </c>
      <c r="G48" s="129">
        <v>17.121034967301174</v>
      </c>
      <c r="H48" s="54"/>
      <c r="I48" s="54"/>
      <c r="J48" s="55">
        <v>0</v>
      </c>
      <c r="L48"/>
      <c r="M48"/>
      <c r="N48"/>
    </row>
    <row r="49" spans="2:14" s="59" customFormat="1" x14ac:dyDescent="0.25">
      <c r="B49" s="56" t="s">
        <v>40</v>
      </c>
      <c r="C49" s="133">
        <v>21.814676272275843</v>
      </c>
      <c r="D49" s="57">
        <v>0</v>
      </c>
      <c r="E49" s="57">
        <v>15.211212436541322</v>
      </c>
      <c r="F49" s="57">
        <v>26.842058872972064</v>
      </c>
      <c r="G49" s="57">
        <v>40.590496488928963</v>
      </c>
      <c r="H49" s="57"/>
      <c r="I49" s="57"/>
      <c r="J49" s="58">
        <v>0</v>
      </c>
      <c r="L49"/>
      <c r="M49"/>
      <c r="N49"/>
    </row>
    <row r="50" spans="2:14" x14ac:dyDescent="0.25">
      <c r="B50" s="60" t="s">
        <v>41</v>
      </c>
      <c r="C50" s="134">
        <v>2.2761321772508582E+18</v>
      </c>
      <c r="D50" s="131">
        <v>0</v>
      </c>
      <c r="E50" s="131">
        <v>9.7852100887688064E+17</v>
      </c>
      <c r="F50" s="131">
        <v>1.2301649171670298E+18</v>
      </c>
      <c r="G50" s="131">
        <v>6.7446251206948056E+16</v>
      </c>
      <c r="H50" s="61"/>
      <c r="I50" s="61"/>
      <c r="J50" s="62">
        <v>0</v>
      </c>
      <c r="L50"/>
      <c r="M50"/>
      <c r="N50"/>
    </row>
    <row r="51" spans="2:14" x14ac:dyDescent="0.25">
      <c r="B51" s="63" t="s">
        <v>42</v>
      </c>
      <c r="C51" s="135">
        <v>6.216313051713835E-2</v>
      </c>
      <c r="D51" s="64">
        <v>0</v>
      </c>
      <c r="E51" s="64">
        <v>7.9984812917165984E-2</v>
      </c>
      <c r="F51" s="64">
        <v>0.1014441011775073</v>
      </c>
      <c r="G51" s="64">
        <v>0.26800837943099359</v>
      </c>
      <c r="H51" s="64"/>
      <c r="I51" s="64"/>
      <c r="J51" s="65">
        <v>0</v>
      </c>
      <c r="L51"/>
      <c r="M51"/>
      <c r="N51"/>
    </row>
    <row r="52" spans="2:14" ht="26" thickBot="1" x14ac:dyDescent="0.3">
      <c r="B52" s="66" t="s">
        <v>43</v>
      </c>
      <c r="C52" s="136">
        <v>7.6859516835911492</v>
      </c>
      <c r="D52" s="68">
        <v>0</v>
      </c>
      <c r="E52" s="68">
        <v>8.3180120552594925</v>
      </c>
      <c r="F52" s="68">
        <v>0.97209959173067795</v>
      </c>
      <c r="G52" s="68">
        <v>0.41411460433000791</v>
      </c>
      <c r="H52" s="68"/>
      <c r="I52" s="69"/>
      <c r="J52" s="70"/>
    </row>
    <row r="54" spans="2:14" x14ac:dyDescent="0.25">
      <c r="C54" s="3" t="s">
        <v>37</v>
      </c>
      <c r="E54" s="71">
        <f>E51*100/C51</f>
        <v>128.66921638561013</v>
      </c>
    </row>
    <row r="55" spans="2:14" x14ac:dyDescent="0.25">
      <c r="C55" s="3" t="s">
        <v>18</v>
      </c>
      <c r="D55" s="3">
        <f t="shared" ref="D55:I55" si="0">D46/1000000</f>
        <v>0</v>
      </c>
      <c r="E55" s="3">
        <f t="shared" si="0"/>
        <v>12367.375408003074</v>
      </c>
      <c r="F55" s="3">
        <f t="shared" si="0"/>
        <v>10933.390760779856</v>
      </c>
      <c r="G55" s="3">
        <f t="shared" si="0"/>
        <v>969.0150788806211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17</v>
      </c>
    </row>
    <row r="57" spans="2:14" x14ac:dyDescent="0.25">
      <c r="C57" s="71">
        <f>K58</f>
        <v>17.267969262650997</v>
      </c>
      <c r="D57" s="72" t="str">
        <f t="shared" ref="D57:I57" si="1">D6</f>
        <v>O</v>
      </c>
      <c r="E57" s="72" t="str">
        <f t="shared" si="1"/>
        <v>I</v>
      </c>
      <c r="F57" s="72" t="str">
        <f t="shared" si="1"/>
        <v>II</v>
      </c>
      <c r="G57" s="72" t="str">
        <f t="shared" si="1"/>
        <v>III</v>
      </c>
      <c r="H57" s="72" t="str">
        <f t="shared" si="1"/>
        <v>IV</v>
      </c>
      <c r="I57" s="72" t="str">
        <f t="shared" si="1"/>
        <v>V</v>
      </c>
    </row>
    <row r="58" spans="2:14" x14ac:dyDescent="0.25">
      <c r="B58" s="73">
        <v>2019</v>
      </c>
      <c r="C58" s="3" t="str">
        <f>CONCATENATE(C54,C56,C55)</f>
        <v>&lt; 12,0 cm =17%</v>
      </c>
      <c r="D58" s="71">
        <f>SUM(D8:D27)/1000000000</f>
        <v>0</v>
      </c>
      <c r="E58" s="71">
        <f t="shared" ref="E58:I58" si="2">SUM(E8:E27)/1000000000</f>
        <v>4.1908983659591774</v>
      </c>
      <c r="F58" s="71">
        <f t="shared" si="2"/>
        <v>0</v>
      </c>
      <c r="G58" s="71">
        <f t="shared" si="2"/>
        <v>0</v>
      </c>
      <c r="H58" s="71">
        <f t="shared" si="2"/>
        <v>0</v>
      </c>
      <c r="I58" s="71">
        <f t="shared" si="2"/>
        <v>0</v>
      </c>
      <c r="J58" s="71">
        <f>SUM(D58:I58)</f>
        <v>4.1908983659591774</v>
      </c>
      <c r="K58" s="71">
        <f>(J58/$J60)*100</f>
        <v>17.267969262650997</v>
      </c>
      <c r="L58" s="71">
        <f>ROUND(K58,0)</f>
        <v>17</v>
      </c>
    </row>
    <row r="59" spans="2:14" x14ac:dyDescent="0.25">
      <c r="B59" s="73"/>
      <c r="C59" s="3" t="s">
        <v>38</v>
      </c>
      <c r="D59" s="71">
        <f>SUM(D28:D45)/1000000000</f>
        <v>0</v>
      </c>
      <c r="E59" s="71">
        <f t="shared" ref="E59:I59" si="3">SUM(E28:E45)/1000000000</f>
        <v>8.1764770420438939</v>
      </c>
      <c r="F59" s="71">
        <f t="shared" si="3"/>
        <v>10.933390760779856</v>
      </c>
      <c r="G59" s="71">
        <f t="shared" si="3"/>
        <v>0.96901507888062111</v>
      </c>
      <c r="H59" s="71">
        <f t="shared" si="3"/>
        <v>0</v>
      </c>
      <c r="I59" s="71">
        <f t="shared" si="3"/>
        <v>0</v>
      </c>
      <c r="J59" s="71">
        <f>SUM(D59:I59)</f>
        <v>20.07888288170437</v>
      </c>
      <c r="K59" s="71">
        <f>(J59/$J60)*100</f>
        <v>82.732030737348992</v>
      </c>
    </row>
    <row r="60" spans="2:14" x14ac:dyDescent="0.25">
      <c r="B60" s="73"/>
      <c r="J60" s="71">
        <f>SUM(J58:J59)</f>
        <v>24.269781247663548</v>
      </c>
      <c r="K60" s="71">
        <f>SUM(K58:K59)</f>
        <v>99.999999999999986</v>
      </c>
    </row>
    <row r="61" spans="2:14" x14ac:dyDescent="0.25">
      <c r="B61" s="73"/>
    </row>
    <row r="62" spans="2:14" x14ac:dyDescent="0.25">
      <c r="B62" s="73"/>
    </row>
    <row r="63" spans="2:14" x14ac:dyDescent="0.25">
      <c r="B63" s="73"/>
      <c r="C63" s="71">
        <f>K64</f>
        <v>0</v>
      </c>
      <c r="D63" s="74" t="s">
        <v>5</v>
      </c>
      <c r="E63" s="74" t="s">
        <v>6</v>
      </c>
      <c r="F63" s="74" t="s">
        <v>7</v>
      </c>
      <c r="G63" s="74" t="s">
        <v>8</v>
      </c>
      <c r="H63" s="74" t="s">
        <v>9</v>
      </c>
      <c r="I63" s="74" t="s">
        <v>10</v>
      </c>
      <c r="K63" s="3"/>
    </row>
    <row r="64" spans="2:14" x14ac:dyDescent="0.25">
      <c r="B64" s="73"/>
      <c r="C64" s="3" t="s">
        <v>39</v>
      </c>
      <c r="D64" s="75"/>
      <c r="E64" s="75"/>
      <c r="F64" s="75"/>
      <c r="G64" s="75"/>
      <c r="H64" s="75"/>
      <c r="I64" s="75">
        <v>0</v>
      </c>
      <c r="J64" s="71"/>
      <c r="K64" s="71"/>
      <c r="L64" s="41"/>
    </row>
    <row r="65" spans="2:12" x14ac:dyDescent="0.25">
      <c r="B65" s="73"/>
      <c r="C65" s="3" t="s">
        <v>38</v>
      </c>
      <c r="D65" s="75"/>
      <c r="E65" s="75"/>
      <c r="F65" s="75"/>
      <c r="G65" s="75"/>
      <c r="H65" s="75"/>
      <c r="I65" s="75">
        <v>0</v>
      </c>
      <c r="J65" s="71"/>
      <c r="K65" s="71"/>
      <c r="L65" s="41"/>
    </row>
    <row r="66" spans="2:12" x14ac:dyDescent="0.25">
      <c r="B66" s="73"/>
      <c r="J66" s="71"/>
      <c r="K66" s="71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396-7B8A-49A6-BAD9-092B587E7A92}">
  <sheetPr syncVertical="1" syncRef="A1" transitionEvaluation="1"/>
  <dimension ref="B1:AP52"/>
  <sheetViews>
    <sheetView showZeros="0" zoomScale="42" zoomScaleNormal="42" workbookViewId="0"/>
  </sheetViews>
  <sheetFormatPr baseColWidth="10" defaultColWidth="13.85546875" defaultRowHeight="16" x14ac:dyDescent="0.2"/>
  <cols>
    <col min="1" max="1" width="5.42578125" style="76" customWidth="1"/>
    <col min="2" max="2" width="16.5703125" style="76" customWidth="1"/>
    <col min="3" max="3" width="16.140625" style="77" customWidth="1"/>
    <col min="4" max="11" width="22.140625" style="77" customWidth="1"/>
    <col min="12" max="12" width="11.7109375" style="76" bestFit="1" customWidth="1"/>
    <col min="13" max="13" width="8.28515625" style="76" customWidth="1"/>
    <col min="14" max="14" width="9" style="76" bestFit="1" customWidth="1"/>
    <col min="15" max="20" width="8.28515625" style="76" customWidth="1"/>
    <col min="21" max="21" width="11.7109375" style="76" bestFit="1" customWidth="1"/>
    <col min="22" max="22" width="8.28515625" style="76" customWidth="1"/>
    <col min="23" max="24" width="9" style="76" bestFit="1" customWidth="1"/>
    <col min="25" max="29" width="8.28515625" style="76" customWidth="1"/>
    <col min="30" max="30" width="11.7109375" style="76" bestFit="1" customWidth="1"/>
    <col min="31" max="31" width="8.42578125" style="76" bestFit="1" customWidth="1"/>
    <col min="32" max="34" width="9" style="76" bestFit="1" customWidth="1"/>
    <col min="35" max="36" width="9" style="76" customWidth="1"/>
    <col min="37" max="38" width="8.28515625" style="76" customWidth="1"/>
    <col min="39" max="39" width="4.140625" style="76" customWidth="1"/>
    <col min="40" max="16384" width="13.85546875" style="76"/>
  </cols>
  <sheetData>
    <row r="1" spans="2:42" ht="27" customHeight="1" x14ac:dyDescent="0.2">
      <c r="S1" s="78"/>
    </row>
    <row r="2" spans="2:42" s="80" customFormat="1" ht="27" customHeight="1" x14ac:dyDescent="0.3">
      <c r="B2" s="254" t="s">
        <v>46</v>
      </c>
      <c r="C2" s="254"/>
      <c r="D2" s="254"/>
      <c r="E2" s="254"/>
      <c r="F2" s="254"/>
      <c r="G2" s="254"/>
      <c r="H2" s="254"/>
      <c r="I2" s="254"/>
      <c r="J2" s="254"/>
      <c r="K2" s="254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</row>
    <row r="3" spans="2:42" ht="27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2:42" ht="27" customHeight="1" thickBot="1" x14ac:dyDescent="0.25"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2:42" ht="27" customHeight="1" x14ac:dyDescent="0.2">
      <c r="B5" s="81"/>
      <c r="C5" s="82"/>
      <c r="D5" s="83"/>
      <c r="E5" s="83"/>
      <c r="F5" s="83"/>
      <c r="G5" s="83"/>
      <c r="H5" s="83"/>
      <c r="I5" s="83"/>
      <c r="J5" s="83"/>
      <c r="K5" s="84"/>
    </row>
    <row r="6" spans="2:42" s="85" customFormat="1" ht="27" customHeight="1" x14ac:dyDescent="0.25">
      <c r="C6" s="255" t="s">
        <v>27</v>
      </c>
      <c r="D6" s="256"/>
      <c r="E6" s="256"/>
      <c r="F6" s="256"/>
      <c r="G6" s="256"/>
      <c r="H6" s="256"/>
      <c r="I6" s="256"/>
      <c r="J6" s="256"/>
      <c r="K6" s="257"/>
    </row>
    <row r="7" spans="2:42" ht="27" customHeight="1" thickBot="1" x14ac:dyDescent="0.25">
      <c r="B7" s="86"/>
      <c r="C7" s="87"/>
      <c r="D7" s="88"/>
      <c r="E7" s="88"/>
      <c r="F7" s="88"/>
      <c r="G7" s="88"/>
      <c r="H7" s="88"/>
      <c r="I7" s="88"/>
      <c r="J7" s="88"/>
      <c r="K7" s="89"/>
    </row>
    <row r="8" spans="2:42" s="91" customFormat="1" ht="27" customHeight="1" thickBot="1" x14ac:dyDescent="0.3">
      <c r="B8" s="90" t="s">
        <v>28</v>
      </c>
      <c r="C8" s="258" t="s">
        <v>29</v>
      </c>
      <c r="D8" s="258"/>
      <c r="E8" s="258"/>
      <c r="F8" s="258"/>
      <c r="G8" s="258"/>
      <c r="H8" s="258"/>
      <c r="I8" s="258"/>
      <c r="J8" s="258"/>
      <c r="K8" s="259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</row>
    <row r="9" spans="2:42" s="91" customFormat="1" ht="27" customHeight="1" x14ac:dyDescent="0.25">
      <c r="B9" s="92" t="s">
        <v>30</v>
      </c>
      <c r="C9" s="93" t="s">
        <v>31</v>
      </c>
      <c r="D9" s="94" t="s">
        <v>32</v>
      </c>
      <c r="E9" s="94" t="s">
        <v>6</v>
      </c>
      <c r="F9" s="94" t="s">
        <v>7</v>
      </c>
      <c r="G9" s="94" t="s">
        <v>8</v>
      </c>
      <c r="H9" s="94" t="s">
        <v>9</v>
      </c>
      <c r="I9" s="94" t="s">
        <v>10</v>
      </c>
      <c r="J9" s="94" t="s">
        <v>33</v>
      </c>
      <c r="K9" s="95" t="s">
        <v>34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</row>
    <row r="10" spans="2:42" s="91" customFormat="1" ht="27" customHeight="1" thickBot="1" x14ac:dyDescent="0.3">
      <c r="B10" s="120"/>
      <c r="C10" s="123"/>
      <c r="D10" s="96"/>
      <c r="E10" s="96"/>
      <c r="F10" s="96"/>
      <c r="G10" s="96"/>
      <c r="H10" s="96"/>
      <c r="I10" s="96"/>
      <c r="J10" s="96"/>
      <c r="K10" s="97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</row>
    <row r="11" spans="2:42" s="80" customFormat="1" ht="27" customHeight="1" x14ac:dyDescent="0.25">
      <c r="B11" s="121">
        <v>2</v>
      </c>
      <c r="C11" s="125">
        <f t="shared" ref="C11:C48" si="0">SUM(D11:K11)</f>
        <v>0</v>
      </c>
      <c r="D11" s="98"/>
      <c r="E11" s="98"/>
      <c r="F11" s="98"/>
      <c r="G11" s="98"/>
      <c r="H11" s="98"/>
      <c r="I11" s="98"/>
      <c r="J11" s="98">
        <f>+'[2]15.Calb3t16'!AE11+'[2]16.Calb4t16'!AE11+'[2]17.Calb1t17'!AE11+'[2]18.Calb2t17'!AE11</f>
        <v>0</v>
      </c>
      <c r="K11" s="99">
        <f>+'[2]15.Calb3t16'!AF11+'[2]16.Calb4t16'!AF11+'[2]17.Calb1t17'!AF11+'[2]18.Calb2t17'!AF11</f>
        <v>0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</row>
    <row r="12" spans="2:42" s="80" customFormat="1" ht="27" customHeight="1" x14ac:dyDescent="0.25">
      <c r="B12" s="104">
        <v>2.5</v>
      </c>
      <c r="C12" s="126">
        <f t="shared" si="0"/>
        <v>1</v>
      </c>
      <c r="D12" s="100"/>
      <c r="E12" s="100">
        <v>1</v>
      </c>
      <c r="F12" s="100"/>
      <c r="G12" s="100"/>
      <c r="H12" s="100"/>
      <c r="I12" s="100"/>
      <c r="J12" s="100">
        <f>+'[2]15.Calb3t16'!AE12+'[2]16.Calb4t16'!AE12+'[2]17.Calb1t17'!AE12+'[2]18.Calb2t17'!AE12</f>
        <v>0</v>
      </c>
      <c r="K12" s="101">
        <f>+'[2]15.Calb3t16'!AF12+'[2]16.Calb4t16'!AF12+'[2]17.Calb1t17'!AF12+'[2]18.Calb2t17'!AF12</f>
        <v>0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</row>
    <row r="13" spans="2:42" s="80" customFormat="1" ht="27" customHeight="1" x14ac:dyDescent="0.25">
      <c r="B13" s="104">
        <v>3</v>
      </c>
      <c r="C13" s="126">
        <f t="shared" si="0"/>
        <v>1</v>
      </c>
      <c r="D13" s="100"/>
      <c r="E13" s="100">
        <v>1</v>
      </c>
      <c r="F13" s="100"/>
      <c r="G13" s="100"/>
      <c r="H13" s="100"/>
      <c r="I13" s="100"/>
      <c r="J13" s="100">
        <f>+'[2]15.Calb3t16'!AE13+'[2]16.Calb4t16'!AE13+'[2]17.Calb1t17'!AE13+'[2]18.Calb2t17'!AE13</f>
        <v>0</v>
      </c>
      <c r="K13" s="101">
        <f>+'[2]15.Calb3t16'!AF13+'[2]16.Calb4t16'!AF13+'[2]17.Calb1t17'!AF13+'[2]18.Calb2t17'!AF13</f>
        <v>0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</row>
    <row r="14" spans="2:42" s="80" customFormat="1" ht="27" customHeight="1" x14ac:dyDescent="0.25">
      <c r="B14" s="104">
        <v>3.5</v>
      </c>
      <c r="C14" s="126">
        <f t="shared" si="0"/>
        <v>3</v>
      </c>
      <c r="D14" s="100"/>
      <c r="E14" s="100">
        <v>3</v>
      </c>
      <c r="F14" s="100"/>
      <c r="G14" s="100"/>
      <c r="H14" s="100"/>
      <c r="I14" s="100"/>
      <c r="J14" s="100">
        <f>+'[2]15.Calb3t16'!AE14+'[2]16.Calb4t16'!AE14+'[2]17.Calb1t17'!AE14+'[2]18.Calb2t17'!AE14</f>
        <v>0</v>
      </c>
      <c r="K14" s="101">
        <f>+'[2]15.Calb3t16'!AF14+'[2]16.Calb4t16'!AF14+'[2]17.Calb1t17'!AF14+'[2]18.Calb2t17'!AF14</f>
        <v>0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</row>
    <row r="15" spans="2:42" s="80" customFormat="1" ht="27" customHeight="1" x14ac:dyDescent="0.25">
      <c r="B15" s="104">
        <v>4</v>
      </c>
      <c r="C15" s="126">
        <f t="shared" si="0"/>
        <v>4</v>
      </c>
      <c r="D15" s="100"/>
      <c r="E15" s="100">
        <v>4</v>
      </c>
      <c r="F15" s="100"/>
      <c r="G15" s="100"/>
      <c r="H15" s="100"/>
      <c r="I15" s="100"/>
      <c r="J15" s="100">
        <f>+'[2]15.Calb3t16'!AE15+'[2]16.Calb4t16'!AE15+'[2]17.Calb1t17'!AE15+'[2]18.Calb2t17'!AE15</f>
        <v>0</v>
      </c>
      <c r="K15" s="101">
        <f>+'[2]15.Calb3t16'!AF15+'[2]16.Calb4t16'!AF15+'[2]17.Calb1t17'!AF15+'[2]18.Calb2t17'!AF15</f>
        <v>0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</row>
    <row r="16" spans="2:42" s="80" customFormat="1" ht="27" customHeight="1" x14ac:dyDescent="0.25">
      <c r="B16" s="104">
        <v>4.5</v>
      </c>
      <c r="C16" s="126">
        <f t="shared" si="0"/>
        <v>4</v>
      </c>
      <c r="D16" s="100"/>
      <c r="E16" s="100">
        <v>4</v>
      </c>
      <c r="F16" s="100"/>
      <c r="G16" s="100"/>
      <c r="H16" s="100"/>
      <c r="I16" s="100"/>
      <c r="J16" s="100">
        <f>+'[2]15.Calb3t16'!AE16+'[2]16.Calb4t16'!AE16+'[2]17.Calb1t17'!AE16+'[2]18.Calb2t17'!AE16</f>
        <v>0</v>
      </c>
      <c r="K16" s="101">
        <f>+'[2]15.Calb3t16'!AF16+'[2]16.Calb4t16'!AF16+'[2]17.Calb1t17'!AF16+'[2]18.Calb2t17'!AF16</f>
        <v>0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</row>
    <row r="17" spans="2:42" s="80" customFormat="1" ht="27" customHeight="1" x14ac:dyDescent="0.25">
      <c r="B17" s="104">
        <v>5</v>
      </c>
      <c r="C17" s="126">
        <f t="shared" si="0"/>
        <v>2</v>
      </c>
      <c r="D17" s="100"/>
      <c r="E17" s="100">
        <v>2</v>
      </c>
      <c r="F17" s="100"/>
      <c r="G17" s="100"/>
      <c r="H17" s="100"/>
      <c r="I17" s="100"/>
      <c r="J17" s="100">
        <f>+'[2]15.Calb3t16'!AE17+'[2]16.Calb4t16'!AE17+'[2]17.Calb1t17'!AE17+'[2]18.Calb2t17'!AE17</f>
        <v>0</v>
      </c>
      <c r="K17" s="101">
        <f>+'[2]15.Calb3t16'!AF17+'[2]16.Calb4t16'!AF17+'[2]17.Calb1t17'!AF17+'[2]18.Calb2t17'!AF17</f>
        <v>0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</row>
    <row r="18" spans="2:42" s="80" customFormat="1" ht="27" customHeight="1" x14ac:dyDescent="0.25">
      <c r="B18" s="104">
        <v>5.5</v>
      </c>
      <c r="C18" s="126">
        <f t="shared" si="0"/>
        <v>1</v>
      </c>
      <c r="D18" s="100"/>
      <c r="E18" s="100">
        <v>1</v>
      </c>
      <c r="F18" s="100"/>
      <c r="G18" s="100"/>
      <c r="H18" s="100"/>
      <c r="I18" s="100"/>
      <c r="J18" s="100">
        <f>+'[2]15.Calb3t16'!AE18+'[2]16.Calb4t16'!AE18+'[2]17.Calb1t17'!AE18+'[2]18.Calb2t17'!AE18</f>
        <v>0</v>
      </c>
      <c r="K18" s="101">
        <f>+'[2]15.Calb3t16'!AF18+'[2]16.Calb4t16'!AF18+'[2]17.Calb1t17'!AF18+'[2]18.Calb2t17'!AF18</f>
        <v>0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</row>
    <row r="19" spans="2:42" s="80" customFormat="1" ht="27" customHeight="1" x14ac:dyDescent="0.25">
      <c r="B19" s="104">
        <v>6</v>
      </c>
      <c r="C19" s="126">
        <f t="shared" si="0"/>
        <v>1</v>
      </c>
      <c r="D19" s="100"/>
      <c r="E19" s="100">
        <v>1</v>
      </c>
      <c r="F19" s="100"/>
      <c r="G19" s="100"/>
      <c r="H19" s="100"/>
      <c r="I19" s="100"/>
      <c r="J19" s="100">
        <f>+'[2]15.Calb3t16'!AE19+'[2]16.Calb4t16'!AE19+'[2]17.Calb1t17'!AE19+'[2]18.Calb2t17'!AE19</f>
        <v>0</v>
      </c>
      <c r="K19" s="101">
        <f>+'[2]15.Calb3t16'!AF19+'[2]16.Calb4t16'!AF19+'[2]17.Calb1t17'!AF19+'[2]18.Calb2t17'!AF19</f>
        <v>0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pans="2:42" s="80" customFormat="1" ht="27" customHeight="1" x14ac:dyDescent="0.25">
      <c r="B20" s="104">
        <v>6.5</v>
      </c>
      <c r="C20" s="126">
        <f t="shared" si="0"/>
        <v>1</v>
      </c>
      <c r="D20" s="100"/>
      <c r="E20" s="100">
        <v>1</v>
      </c>
      <c r="F20" s="100"/>
      <c r="G20" s="100"/>
      <c r="H20" s="100"/>
      <c r="I20" s="100"/>
      <c r="J20" s="100">
        <f>+'[2]15.Calb3t16'!AE20+'[2]16.Calb4t16'!AE20+'[2]17.Calb1t17'!AE20+'[2]18.Calb2t17'!AE20</f>
        <v>0</v>
      </c>
      <c r="K20" s="101">
        <f>+'[2]15.Calb3t16'!AF20+'[2]16.Calb4t16'!AF20+'[2]17.Calb1t17'!AF20+'[2]18.Calb2t17'!AF20</f>
        <v>0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</row>
    <row r="21" spans="2:42" s="80" customFormat="1" ht="27" customHeight="1" x14ac:dyDescent="0.25">
      <c r="B21" s="104">
        <v>7</v>
      </c>
      <c r="C21" s="126">
        <f t="shared" si="0"/>
        <v>1</v>
      </c>
      <c r="D21" s="100"/>
      <c r="E21" s="100">
        <v>1</v>
      </c>
      <c r="F21" s="100"/>
      <c r="G21" s="100"/>
      <c r="H21" s="100"/>
      <c r="I21" s="100"/>
      <c r="J21" s="100">
        <f>+'[2]15.Calb3t16'!AE21+'[2]16.Calb4t16'!AE21+'[2]17.Calb1t17'!AE21+'[2]18.Calb2t17'!AE21</f>
        <v>0</v>
      </c>
      <c r="K21" s="101">
        <f>+'[2]15.Calb3t16'!AF21+'[2]16.Calb4t16'!AF21+'[2]17.Calb1t17'!AF21+'[2]18.Calb2t17'!AF21</f>
        <v>0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</row>
    <row r="22" spans="2:42" s="80" customFormat="1" ht="27" customHeight="1" x14ac:dyDescent="0.25">
      <c r="B22" s="104">
        <v>7.5</v>
      </c>
      <c r="C22" s="126">
        <f t="shared" si="0"/>
        <v>1</v>
      </c>
      <c r="D22" s="100"/>
      <c r="E22" s="100">
        <v>1</v>
      </c>
      <c r="F22" s="100"/>
      <c r="G22" s="100"/>
      <c r="H22" s="100"/>
      <c r="I22" s="100"/>
      <c r="J22" s="100">
        <f>+'[2]15.Calb3t16'!AE22+'[2]16.Calb4t16'!AE22+'[2]17.Calb1t17'!AE22+'[2]18.Calb2t17'!AE22</f>
        <v>0</v>
      </c>
      <c r="K22" s="101">
        <f>+'[2]15.Calb3t16'!AF22+'[2]16.Calb4t16'!AF22+'[2]17.Calb1t17'!AF22+'[2]18.Calb2t17'!AF22</f>
        <v>0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</row>
    <row r="23" spans="2:42" s="80" customFormat="1" ht="27" customHeight="1" x14ac:dyDescent="0.25">
      <c r="B23" s="104">
        <v>8</v>
      </c>
      <c r="C23" s="126">
        <f t="shared" si="0"/>
        <v>6</v>
      </c>
      <c r="D23" s="100"/>
      <c r="E23" s="100">
        <v>6</v>
      </c>
      <c r="F23" s="100"/>
      <c r="G23" s="100"/>
      <c r="H23" s="100"/>
      <c r="I23" s="100"/>
      <c r="J23" s="100">
        <f>+'[2]15.Calb3t16'!AE23+'[2]16.Calb4t16'!AE23+'[2]17.Calb1t17'!AE23+'[2]18.Calb2t17'!AE23</f>
        <v>0</v>
      </c>
      <c r="K23" s="101">
        <f>+'[2]15.Calb3t16'!AF23+'[2]16.Calb4t16'!AF23+'[2]17.Calb1t17'!AF23+'[2]18.Calb2t17'!AF23</f>
        <v>0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</row>
    <row r="24" spans="2:42" s="80" customFormat="1" ht="27" customHeight="1" x14ac:dyDescent="0.25">
      <c r="B24" s="104">
        <v>8.5</v>
      </c>
      <c r="C24" s="126">
        <f t="shared" si="0"/>
        <v>9</v>
      </c>
      <c r="D24" s="100"/>
      <c r="E24" s="100">
        <v>9</v>
      </c>
      <c r="F24" s="100"/>
      <c r="G24" s="100"/>
      <c r="H24" s="100"/>
      <c r="I24" s="100"/>
      <c r="J24" s="100">
        <f>+'[2]15.Calb3t16'!AE24+'[2]16.Calb4t16'!AE24+'[2]17.Calb1t17'!AE24+'[2]18.Calb2t17'!AE24</f>
        <v>0</v>
      </c>
      <c r="K24" s="101">
        <f>+'[2]15.Calb3t16'!AF24+'[2]16.Calb4t16'!AF24+'[2]17.Calb1t17'!AF24+'[2]18.Calb2t17'!AF24</f>
        <v>0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</row>
    <row r="25" spans="2:42" s="80" customFormat="1" ht="27" customHeight="1" x14ac:dyDescent="0.25">
      <c r="B25" s="104">
        <v>9</v>
      </c>
      <c r="C25" s="126">
        <f t="shared" si="0"/>
        <v>9</v>
      </c>
      <c r="D25" s="100"/>
      <c r="E25" s="100">
        <v>9</v>
      </c>
      <c r="F25" s="100"/>
      <c r="G25" s="100"/>
      <c r="H25" s="100"/>
      <c r="I25" s="100"/>
      <c r="J25" s="100">
        <f>+'[2]15.Calb3t16'!AE25+'[2]16.Calb4t16'!AE25+'[2]17.Calb1t17'!AE25+'[2]18.Calb2t17'!AE25</f>
        <v>0</v>
      </c>
      <c r="K25" s="101">
        <f>+'[2]15.Calb3t16'!AF25+'[2]16.Calb4t16'!AF25+'[2]17.Calb1t17'!AF25+'[2]18.Calb2t17'!AF25</f>
        <v>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</row>
    <row r="26" spans="2:42" s="80" customFormat="1" ht="27" customHeight="1" x14ac:dyDescent="0.25">
      <c r="B26" s="104">
        <v>9.5</v>
      </c>
      <c r="C26" s="126">
        <f t="shared" si="0"/>
        <v>6</v>
      </c>
      <c r="D26" s="100"/>
      <c r="E26" s="100">
        <v>6</v>
      </c>
      <c r="F26" s="100"/>
      <c r="G26" s="100"/>
      <c r="H26" s="100"/>
      <c r="I26" s="100"/>
      <c r="J26" s="100">
        <f>+'[2]15.Calb3t16'!AE26+'[2]16.Calb4t16'!AE26+'[2]17.Calb1t17'!AE26+'[2]18.Calb2t17'!AE26</f>
        <v>0</v>
      </c>
      <c r="K26" s="101">
        <f>+'[2]15.Calb3t16'!AF26+'[2]16.Calb4t16'!AF26+'[2]17.Calb1t17'!AF26+'[2]18.Calb2t17'!AF26</f>
        <v>0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</row>
    <row r="27" spans="2:42" s="80" customFormat="1" ht="27" customHeight="1" x14ac:dyDescent="0.25">
      <c r="B27" s="104">
        <v>10</v>
      </c>
      <c r="C27" s="126">
        <f t="shared" si="0"/>
        <v>6</v>
      </c>
      <c r="D27" s="100"/>
      <c r="E27" s="100">
        <v>6</v>
      </c>
      <c r="F27" s="100"/>
      <c r="G27" s="100"/>
      <c r="H27" s="100"/>
      <c r="I27" s="100"/>
      <c r="J27" s="100">
        <f>+'[2]15.Calb3t16'!AE27+'[2]16.Calb4t16'!AE27+'[2]17.Calb1t17'!AE27+'[2]18.Calb2t17'!AE27</f>
        <v>0</v>
      </c>
      <c r="K27" s="101">
        <f>+'[2]15.Calb3t16'!AF27+'[2]16.Calb4t16'!AF27+'[2]17.Calb1t17'!AF27+'[2]18.Calb2t17'!AF27</f>
        <v>0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2:42" s="80" customFormat="1" ht="27" customHeight="1" x14ac:dyDescent="0.25">
      <c r="B28" s="104">
        <v>10.5</v>
      </c>
      <c r="C28" s="126">
        <f t="shared" si="0"/>
        <v>4</v>
      </c>
      <c r="D28" s="100"/>
      <c r="E28" s="100">
        <v>4</v>
      </c>
      <c r="F28" s="100"/>
      <c r="G28" s="100"/>
      <c r="H28" s="100"/>
      <c r="I28" s="100"/>
      <c r="J28" s="100">
        <f>+'[2]15.Calb3t16'!AE28+'[2]16.Calb4t16'!AE28+'[2]17.Calb1t17'!AE28+'[2]18.Calb2t17'!AE28</f>
        <v>0</v>
      </c>
      <c r="K28" s="101">
        <f>+'[2]15.Calb3t16'!AF28+'[2]16.Calb4t16'!AF28+'[2]17.Calb1t17'!AF28+'[2]18.Calb2t17'!AF28</f>
        <v>0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</row>
    <row r="29" spans="2:42" s="80" customFormat="1" ht="27" customHeight="1" x14ac:dyDescent="0.25">
      <c r="B29" s="104">
        <v>11</v>
      </c>
      <c r="C29" s="126">
        <f t="shared" si="0"/>
        <v>4</v>
      </c>
      <c r="D29" s="100"/>
      <c r="E29" s="100">
        <v>4</v>
      </c>
      <c r="F29" s="100"/>
      <c r="G29" s="100"/>
      <c r="H29" s="100"/>
      <c r="I29" s="100"/>
      <c r="J29" s="100">
        <f>+'[2]15.Calb3t16'!AE29+'[2]16.Calb4t16'!AE29+'[2]17.Calb1t17'!AE29+'[2]18.Calb2t17'!AE29</f>
        <v>0</v>
      </c>
      <c r="K29" s="101">
        <f>+'[2]15.Calb3t16'!AF29+'[2]16.Calb4t16'!AF29+'[2]17.Calb1t17'!AF29+'[2]18.Calb2t17'!AF29</f>
        <v>0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</row>
    <row r="30" spans="2:42" s="80" customFormat="1" ht="27" customHeight="1" x14ac:dyDescent="0.25">
      <c r="B30" s="104">
        <v>11.5</v>
      </c>
      <c r="C30" s="126">
        <f t="shared" si="0"/>
        <v>3</v>
      </c>
      <c r="D30" s="100"/>
      <c r="E30" s="100">
        <v>3</v>
      </c>
      <c r="F30" s="100"/>
      <c r="G30" s="100"/>
      <c r="H30" s="100"/>
      <c r="I30" s="100"/>
      <c r="J30" s="100">
        <f>+'[2]15.Calb3t16'!AE30+'[2]16.Calb4t16'!AE30+'[2]17.Calb1t17'!AE30+'[2]18.Calb2t17'!AE30</f>
        <v>0</v>
      </c>
      <c r="K30" s="101">
        <f>+'[2]15.Calb3t16'!AF30+'[2]16.Calb4t16'!AF30+'[2]17.Calb1t17'!AF30+'[2]18.Calb2t17'!AF30</f>
        <v>0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2:42" s="80" customFormat="1" ht="27" customHeight="1" x14ac:dyDescent="0.25">
      <c r="B31" s="104">
        <v>12</v>
      </c>
      <c r="C31" s="126">
        <f t="shared" si="0"/>
        <v>5</v>
      </c>
      <c r="D31" s="100"/>
      <c r="E31" s="100">
        <v>5</v>
      </c>
      <c r="F31" s="100"/>
      <c r="G31" s="100"/>
      <c r="H31" s="100"/>
      <c r="I31" s="100"/>
      <c r="J31" s="100">
        <f>+'[2]15.Calb3t16'!AE31+'[2]16.Calb4t16'!AE31+'[2]17.Calb1t17'!AE31+'[2]18.Calb2t17'!AE31</f>
        <v>0</v>
      </c>
      <c r="K31" s="101">
        <f>+'[2]15.Calb3t16'!AF31+'[2]16.Calb4t16'!AF31+'[2]17.Calb1t17'!AF31+'[2]18.Calb2t17'!AF31</f>
        <v>0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</row>
    <row r="32" spans="2:42" s="80" customFormat="1" ht="27" customHeight="1" x14ac:dyDescent="0.25">
      <c r="B32" s="104">
        <v>12.5</v>
      </c>
      <c r="C32" s="126">
        <f t="shared" si="0"/>
        <v>6</v>
      </c>
      <c r="D32" s="100"/>
      <c r="E32" s="100">
        <v>5</v>
      </c>
      <c r="F32" s="100">
        <v>1</v>
      </c>
      <c r="G32" s="100"/>
      <c r="H32" s="100"/>
      <c r="I32" s="100"/>
      <c r="J32" s="100">
        <f>+'[2]15.Calb3t16'!AE32+'[2]16.Calb4t16'!AE32+'[2]17.Calb1t17'!AE32+'[2]18.Calb2t17'!AE32</f>
        <v>0</v>
      </c>
      <c r="K32" s="101">
        <f>+'[2]15.Calb3t16'!AF32+'[2]16.Calb4t16'!AF32+'[2]17.Calb1t17'!AF32+'[2]18.Calb2t17'!AF32</f>
        <v>0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</row>
    <row r="33" spans="2:42" s="80" customFormat="1" ht="27" customHeight="1" x14ac:dyDescent="0.25">
      <c r="B33" s="104">
        <v>13</v>
      </c>
      <c r="C33" s="126">
        <f t="shared" si="0"/>
        <v>8</v>
      </c>
      <c r="D33" s="100"/>
      <c r="E33" s="100">
        <v>7</v>
      </c>
      <c r="F33" s="100">
        <v>1</v>
      </c>
      <c r="G33" s="100"/>
      <c r="H33" s="100"/>
      <c r="I33" s="100"/>
      <c r="J33" s="100">
        <f>+'[2]15.Calb3t16'!AE33+'[2]16.Calb4t16'!AE33+'[2]17.Calb1t17'!AE33+'[2]18.Calb2t17'!AE33</f>
        <v>0</v>
      </c>
      <c r="K33" s="101">
        <f>+'[2]15.Calb3t16'!AF33+'[2]16.Calb4t16'!AF33+'[2]17.Calb1t17'!AF33+'[2]18.Calb2t17'!AF33</f>
        <v>0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</row>
    <row r="34" spans="2:42" s="80" customFormat="1" ht="27" customHeight="1" x14ac:dyDescent="0.25">
      <c r="B34" s="104">
        <v>13.5</v>
      </c>
      <c r="C34" s="126">
        <f t="shared" si="0"/>
        <v>13</v>
      </c>
      <c r="D34" s="100"/>
      <c r="E34" s="100">
        <v>8</v>
      </c>
      <c r="F34" s="100">
        <v>5</v>
      </c>
      <c r="G34" s="100"/>
      <c r="H34" s="100"/>
      <c r="I34" s="100"/>
      <c r="J34" s="100">
        <f>+'[2]15.Calb3t16'!AE34+'[2]16.Calb4t16'!AE34+'[2]17.Calb1t17'!AE34+'[2]18.Calb2t17'!AE34</f>
        <v>0</v>
      </c>
      <c r="K34" s="101">
        <f>+'[2]15.Calb3t16'!AF34+'[2]16.Calb4t16'!AF34+'[2]17.Calb1t17'!AF34+'[2]18.Calb2t17'!AF34</f>
        <v>0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pans="2:42" s="80" customFormat="1" ht="27" customHeight="1" x14ac:dyDescent="0.25">
      <c r="B35" s="104">
        <v>14</v>
      </c>
      <c r="C35" s="126">
        <f t="shared" si="0"/>
        <v>17</v>
      </c>
      <c r="D35" s="100"/>
      <c r="E35" s="100">
        <v>11</v>
      </c>
      <c r="F35" s="100">
        <v>6</v>
      </c>
      <c r="G35" s="100"/>
      <c r="H35" s="100"/>
      <c r="I35" s="100"/>
      <c r="J35" s="100">
        <f>+'[2]15.Calb3t16'!AE35+'[2]16.Calb4t16'!AE35+'[2]17.Calb1t17'!AE35+'[2]18.Calb2t17'!AE35</f>
        <v>0</v>
      </c>
      <c r="K35" s="101">
        <f>+'[2]15.Calb3t16'!AF35+'[2]16.Calb4t16'!AF35+'[2]17.Calb1t17'!AF35+'[2]18.Calb2t17'!AF35</f>
        <v>0</v>
      </c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</row>
    <row r="36" spans="2:42" s="80" customFormat="1" ht="27" customHeight="1" x14ac:dyDescent="0.25">
      <c r="B36" s="104">
        <v>14.5</v>
      </c>
      <c r="C36" s="126">
        <f t="shared" si="0"/>
        <v>21</v>
      </c>
      <c r="D36" s="100"/>
      <c r="E36" s="100">
        <v>9</v>
      </c>
      <c r="F36" s="100">
        <v>12</v>
      </c>
      <c r="G36" s="100"/>
      <c r="H36" s="100"/>
      <c r="I36" s="100"/>
      <c r="J36" s="100">
        <f>+'[2]15.Calb3t16'!AE36+'[2]16.Calb4t16'!AE36+'[2]17.Calb1t17'!AE36+'[2]18.Calb2t17'!AE36</f>
        <v>0</v>
      </c>
      <c r="K36" s="101">
        <f>+'[2]15.Calb3t16'!AF36+'[2]16.Calb4t16'!AF36+'[2]17.Calb1t17'!AF36+'[2]18.Calb2t17'!AF36</f>
        <v>0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</row>
    <row r="37" spans="2:42" s="80" customFormat="1" ht="27" customHeight="1" x14ac:dyDescent="0.25">
      <c r="B37" s="104">
        <v>15</v>
      </c>
      <c r="C37" s="126">
        <f t="shared" si="0"/>
        <v>21</v>
      </c>
      <c r="D37" s="100"/>
      <c r="E37" s="100">
        <v>5</v>
      </c>
      <c r="F37" s="100">
        <v>16</v>
      </c>
      <c r="G37" s="100"/>
      <c r="H37" s="100"/>
      <c r="I37" s="100"/>
      <c r="J37" s="100">
        <f>+'[2]15.Calb3t16'!AE37+'[2]16.Calb4t16'!AE37+'[2]17.Calb1t17'!AE37+'[2]18.Calb2t17'!AE37</f>
        <v>0</v>
      </c>
      <c r="K37" s="101">
        <f>+'[2]15.Calb3t16'!AF37+'[2]16.Calb4t16'!AF37+'[2]17.Calb1t17'!AF37+'[2]18.Calb2t17'!AF37</f>
        <v>0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</row>
    <row r="38" spans="2:42" s="80" customFormat="1" ht="27" customHeight="1" x14ac:dyDescent="0.25">
      <c r="B38" s="104">
        <v>15.5</v>
      </c>
      <c r="C38" s="126">
        <f t="shared" si="0"/>
        <v>20</v>
      </c>
      <c r="D38" s="100"/>
      <c r="E38" s="100">
        <v>5</v>
      </c>
      <c r="F38" s="100">
        <v>15</v>
      </c>
      <c r="G38" s="100"/>
      <c r="H38" s="100"/>
      <c r="I38" s="100"/>
      <c r="J38" s="100">
        <f>+'[2]15.Calb3t16'!AE38+'[2]16.Calb4t16'!AE38+'[2]17.Calb1t17'!AE38+'[2]18.Calb2t17'!AE38</f>
        <v>0</v>
      </c>
      <c r="K38" s="101">
        <f>+'[2]15.Calb3t16'!AF38+'[2]16.Calb4t16'!AF38+'[2]17.Calb1t17'!AF38+'[2]18.Calb2t17'!AF38</f>
        <v>0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</row>
    <row r="39" spans="2:42" s="80" customFormat="1" ht="27" customHeight="1" x14ac:dyDescent="0.25">
      <c r="B39" s="104">
        <v>16</v>
      </c>
      <c r="C39" s="126">
        <f t="shared" si="0"/>
        <v>14</v>
      </c>
      <c r="D39" s="100"/>
      <c r="E39" s="100">
        <v>1</v>
      </c>
      <c r="F39" s="100">
        <v>12</v>
      </c>
      <c r="G39" s="100">
        <v>1</v>
      </c>
      <c r="H39" s="100"/>
      <c r="I39" s="100"/>
      <c r="J39" s="100">
        <f>+'[2]15.Calb3t16'!AE39+'[2]16.Calb4t16'!AE39+'[2]17.Calb1t17'!AE39+'[2]18.Calb2t17'!AE39</f>
        <v>0</v>
      </c>
      <c r="K39" s="101">
        <f>+'[2]15.Calb3t16'!AF39+'[2]16.Calb4t16'!AF39+'[2]17.Calb1t17'!AF39+'[2]18.Calb2t17'!AF39</f>
        <v>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</row>
    <row r="40" spans="2:42" s="80" customFormat="1" ht="27" customHeight="1" x14ac:dyDescent="0.25">
      <c r="B40" s="104">
        <v>16.5</v>
      </c>
      <c r="C40" s="126">
        <f t="shared" si="0"/>
        <v>13</v>
      </c>
      <c r="D40" s="100"/>
      <c r="E40" s="100"/>
      <c r="F40" s="100">
        <v>12</v>
      </c>
      <c r="G40" s="100">
        <v>1</v>
      </c>
      <c r="H40" s="100"/>
      <c r="I40" s="100"/>
      <c r="J40" s="100">
        <f>+'[2]15.Calb3t16'!AE40+'[2]16.Calb4t16'!AE40+'[2]17.Calb1t17'!AE40+'[2]18.Calb2t17'!AE40</f>
        <v>0</v>
      </c>
      <c r="K40" s="101">
        <f>+'[2]15.Calb3t16'!AF40+'[2]16.Calb4t16'!AF40+'[2]17.Calb1t17'!AF40+'[2]18.Calb2t17'!AF40</f>
        <v>0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</row>
    <row r="41" spans="2:42" s="80" customFormat="1" ht="27" customHeight="1" x14ac:dyDescent="0.25">
      <c r="B41" s="104">
        <v>17</v>
      </c>
      <c r="C41" s="126">
        <f t="shared" si="0"/>
        <v>7</v>
      </c>
      <c r="D41" s="100"/>
      <c r="E41" s="100"/>
      <c r="F41" s="100">
        <v>3</v>
      </c>
      <c r="G41" s="100">
        <v>4</v>
      </c>
      <c r="H41" s="100"/>
      <c r="I41" s="100"/>
      <c r="J41" s="100"/>
      <c r="K41" s="101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</row>
    <row r="42" spans="2:42" s="80" customFormat="1" ht="27" customHeight="1" x14ac:dyDescent="0.25">
      <c r="B42" s="104">
        <v>17.5</v>
      </c>
      <c r="C42" s="126">
        <f t="shared" si="0"/>
        <v>4</v>
      </c>
      <c r="D42" s="100"/>
      <c r="E42" s="100"/>
      <c r="F42" s="100">
        <v>1</v>
      </c>
      <c r="G42" s="100">
        <v>3</v>
      </c>
      <c r="H42" s="100"/>
      <c r="I42" s="100"/>
      <c r="J42" s="100"/>
      <c r="K42" s="101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</row>
    <row r="43" spans="2:42" s="80" customFormat="1" ht="27" customHeight="1" x14ac:dyDescent="0.25">
      <c r="B43" s="104">
        <v>18</v>
      </c>
      <c r="C43" s="126">
        <f t="shared" si="0"/>
        <v>1</v>
      </c>
      <c r="D43" s="100"/>
      <c r="E43" s="100"/>
      <c r="F43" s="100"/>
      <c r="G43" s="100">
        <v>1</v>
      </c>
      <c r="H43" s="100"/>
      <c r="I43" s="100"/>
      <c r="J43" s="100"/>
      <c r="K43" s="101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</row>
    <row r="44" spans="2:42" s="80" customFormat="1" ht="27" customHeight="1" x14ac:dyDescent="0.25">
      <c r="B44" s="104">
        <v>18.5</v>
      </c>
      <c r="C44" s="126">
        <f t="shared" si="0"/>
        <v>1</v>
      </c>
      <c r="D44" s="100"/>
      <c r="E44" s="100"/>
      <c r="F44" s="100"/>
      <c r="G44" s="100">
        <v>1</v>
      </c>
      <c r="H44" s="100"/>
      <c r="I44" s="100"/>
      <c r="J44" s="100"/>
      <c r="K44" s="101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</row>
    <row r="45" spans="2:42" s="80" customFormat="1" ht="27" customHeight="1" x14ac:dyDescent="0.25">
      <c r="B45" s="104">
        <v>19</v>
      </c>
      <c r="C45" s="126">
        <f t="shared" si="0"/>
        <v>0</v>
      </c>
      <c r="D45" s="100"/>
      <c r="E45" s="100"/>
      <c r="F45" s="100"/>
      <c r="G45" s="100"/>
      <c r="H45" s="100"/>
      <c r="I45" s="100"/>
      <c r="J45" s="100">
        <f>+'[2]15.Calb3t16'!AE41+'[2]16.Calb4t16'!AE41+'[2]17.Calb1t17'!AE41+'[2]18.Calb2t17'!AE41</f>
        <v>0</v>
      </c>
      <c r="K45" s="101">
        <f>+'[2]15.Calb3t16'!AF41+'[2]16.Calb4t16'!AF41+'[2]17.Calb1t17'!AF41+'[2]18.Calb2t17'!AF41</f>
        <v>0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</row>
    <row r="46" spans="2:42" s="80" customFormat="1" ht="27" customHeight="1" x14ac:dyDescent="0.25">
      <c r="B46" s="104">
        <v>19.5</v>
      </c>
      <c r="C46" s="126">
        <f t="shared" si="0"/>
        <v>0</v>
      </c>
      <c r="D46" s="100"/>
      <c r="E46" s="100"/>
      <c r="F46" s="100"/>
      <c r="G46" s="100"/>
      <c r="H46" s="100"/>
      <c r="I46" s="100"/>
      <c r="J46" s="100">
        <f>+'[2]15.Calb3t16'!AE42+'[2]16.Calb4t16'!AE42+'[2]17.Calb1t17'!AE42+'[2]18.Calb2t17'!AE42</f>
        <v>0</v>
      </c>
      <c r="K46" s="101">
        <f>+'[2]15.Calb3t16'!AF42+'[2]16.Calb4t16'!AF42+'[2]17.Calb1t17'!AF42+'[2]18.Calb2t17'!AF42</f>
        <v>0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</row>
    <row r="47" spans="2:42" s="80" customFormat="1" ht="27" customHeight="1" x14ac:dyDescent="0.25">
      <c r="B47" s="104">
        <v>20</v>
      </c>
      <c r="C47" s="126">
        <f t="shared" si="0"/>
        <v>0</v>
      </c>
      <c r="D47" s="100"/>
      <c r="E47" s="100"/>
      <c r="F47" s="100"/>
      <c r="G47" s="100"/>
      <c r="H47" s="100"/>
      <c r="I47" s="100"/>
      <c r="J47" s="100">
        <f>+'[2]15.Calb3t16'!AE43+'[2]16.Calb4t16'!AE43+'[2]17.Calb1t17'!AE43+'[2]18.Calb2t17'!AE43</f>
        <v>0</v>
      </c>
      <c r="K47" s="101">
        <f>+'[2]15.Calb3t16'!AF43+'[2]16.Calb4t16'!AF43+'[2]17.Calb1t17'!AF43+'[2]18.Calb2t17'!AF43</f>
        <v>0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</row>
    <row r="48" spans="2:42" s="80" customFormat="1" ht="27" customHeight="1" thickBot="1" x14ac:dyDescent="0.3">
      <c r="B48" s="122"/>
      <c r="C48" s="127">
        <f t="shared" si="0"/>
        <v>0</v>
      </c>
      <c r="D48" s="102"/>
      <c r="E48" s="102"/>
      <c r="F48" s="102"/>
      <c r="G48" s="102"/>
      <c r="H48" s="102"/>
      <c r="I48" s="102"/>
      <c r="J48" s="102">
        <f>+'[2]15.Calb3t16'!AE44+'[2]16.Calb4t16'!AE44+'[2]17.Calb1t17'!AE44+'[2]18.Calb2t17'!AE44</f>
        <v>0</v>
      </c>
      <c r="K48" s="103">
        <f>+'[2]15.Calb3t16'!AF44+'[2]16.Calb4t16'!AF44+'[2]17.Calb1t17'!AF44+'[2]18.Calb2t17'!AF44</f>
        <v>0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</row>
    <row r="49" spans="2:42" s="80" customFormat="1" ht="27" customHeight="1" x14ac:dyDescent="0.25">
      <c r="B49" s="104"/>
      <c r="C49" s="124"/>
      <c r="D49" s="105"/>
      <c r="E49" s="105"/>
      <c r="F49" s="105"/>
      <c r="G49" s="105"/>
      <c r="H49" s="105"/>
      <c r="I49" s="105"/>
      <c r="J49" s="105"/>
      <c r="K49" s="10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</row>
    <row r="50" spans="2:42" s="80" customFormat="1" ht="27" customHeight="1" x14ac:dyDescent="0.25">
      <c r="B50" s="107" t="s">
        <v>21</v>
      </c>
      <c r="C50" s="108">
        <f t="shared" ref="C50:K50" si="1">SUM(C11:C48)</f>
        <v>218</v>
      </c>
      <c r="D50" s="109">
        <f t="shared" si="1"/>
        <v>0</v>
      </c>
      <c r="E50" s="109">
        <f t="shared" si="1"/>
        <v>123</v>
      </c>
      <c r="F50" s="109">
        <f t="shared" si="1"/>
        <v>84</v>
      </c>
      <c r="G50" s="109">
        <f t="shared" si="1"/>
        <v>11</v>
      </c>
      <c r="H50" s="109">
        <f t="shared" si="1"/>
        <v>0</v>
      </c>
      <c r="I50" s="109">
        <f t="shared" si="1"/>
        <v>0</v>
      </c>
      <c r="J50" s="109">
        <f t="shared" si="1"/>
        <v>0</v>
      </c>
      <c r="K50" s="110">
        <f t="shared" si="1"/>
        <v>0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</row>
    <row r="51" spans="2:42" s="115" customFormat="1" ht="27" customHeight="1" x14ac:dyDescent="0.25">
      <c r="B51" s="111" t="s">
        <v>18</v>
      </c>
      <c r="C51" s="112">
        <f>SUM(D51:K51)</f>
        <v>100</v>
      </c>
      <c r="D51" s="113">
        <f t="shared" ref="D51:K51" si="2">IF(D50=0,0,+(D50/$C50)*100)</f>
        <v>0</v>
      </c>
      <c r="E51" s="113">
        <f t="shared" si="2"/>
        <v>56.422018348623851</v>
      </c>
      <c r="F51" s="113">
        <f t="shared" si="2"/>
        <v>38.532110091743121</v>
      </c>
      <c r="G51" s="113">
        <f t="shared" si="2"/>
        <v>5.0458715596330279</v>
      </c>
      <c r="H51" s="113">
        <f t="shared" si="2"/>
        <v>0</v>
      </c>
      <c r="I51" s="113">
        <f t="shared" si="2"/>
        <v>0</v>
      </c>
      <c r="J51" s="113">
        <f t="shared" si="2"/>
        <v>0</v>
      </c>
      <c r="K51" s="114">
        <f t="shared" si="2"/>
        <v>0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</row>
    <row r="52" spans="2:42" s="80" customFormat="1" ht="27" customHeight="1" thickBot="1" x14ac:dyDescent="0.3">
      <c r="B52" s="116"/>
      <c r="C52" s="117"/>
      <c r="D52" s="118"/>
      <c r="E52" s="118"/>
      <c r="F52" s="118"/>
      <c r="G52" s="118"/>
      <c r="H52" s="118"/>
      <c r="I52" s="118"/>
      <c r="J52" s="118"/>
      <c r="K52" s="119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95F-4A82-42F7-83DD-83C5DAE4D64C}">
  <sheetPr>
    <tabColor theme="7" tint="0.39997558519241921"/>
  </sheetPr>
  <dimension ref="B1:W66"/>
  <sheetViews>
    <sheetView showZeros="0" zoomScale="70" zoomScaleNormal="70" workbookViewId="0">
      <selection activeCell="C49" sqref="C49:H49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35.42578125" style="3" customWidth="1"/>
    <col min="4" max="4" width="26.42578125" style="3" bestFit="1" customWidth="1"/>
    <col min="5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253" t="s">
        <v>36</v>
      </c>
      <c r="C1" s="253"/>
      <c r="D1" s="253"/>
      <c r="E1" s="253"/>
      <c r="F1" s="253"/>
      <c r="G1" s="253"/>
      <c r="H1" s="253"/>
      <c r="I1" s="253"/>
      <c r="J1" s="253"/>
    </row>
    <row r="2" spans="2:23" ht="36" x14ac:dyDescent="0.15">
      <c r="B2" s="253" t="s">
        <v>44</v>
      </c>
      <c r="C2" s="253"/>
      <c r="D2" s="253"/>
      <c r="E2" s="253"/>
      <c r="F2" s="253"/>
      <c r="G2" s="253"/>
      <c r="H2" s="253"/>
      <c r="I2" s="253"/>
      <c r="J2" s="253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143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329634035920.56128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143"/>
      <c r="D9" s="146"/>
      <c r="E9" s="146"/>
      <c r="F9" s="146"/>
      <c r="G9" s="146"/>
      <c r="H9" s="146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143"/>
      <c r="D10" s="146"/>
      <c r="E10" s="146"/>
      <c r="F10" s="146"/>
      <c r="G10" s="146"/>
      <c r="H10" s="146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26">
        <v>49337029.907888263</v>
      </c>
      <c r="D11" s="147">
        <v>49337029.907888263</v>
      </c>
      <c r="E11" s="146">
        <v>0</v>
      </c>
      <c r="F11" s="146">
        <v>0</v>
      </c>
      <c r="G11" s="146">
        <v>0</v>
      </c>
      <c r="H11" s="146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26">
        <v>0</v>
      </c>
      <c r="D12" s="147">
        <v>0</v>
      </c>
      <c r="E12" s="146">
        <v>0</v>
      </c>
      <c r="F12" s="146">
        <v>0</v>
      </c>
      <c r="G12" s="146">
        <v>0</v>
      </c>
      <c r="H12" s="146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26">
        <v>49337029.907888263</v>
      </c>
      <c r="D13" s="147">
        <v>49337029.907888263</v>
      </c>
      <c r="E13" s="146">
        <v>0</v>
      </c>
      <c r="F13" s="146">
        <v>0</v>
      </c>
      <c r="G13" s="146">
        <v>0</v>
      </c>
      <c r="H13" s="146"/>
      <c r="I13" s="33"/>
      <c r="J13" s="38">
        <v>0</v>
      </c>
    </row>
    <row r="14" spans="2:23" x14ac:dyDescent="0.25">
      <c r="B14" s="25">
        <v>5</v>
      </c>
      <c r="C14" s="26">
        <v>2910884764.5654082</v>
      </c>
      <c r="D14" s="147">
        <v>2910884764.5654082</v>
      </c>
      <c r="E14" s="146">
        <v>0</v>
      </c>
      <c r="F14" s="146">
        <v>0</v>
      </c>
      <c r="G14" s="146">
        <v>0</v>
      </c>
      <c r="H14" s="146"/>
      <c r="I14" s="33"/>
      <c r="J14" s="38">
        <v>0</v>
      </c>
    </row>
    <row r="15" spans="2:23" x14ac:dyDescent="0.25">
      <c r="B15" s="25">
        <v>5.5</v>
      </c>
      <c r="C15" s="26">
        <v>8041935874.9857883</v>
      </c>
      <c r="D15" s="147">
        <v>8041935874.9857883</v>
      </c>
      <c r="E15" s="146">
        <v>0</v>
      </c>
      <c r="F15" s="146">
        <v>0</v>
      </c>
      <c r="G15" s="146">
        <v>0</v>
      </c>
      <c r="H15" s="146"/>
      <c r="I15" s="33"/>
      <c r="J15" s="38">
        <v>0</v>
      </c>
    </row>
    <row r="16" spans="2:23" x14ac:dyDescent="0.25">
      <c r="B16" s="25">
        <v>6</v>
      </c>
      <c r="C16" s="26">
        <v>14174254263.93346</v>
      </c>
      <c r="D16" s="147">
        <v>14174254263.93346</v>
      </c>
      <c r="E16" s="146">
        <v>0</v>
      </c>
      <c r="F16" s="146">
        <v>0</v>
      </c>
      <c r="G16" s="146">
        <v>0</v>
      </c>
      <c r="H16" s="146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26">
        <v>21534215764.390522</v>
      </c>
      <c r="D17" s="147">
        <v>21534215764.390522</v>
      </c>
      <c r="E17" s="146">
        <v>0</v>
      </c>
      <c r="F17" s="146">
        <v>0</v>
      </c>
      <c r="G17" s="146">
        <v>0</v>
      </c>
      <c r="H17" s="146"/>
      <c r="I17" s="33"/>
      <c r="J17" s="38">
        <v>0</v>
      </c>
      <c r="L17" s="41">
        <f>K58</f>
        <v>91.999457842876794</v>
      </c>
      <c r="M17" s="39" t="s">
        <v>18</v>
      </c>
    </row>
    <row r="18" spans="2:13" x14ac:dyDescent="0.25">
      <c r="B18" s="25">
        <v>7</v>
      </c>
      <c r="C18" s="26">
        <v>33207237429.553257</v>
      </c>
      <c r="D18" s="147">
        <v>33207237429.553257</v>
      </c>
      <c r="E18" s="146">
        <v>0</v>
      </c>
      <c r="F18" s="146">
        <v>0</v>
      </c>
      <c r="G18" s="146">
        <v>0</v>
      </c>
      <c r="H18" s="146"/>
      <c r="I18" s="33"/>
      <c r="J18" s="38">
        <v>0</v>
      </c>
      <c r="L18" s="41">
        <f>C51</f>
        <v>3.0244443097739167E-2</v>
      </c>
      <c r="M18" s="39" t="s">
        <v>19</v>
      </c>
    </row>
    <row r="19" spans="2:13" x14ac:dyDescent="0.25">
      <c r="B19" s="25">
        <v>7.5</v>
      </c>
      <c r="C19" s="26">
        <v>34202164370.672436</v>
      </c>
      <c r="D19" s="147">
        <v>34202164370.672436</v>
      </c>
      <c r="E19" s="146">
        <v>0</v>
      </c>
      <c r="F19" s="146">
        <v>0</v>
      </c>
      <c r="G19" s="146">
        <v>0</v>
      </c>
      <c r="H19" s="146"/>
      <c r="I19" s="33"/>
      <c r="J19" s="38">
        <v>0</v>
      </c>
      <c r="L19" s="41">
        <f>C46</f>
        <v>329634035920.56128</v>
      </c>
      <c r="M19" s="39" t="s">
        <v>20</v>
      </c>
    </row>
    <row r="20" spans="2:13" x14ac:dyDescent="0.25">
      <c r="B20" s="25">
        <v>8</v>
      </c>
      <c r="C20" s="26">
        <v>37703878863.399864</v>
      </c>
      <c r="D20" s="147">
        <v>37703878863.399864</v>
      </c>
      <c r="E20" s="146">
        <v>0</v>
      </c>
      <c r="F20" s="146">
        <v>0</v>
      </c>
      <c r="G20" s="146">
        <v>0</v>
      </c>
      <c r="H20" s="146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26">
        <v>49709414114.651657</v>
      </c>
      <c r="D21" s="147">
        <v>49709414114.651657</v>
      </c>
      <c r="E21" s="146">
        <v>0</v>
      </c>
      <c r="F21" s="146">
        <v>0</v>
      </c>
      <c r="G21" s="146">
        <v>0</v>
      </c>
      <c r="H21" s="146"/>
      <c r="I21" s="33"/>
      <c r="J21" s="38">
        <v>0</v>
      </c>
    </row>
    <row r="22" spans="2:13" x14ac:dyDescent="0.25">
      <c r="B22" s="25">
        <v>9</v>
      </c>
      <c r="C22" s="26">
        <v>42168542173.518272</v>
      </c>
      <c r="D22" s="147">
        <v>42168542173.518272</v>
      </c>
      <c r="E22" s="146">
        <v>0</v>
      </c>
      <c r="F22" s="146">
        <v>0</v>
      </c>
      <c r="G22" s="146">
        <v>0</v>
      </c>
      <c r="H22" s="146"/>
      <c r="I22" s="33"/>
      <c r="J22" s="38">
        <v>0</v>
      </c>
    </row>
    <row r="23" spans="2:13" x14ac:dyDescent="0.25">
      <c r="B23" s="25">
        <v>9.5</v>
      </c>
      <c r="C23" s="26">
        <v>29680625254.33794</v>
      </c>
      <c r="D23" s="147">
        <v>29680625254.33794</v>
      </c>
      <c r="E23" s="146">
        <v>0</v>
      </c>
      <c r="F23" s="146">
        <v>0</v>
      </c>
      <c r="G23" s="146">
        <v>0</v>
      </c>
      <c r="H23" s="146"/>
      <c r="I23" s="33"/>
      <c r="J23" s="38">
        <v>0</v>
      </c>
    </row>
    <row r="24" spans="2:13" x14ac:dyDescent="0.25">
      <c r="B24" s="25">
        <v>10</v>
      </c>
      <c r="C24" s="26">
        <v>16845922862.99268</v>
      </c>
      <c r="D24" s="147">
        <v>16845922862.99268</v>
      </c>
      <c r="E24" s="146">
        <v>0</v>
      </c>
      <c r="F24" s="146">
        <v>0</v>
      </c>
      <c r="G24" s="146">
        <v>0</v>
      </c>
      <c r="H24" s="146"/>
      <c r="I24" s="33"/>
      <c r="J24" s="38">
        <v>0</v>
      </c>
    </row>
    <row r="25" spans="2:13" x14ac:dyDescent="0.25">
      <c r="B25" s="25">
        <v>10.5</v>
      </c>
      <c r="C25" s="26">
        <v>9415492053.4374905</v>
      </c>
      <c r="D25" s="147">
        <v>9415492053.4374905</v>
      </c>
      <c r="E25" s="146">
        <v>0</v>
      </c>
      <c r="F25" s="146">
        <v>0</v>
      </c>
      <c r="G25" s="146">
        <v>0</v>
      </c>
      <c r="H25" s="146"/>
      <c r="I25" s="33"/>
      <c r="J25" s="38">
        <v>0</v>
      </c>
    </row>
    <row r="26" spans="2:13" x14ac:dyDescent="0.25">
      <c r="B26" s="25">
        <v>11</v>
      </c>
      <c r="C26" s="26">
        <v>3568284062.2555184</v>
      </c>
      <c r="D26" s="147">
        <v>3568284062.2555184</v>
      </c>
      <c r="E26" s="146">
        <v>0</v>
      </c>
      <c r="F26" s="146">
        <v>0</v>
      </c>
      <c r="G26" s="146">
        <v>0</v>
      </c>
      <c r="H26" s="146"/>
      <c r="I26" s="33"/>
      <c r="J26" s="38">
        <v>0</v>
      </c>
    </row>
    <row r="27" spans="2:13" x14ac:dyDescent="0.25">
      <c r="B27" s="25">
        <v>11.5</v>
      </c>
      <c r="C27" s="26">
        <v>663845116.08301318</v>
      </c>
      <c r="D27" s="147">
        <v>663845116.08301318</v>
      </c>
      <c r="E27" s="146">
        <v>0</v>
      </c>
      <c r="F27" s="146">
        <v>0</v>
      </c>
      <c r="G27" s="146">
        <v>0</v>
      </c>
      <c r="H27" s="146"/>
      <c r="I27" s="33"/>
      <c r="J27" s="38">
        <v>0</v>
      </c>
    </row>
    <row r="28" spans="2:13" x14ac:dyDescent="0.25">
      <c r="B28" s="25">
        <v>12</v>
      </c>
      <c r="C28" s="26">
        <v>698511650.55568898</v>
      </c>
      <c r="D28" s="147">
        <v>349255825.27784449</v>
      </c>
      <c r="E28" s="147">
        <v>349255825.27784449</v>
      </c>
      <c r="F28" s="146">
        <v>0</v>
      </c>
      <c r="G28" s="146">
        <v>0</v>
      </c>
      <c r="H28" s="146"/>
      <c r="I28" s="33"/>
      <c r="J28" s="38">
        <v>0</v>
      </c>
    </row>
    <row r="29" spans="2:13" x14ac:dyDescent="0.25">
      <c r="B29" s="25">
        <v>12.5</v>
      </c>
      <c r="C29" s="26">
        <v>1325911373.5166178</v>
      </c>
      <c r="D29" s="147">
        <v>1325911373.5166178</v>
      </c>
      <c r="E29" s="147">
        <v>0</v>
      </c>
      <c r="F29" s="146">
        <v>0</v>
      </c>
      <c r="G29" s="146">
        <v>0</v>
      </c>
      <c r="H29" s="146"/>
      <c r="I29" s="33"/>
      <c r="J29" s="38">
        <v>0</v>
      </c>
    </row>
    <row r="30" spans="2:13" x14ac:dyDescent="0.25">
      <c r="B30" s="25">
        <v>13</v>
      </c>
      <c r="C30" s="26">
        <v>3482759023.6220827</v>
      </c>
      <c r="D30" s="147">
        <v>1393103609.4488332</v>
      </c>
      <c r="E30" s="147">
        <v>2089655414.1732495</v>
      </c>
      <c r="F30" s="146">
        <v>0</v>
      </c>
      <c r="G30" s="146">
        <v>0</v>
      </c>
      <c r="H30" s="146"/>
      <c r="I30" s="33"/>
      <c r="J30" s="38">
        <v>0</v>
      </c>
    </row>
    <row r="31" spans="2:13" x14ac:dyDescent="0.25">
      <c r="B31" s="25">
        <v>13.5</v>
      </c>
      <c r="C31" s="26">
        <v>4892961591.6506357</v>
      </c>
      <c r="D31" s="147">
        <v>1957184636.6602545</v>
      </c>
      <c r="E31" s="147">
        <v>2935776954.9903812</v>
      </c>
      <c r="F31" s="146">
        <v>0</v>
      </c>
      <c r="G31" s="146">
        <v>0</v>
      </c>
      <c r="H31" s="146"/>
      <c r="I31" s="33"/>
      <c r="J31" s="38">
        <v>0</v>
      </c>
    </row>
    <row r="32" spans="2:13" x14ac:dyDescent="0.25">
      <c r="B32" s="25">
        <v>14</v>
      </c>
      <c r="C32" s="26">
        <v>2623257616.1566639</v>
      </c>
      <c r="D32" s="147">
        <v>0</v>
      </c>
      <c r="E32" s="147">
        <v>2623257616.1566639</v>
      </c>
      <c r="F32" s="146">
        <v>0</v>
      </c>
      <c r="G32" s="146">
        <v>0</v>
      </c>
      <c r="H32" s="146"/>
      <c r="I32" s="33"/>
      <c r="J32" s="38">
        <v>0</v>
      </c>
    </row>
    <row r="33" spans="2:14" x14ac:dyDescent="0.25">
      <c r="B33" s="25">
        <v>14.5</v>
      </c>
      <c r="C33" s="26">
        <v>2468857492.705523</v>
      </c>
      <c r="D33" s="146">
        <v>0</v>
      </c>
      <c r="E33" s="147">
        <v>987542997.08220923</v>
      </c>
      <c r="F33" s="147">
        <v>1481314495.6233137</v>
      </c>
      <c r="G33" s="147">
        <v>0</v>
      </c>
      <c r="H33" s="146"/>
      <c r="I33" s="33"/>
      <c r="J33" s="38">
        <v>0</v>
      </c>
    </row>
    <row r="34" spans="2:14" x14ac:dyDescent="0.25">
      <c r="B34" s="25">
        <v>15</v>
      </c>
      <c r="C34" s="26">
        <v>3090068781.6700854</v>
      </c>
      <c r="D34" s="146">
        <v>0</v>
      </c>
      <c r="E34" s="147">
        <v>772517195.41752136</v>
      </c>
      <c r="F34" s="147">
        <v>1545034390.8350427</v>
      </c>
      <c r="G34" s="147">
        <v>772517195.41752136</v>
      </c>
      <c r="H34" s="146"/>
      <c r="I34" s="33"/>
      <c r="J34" s="38"/>
    </row>
    <row r="35" spans="2:14" x14ac:dyDescent="0.25">
      <c r="B35" s="25">
        <v>15.5</v>
      </c>
      <c r="C35" s="26">
        <v>3535105049.496634</v>
      </c>
      <c r="D35" s="146">
        <v>0</v>
      </c>
      <c r="E35" s="147">
        <v>0</v>
      </c>
      <c r="F35" s="147">
        <v>3535105049.496634</v>
      </c>
      <c r="G35" s="147">
        <v>0</v>
      </c>
      <c r="H35" s="146"/>
      <c r="I35" s="33"/>
      <c r="J35" s="38"/>
    </row>
    <row r="36" spans="2:14" x14ac:dyDescent="0.25">
      <c r="B36" s="25">
        <v>16</v>
      </c>
      <c r="C36" s="26">
        <v>2321247602.4440799</v>
      </c>
      <c r="D36" s="146">
        <v>0</v>
      </c>
      <c r="E36" s="147">
        <v>0</v>
      </c>
      <c r="F36" s="147">
        <v>1160623801.2220399</v>
      </c>
      <c r="G36" s="147">
        <v>1160623801.2220399</v>
      </c>
      <c r="H36" s="146"/>
      <c r="I36" s="33"/>
      <c r="J36" s="38">
        <v>0</v>
      </c>
    </row>
    <row r="37" spans="2:14" x14ac:dyDescent="0.25">
      <c r="B37" s="25">
        <v>16.5</v>
      </c>
      <c r="C37" s="26">
        <v>1100599922.2018266</v>
      </c>
      <c r="D37" s="146">
        <v>0</v>
      </c>
      <c r="E37" s="146">
        <v>0</v>
      </c>
      <c r="F37" s="147">
        <v>550299961.10091329</v>
      </c>
      <c r="G37" s="147">
        <v>550299961.10091329</v>
      </c>
      <c r="H37" s="146"/>
      <c r="I37" s="33"/>
      <c r="J37" s="38">
        <v>0</v>
      </c>
    </row>
    <row r="38" spans="2:14" x14ac:dyDescent="0.25">
      <c r="B38" s="25">
        <v>17</v>
      </c>
      <c r="C38" s="26">
        <v>169384787.94831508</v>
      </c>
      <c r="D38" s="146">
        <v>0</v>
      </c>
      <c r="E38" s="146">
        <v>0</v>
      </c>
      <c r="F38" s="147">
        <v>0</v>
      </c>
      <c r="G38" s="147">
        <v>169384787.94831508</v>
      </c>
      <c r="H38" s="146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26"/>
      <c r="D39" s="146"/>
      <c r="E39" s="146"/>
      <c r="F39" s="147"/>
      <c r="G39" s="147"/>
      <c r="H39" s="146"/>
      <c r="I39" s="33"/>
      <c r="J39" s="38"/>
      <c r="L39"/>
      <c r="M39"/>
      <c r="N39"/>
    </row>
    <row r="40" spans="2:14" x14ac:dyDescent="0.25">
      <c r="B40" s="25">
        <v>18</v>
      </c>
      <c r="C40" s="26"/>
      <c r="D40" s="146"/>
      <c r="E40" s="146"/>
      <c r="F40" s="146"/>
      <c r="G40" s="147"/>
      <c r="H40" s="146"/>
      <c r="I40" s="33"/>
      <c r="J40" s="38"/>
      <c r="L40"/>
      <c r="M40"/>
      <c r="N40"/>
    </row>
    <row r="41" spans="2:14" x14ac:dyDescent="0.25">
      <c r="B41" s="25">
        <v>18.5</v>
      </c>
      <c r="C41" s="26"/>
      <c r="D41" s="33"/>
      <c r="E41" s="33"/>
      <c r="F41" s="33"/>
      <c r="G41" s="147"/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26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44">
        <v>329634035920.56128</v>
      </c>
      <c r="D46" s="145">
        <v>308950826473.4967</v>
      </c>
      <c r="E46" s="145">
        <v>9758006003.097868</v>
      </c>
      <c r="F46" s="145">
        <v>8272377698.2779436</v>
      </c>
      <c r="G46" s="145">
        <v>2652825745.6887898</v>
      </c>
      <c r="H46" s="145">
        <v>0</v>
      </c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49">
        <v>100</v>
      </c>
      <c r="D47" s="50">
        <v>93.725402357404306</v>
      </c>
      <c r="E47" s="50">
        <v>2.9602543850931267</v>
      </c>
      <c r="F47" s="50">
        <v>2.5095641823441768</v>
      </c>
      <c r="G47" s="50">
        <v>0.80477907515839664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53">
        <v>8.6191074721176033</v>
      </c>
      <c r="D48" s="54">
        <v>8.2159126416570842</v>
      </c>
      <c r="E48" s="54">
        <v>13.693608832858239</v>
      </c>
      <c r="F48" s="54">
        <v>15.364220436941279</v>
      </c>
      <c r="G48" s="54">
        <v>15.876364880938082</v>
      </c>
      <c r="H48" s="54"/>
      <c r="I48" s="54"/>
      <c r="J48" s="55">
        <v>0</v>
      </c>
      <c r="L48"/>
      <c r="M48"/>
      <c r="N48"/>
    </row>
    <row r="49" spans="2:14" s="59" customFormat="1" x14ac:dyDescent="0.25">
      <c r="B49" s="267" t="s">
        <v>40</v>
      </c>
      <c r="C49" s="268">
        <v>6.9917591905112966</v>
      </c>
      <c r="D49" s="269">
        <v>5.4821270205929116</v>
      </c>
      <c r="E49" s="269">
        <v>25.65253399137961</v>
      </c>
      <c r="F49" s="269">
        <v>36.945446526021477</v>
      </c>
      <c r="G49" s="269">
        <v>41.069362117060969</v>
      </c>
      <c r="H49" s="269"/>
      <c r="I49" s="57"/>
      <c r="J49" s="58">
        <v>0</v>
      </c>
      <c r="L49"/>
      <c r="M49"/>
      <c r="N49"/>
    </row>
    <row r="50" spans="2:14" x14ac:dyDescent="0.25">
      <c r="B50" s="60" t="s">
        <v>41</v>
      </c>
      <c r="C50" s="130">
        <v>9.9392881140732494E+19</v>
      </c>
      <c r="D50" s="131">
        <v>9.3214435514691371E+19</v>
      </c>
      <c r="E50" s="131">
        <v>2.6868742266571602E+18</v>
      </c>
      <c r="F50" s="131">
        <v>2.5719498770945203E+18</v>
      </c>
      <c r="G50" s="131">
        <v>9.196215222894615E+17</v>
      </c>
      <c r="H50" s="131"/>
      <c r="I50" s="61"/>
      <c r="J50" s="62">
        <v>0</v>
      </c>
      <c r="L50"/>
      <c r="M50"/>
      <c r="N50"/>
    </row>
    <row r="51" spans="2:14" x14ac:dyDescent="0.25">
      <c r="B51" s="63" t="s">
        <v>42</v>
      </c>
      <c r="C51" s="32">
        <v>3.0244443097739167E-2</v>
      </c>
      <c r="D51" s="64">
        <v>3.1250158587563116E-2</v>
      </c>
      <c r="E51" s="64">
        <v>0.16798193815041329</v>
      </c>
      <c r="F51" s="64">
        <v>0.1938656632144177</v>
      </c>
      <c r="G51" s="64">
        <v>0.36148962696869791</v>
      </c>
      <c r="H51" s="64"/>
      <c r="I51" s="64"/>
      <c r="J51" s="65">
        <v>0</v>
      </c>
      <c r="L51"/>
      <c r="M51"/>
      <c r="N51"/>
    </row>
    <row r="52" spans="2:14" ht="26" thickBot="1" x14ac:dyDescent="0.3">
      <c r="B52" s="66" t="s">
        <v>43</v>
      </c>
      <c r="C52" s="67">
        <v>4.4026910472420608</v>
      </c>
      <c r="D52" s="68">
        <v>2.0226268808778225</v>
      </c>
      <c r="E52" s="68">
        <v>0.44312206240378749</v>
      </c>
      <c r="F52" s="68">
        <v>0.30892190862291941</v>
      </c>
      <c r="G52" s="68">
        <v>0.39163025664950751</v>
      </c>
      <c r="H52" s="68"/>
      <c r="I52" s="69"/>
      <c r="J52" s="70"/>
    </row>
    <row r="53" spans="2:14" x14ac:dyDescent="0.25">
      <c r="C53" s="3">
        <f>+SUM(D53:H53)</f>
        <v>2358601.8036053581</v>
      </c>
      <c r="D53" s="3">
        <f>+D49*D55</f>
        <v>1693707.6738448681</v>
      </c>
      <c r="E53" s="3">
        <f t="shared" ref="E53:G53" si="0">+E49*E55</f>
        <v>250317.58068255434</v>
      </c>
      <c r="F53" s="3">
        <f t="shared" si="0"/>
        <v>305626.68789478042</v>
      </c>
      <c r="G53" s="3">
        <f t="shared" si="0"/>
        <v>108949.86118315521</v>
      </c>
    </row>
    <row r="54" spans="2:14" x14ac:dyDescent="0.25">
      <c r="C54" s="3" t="s">
        <v>24</v>
      </c>
      <c r="E54" s="71">
        <f>E51*100/C51</f>
        <v>555.41422140773454</v>
      </c>
    </row>
    <row r="55" spans="2:14" x14ac:dyDescent="0.25">
      <c r="C55" s="266" t="s">
        <v>125</v>
      </c>
      <c r="D55" s="266">
        <f t="shared" ref="D55:I55" si="1">D46/1000000</f>
        <v>308950.82647349668</v>
      </c>
      <c r="E55" s="266">
        <f t="shared" si="1"/>
        <v>9758.0060030978675</v>
      </c>
      <c r="F55" s="266">
        <f t="shared" si="1"/>
        <v>8272.3776982779436</v>
      </c>
      <c r="G55" s="266">
        <f t="shared" si="1"/>
        <v>2652.82574568879</v>
      </c>
      <c r="H55" s="266">
        <f t="shared" si="1"/>
        <v>0</v>
      </c>
      <c r="I55" s="3">
        <f t="shared" si="1"/>
        <v>0</v>
      </c>
    </row>
    <row r="56" spans="2:14" x14ac:dyDescent="0.25">
      <c r="C56" s="3">
        <f>L58</f>
        <v>92</v>
      </c>
    </row>
    <row r="57" spans="2:14" x14ac:dyDescent="0.25">
      <c r="C57" s="71">
        <f>K58</f>
        <v>91.999457842876794</v>
      </c>
      <c r="D57" s="72" t="str">
        <f t="shared" ref="D57:I57" si="2">D6</f>
        <v>O</v>
      </c>
      <c r="E57" s="72" t="str">
        <f t="shared" si="2"/>
        <v>I</v>
      </c>
      <c r="F57" s="72" t="str">
        <f t="shared" si="2"/>
        <v>II</v>
      </c>
      <c r="G57" s="72" t="str">
        <f t="shared" si="2"/>
        <v>III</v>
      </c>
      <c r="H57" s="72" t="str">
        <f t="shared" si="2"/>
        <v>IV</v>
      </c>
      <c r="I57" s="72" t="str">
        <f t="shared" si="2"/>
        <v>V</v>
      </c>
    </row>
    <row r="58" spans="2:14" x14ac:dyDescent="0.25">
      <c r="B58" s="73">
        <v>2019</v>
      </c>
      <c r="C58" s="3" t="str">
        <f>CONCATENATE(C54,C56,C55)</f>
        <v>&lt; 11,5 cm =92Abundancia a la edad</v>
      </c>
      <c r="D58" s="71">
        <f>SUM(D8:D26)/1000000000</f>
        <v>303.26152591251014</v>
      </c>
      <c r="E58" s="71">
        <f t="shared" ref="E58:I58" si="3">SUM(E8:E26)/1000000000</f>
        <v>0</v>
      </c>
      <c r="F58" s="71">
        <f t="shared" si="3"/>
        <v>0</v>
      </c>
      <c r="G58" s="71">
        <f t="shared" si="3"/>
        <v>0</v>
      </c>
      <c r="H58" s="71">
        <f t="shared" si="3"/>
        <v>0</v>
      </c>
      <c r="I58" s="71">
        <f t="shared" si="3"/>
        <v>0</v>
      </c>
      <c r="J58" s="71">
        <f>SUM(D58:I58)</f>
        <v>303.26152591251014</v>
      </c>
      <c r="K58" s="71">
        <f>(J58/$J60)*100</f>
        <v>91.999457842876794</v>
      </c>
      <c r="L58" s="71">
        <f>ROUND(K58,0)</f>
        <v>92</v>
      </c>
    </row>
    <row r="59" spans="2:14" x14ac:dyDescent="0.25">
      <c r="B59" s="73"/>
      <c r="C59" s="3" t="s">
        <v>25</v>
      </c>
      <c r="D59" s="71">
        <f>SUM(D27:D45)/1000000000</f>
        <v>5.6893005609865641</v>
      </c>
      <c r="E59" s="71">
        <f t="shared" ref="E59:H59" si="4">SUM(E27:E45)/1000000000</f>
        <v>9.7580060030978686</v>
      </c>
      <c r="F59" s="71">
        <f t="shared" si="4"/>
        <v>8.2723776982779444</v>
      </c>
      <c r="G59" s="71">
        <f t="shared" si="4"/>
        <v>2.6528257456887898</v>
      </c>
      <c r="H59" s="71">
        <f t="shared" si="4"/>
        <v>0</v>
      </c>
      <c r="I59" s="71">
        <f>SUM(I27:I45)/1000000000</f>
        <v>0</v>
      </c>
      <c r="J59" s="71">
        <f>SUM(D59:I59)</f>
        <v>26.372510008051169</v>
      </c>
      <c r="K59" s="71">
        <f>(J59/$J60)*100</f>
        <v>8.0005421571232098</v>
      </c>
    </row>
    <row r="60" spans="2:14" x14ac:dyDescent="0.25">
      <c r="B60" s="73"/>
      <c r="J60" s="71">
        <f>SUM(J58:J59)</f>
        <v>329.6340359205613</v>
      </c>
      <c r="K60" s="71">
        <f>SUM(K58:K59)</f>
        <v>100</v>
      </c>
    </row>
    <row r="61" spans="2:14" x14ac:dyDescent="0.25">
      <c r="B61" s="73"/>
    </row>
    <row r="62" spans="2:14" x14ac:dyDescent="0.25">
      <c r="B62" s="73"/>
    </row>
    <row r="63" spans="2:14" x14ac:dyDescent="0.25">
      <c r="B63" s="73"/>
      <c r="C63" s="71">
        <f>K64</f>
        <v>0</v>
      </c>
      <c r="D63" s="74" t="s">
        <v>5</v>
      </c>
      <c r="E63" s="74" t="s">
        <v>6</v>
      </c>
      <c r="F63" s="74" t="s">
        <v>7</v>
      </c>
      <c r="G63" s="74" t="s">
        <v>8</v>
      </c>
      <c r="H63" s="74" t="s">
        <v>9</v>
      </c>
      <c r="I63" s="74" t="s">
        <v>10</v>
      </c>
      <c r="K63" s="3"/>
    </row>
    <row r="64" spans="2:14" x14ac:dyDescent="0.25">
      <c r="B64" s="73"/>
      <c r="C64" s="3" t="s">
        <v>26</v>
      </c>
      <c r="D64" s="75"/>
      <c r="E64" s="75"/>
      <c r="F64" s="75"/>
      <c r="G64" s="75"/>
      <c r="H64" s="75"/>
      <c r="I64" s="75">
        <v>0</v>
      </c>
      <c r="J64" s="71"/>
      <c r="K64" s="71"/>
      <c r="L64" s="41"/>
    </row>
    <row r="65" spans="2:12" x14ac:dyDescent="0.25">
      <c r="B65" s="73"/>
      <c r="C65" s="3" t="s">
        <v>25</v>
      </c>
      <c r="D65" s="75"/>
      <c r="E65" s="75"/>
      <c r="F65" s="75"/>
      <c r="G65" s="75"/>
      <c r="H65" s="75"/>
      <c r="I65" s="75">
        <v>0</v>
      </c>
      <c r="J65" s="71"/>
      <c r="K65" s="71"/>
      <c r="L65" s="41"/>
    </row>
    <row r="66" spans="2:12" x14ac:dyDescent="0.25">
      <c r="B66" s="73"/>
      <c r="J66" s="71"/>
      <c r="K66" s="71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67E6-E6F2-C845-B3CB-F80A4F6A58FE}">
  <sheetPr>
    <tabColor rgb="FFFF0000"/>
  </sheetPr>
  <dimension ref="A3:U49"/>
  <sheetViews>
    <sheetView tabSelected="1" zoomScale="80" zoomScaleNormal="80" workbookViewId="0">
      <selection activeCell="F67" sqref="F67"/>
    </sheetView>
  </sheetViews>
  <sheetFormatPr baseColWidth="10" defaultRowHeight="16" x14ac:dyDescent="0.2"/>
  <cols>
    <col min="1" max="1" width="15" customWidth="1"/>
    <col min="3" max="3" width="20.85546875" customWidth="1"/>
    <col min="4" max="4" width="27.5703125" customWidth="1"/>
    <col min="5" max="5" width="17.28515625" customWidth="1"/>
    <col min="6" max="6" width="19" customWidth="1"/>
    <col min="7" max="7" width="17" customWidth="1"/>
    <col min="8" max="9" width="22.42578125" customWidth="1"/>
    <col min="10" max="10" width="22" customWidth="1"/>
    <col min="11" max="11" width="14" customWidth="1"/>
    <col min="12" max="12" width="12.42578125" bestFit="1" customWidth="1"/>
    <col min="13" max="13" width="19.140625" customWidth="1"/>
    <col min="14" max="14" width="17.28515625" customWidth="1"/>
    <col min="16" max="16" width="15.140625" customWidth="1"/>
    <col min="17" max="17" width="12.42578125" bestFit="1" customWidth="1"/>
    <col min="18" max="18" width="2.7109375" customWidth="1"/>
    <col min="19" max="21" width="18.85546875" customWidth="1"/>
  </cols>
  <sheetData>
    <row r="3" spans="2:17" ht="17" thickBot="1" x14ac:dyDescent="0.25">
      <c r="O3" t="s">
        <v>118</v>
      </c>
      <c r="P3" t="s">
        <v>119</v>
      </c>
      <c r="Q3" t="s">
        <v>122</v>
      </c>
    </row>
    <row r="4" spans="2:17" x14ac:dyDescent="0.2">
      <c r="B4" s="162" t="s">
        <v>53</v>
      </c>
      <c r="C4" s="245">
        <f>+EXP(0.300268741091)</f>
        <v>1.3502216188536127</v>
      </c>
      <c r="D4" t="s">
        <v>65</v>
      </c>
      <c r="E4" s="141">
        <f>C4-1</f>
        <v>0.35022161885361269</v>
      </c>
      <c r="M4" t="s">
        <v>117</v>
      </c>
      <c r="N4" s="247">
        <v>412</v>
      </c>
      <c r="O4" s="249">
        <v>340</v>
      </c>
      <c r="P4" s="250">
        <v>327</v>
      </c>
      <c r="Q4" s="148" t="s">
        <v>124</v>
      </c>
    </row>
    <row r="5" spans="2:17" ht="17" thickBot="1" x14ac:dyDescent="0.25">
      <c r="B5" s="163" t="s">
        <v>54</v>
      </c>
      <c r="C5" s="161">
        <v>0.29844870277500002</v>
      </c>
      <c r="D5" t="s">
        <v>65</v>
      </c>
      <c r="M5" t="s">
        <v>120</v>
      </c>
      <c r="N5">
        <v>297</v>
      </c>
      <c r="O5" s="251">
        <v>279</v>
      </c>
      <c r="P5" s="252">
        <v>268</v>
      </c>
      <c r="Q5" s="148" t="s">
        <v>123</v>
      </c>
    </row>
    <row r="6" spans="2:17" x14ac:dyDescent="0.2">
      <c r="B6" s="163" t="s">
        <v>55</v>
      </c>
      <c r="C6" s="161">
        <v>1</v>
      </c>
      <c r="M6" t="s">
        <v>121</v>
      </c>
      <c r="N6">
        <v>273</v>
      </c>
      <c r="O6">
        <v>256</v>
      </c>
      <c r="P6">
        <v>246</v>
      </c>
      <c r="Q6" t="s">
        <v>123</v>
      </c>
    </row>
    <row r="7" spans="2:17" x14ac:dyDescent="0.2">
      <c r="B7" s="163" t="s">
        <v>57</v>
      </c>
      <c r="C7" s="161">
        <f>+C6+C5</f>
        <v>1.298448702775</v>
      </c>
    </row>
    <row r="8" spans="2:17" x14ac:dyDescent="0.2">
      <c r="B8" s="163" t="s">
        <v>60</v>
      </c>
      <c r="C8" s="165">
        <f>1-EXP(-C9*C6)</f>
        <v>2.6845621439454126E-3</v>
      </c>
      <c r="D8" s="140">
        <f>1-C8</f>
        <v>0.99731543785605459</v>
      </c>
      <c r="J8" t="s">
        <v>109</v>
      </c>
      <c r="K8" t="s">
        <v>110</v>
      </c>
    </row>
    <row r="9" spans="2:17" ht="17" thickBot="1" x14ac:dyDescent="0.25">
      <c r="B9" s="164" t="s">
        <v>61</v>
      </c>
      <c r="C9" s="176">
        <f>+D9/12</f>
        <v>2.6881720430107525E-3</v>
      </c>
      <c r="D9" s="175">
        <f>$C$6/31</f>
        <v>3.2258064516129031E-2</v>
      </c>
      <c r="E9" s="157" t="s">
        <v>100</v>
      </c>
      <c r="P9" s="248">
        <f>+P4-251</f>
        <v>76</v>
      </c>
    </row>
    <row r="10" spans="2:17" x14ac:dyDescent="0.2">
      <c r="B10" s="186" t="s">
        <v>73</v>
      </c>
      <c r="C10" s="187">
        <f>+EXP(-1.6987084339)</f>
        <v>0.18291962433617009</v>
      </c>
      <c r="F10" s="157"/>
      <c r="I10" s="205" t="s">
        <v>103</v>
      </c>
      <c r="J10" s="205" t="s">
        <v>102</v>
      </c>
    </row>
    <row r="11" spans="2:17" ht="17" thickBot="1" x14ac:dyDescent="0.25">
      <c r="B11" s="188" t="s">
        <v>74</v>
      </c>
      <c r="C11" s="160">
        <f>+C10+C6</f>
        <v>1.1829196243361702</v>
      </c>
      <c r="E11" s="142"/>
      <c r="H11" s="142"/>
      <c r="I11" s="142"/>
      <c r="J11" s="142"/>
      <c r="L11" s="142"/>
    </row>
    <row r="12" spans="2:17" x14ac:dyDescent="0.2">
      <c r="B12" s="158"/>
      <c r="C12" s="141"/>
      <c r="E12" s="142"/>
      <c r="H12" s="142"/>
      <c r="I12" s="142"/>
      <c r="J12" s="142" t="s">
        <v>105</v>
      </c>
      <c r="K12">
        <v>0.96</v>
      </c>
      <c r="L12" s="142"/>
    </row>
    <row r="13" spans="2:17" x14ac:dyDescent="0.2">
      <c r="B13" s="158"/>
      <c r="C13" s="141"/>
      <c r="E13" s="142"/>
      <c r="H13" s="142"/>
      <c r="I13" s="142"/>
      <c r="J13" s="142"/>
      <c r="L13" s="142"/>
      <c r="M13" s="217"/>
      <c r="N13" s="217"/>
      <c r="O13" s="217"/>
      <c r="P13" s="232"/>
      <c r="Q13" s="232"/>
    </row>
    <row r="14" spans="2:17" ht="17" thickBot="1" x14ac:dyDescent="0.25">
      <c r="B14" s="158"/>
      <c r="C14" s="141"/>
      <c r="E14" s="142"/>
      <c r="H14" s="142"/>
      <c r="I14" s="142"/>
      <c r="J14" s="142"/>
      <c r="L14" s="142"/>
      <c r="M14" s="218" t="s">
        <v>62</v>
      </c>
      <c r="N14" s="218" t="s">
        <v>62</v>
      </c>
      <c r="O14" s="217"/>
      <c r="P14" s="232"/>
      <c r="Q14" s="232"/>
    </row>
    <row r="15" spans="2:17" ht="17" thickBot="1" x14ac:dyDescent="0.25">
      <c r="B15" s="159"/>
      <c r="C15" s="184" t="s">
        <v>66</v>
      </c>
      <c r="D15" s="260" t="s">
        <v>67</v>
      </c>
      <c r="E15" s="261"/>
      <c r="F15" s="262"/>
      <c r="G15" s="260" t="s">
        <v>68</v>
      </c>
      <c r="H15" s="262"/>
      <c r="I15" s="263" t="s">
        <v>69</v>
      </c>
      <c r="J15" s="264"/>
      <c r="K15" s="264"/>
      <c r="L15" s="265"/>
      <c r="M15" s="219" t="s">
        <v>93</v>
      </c>
      <c r="N15" s="220" t="s">
        <v>94</v>
      </c>
      <c r="O15" s="221"/>
      <c r="P15" s="233" t="s">
        <v>104</v>
      </c>
      <c r="Q15" s="234" t="s">
        <v>106</v>
      </c>
    </row>
    <row r="16" spans="2:17" ht="17" thickBot="1" x14ac:dyDescent="0.25">
      <c r="B16" s="177" t="s">
        <v>48</v>
      </c>
      <c r="C16" s="167" t="s">
        <v>56</v>
      </c>
      <c r="D16" s="177" t="s">
        <v>49</v>
      </c>
      <c r="E16" s="167" t="s">
        <v>50</v>
      </c>
      <c r="F16" s="177" t="s">
        <v>51</v>
      </c>
      <c r="G16" s="167" t="s">
        <v>58</v>
      </c>
      <c r="H16" s="167" t="s">
        <v>59</v>
      </c>
      <c r="I16" s="172" t="s">
        <v>64</v>
      </c>
      <c r="J16" s="168" t="s">
        <v>98</v>
      </c>
      <c r="K16" s="168" t="s">
        <v>63</v>
      </c>
      <c r="L16" s="169" t="s">
        <v>62</v>
      </c>
      <c r="M16" s="222" t="s">
        <v>92</v>
      </c>
      <c r="N16" s="223" t="s">
        <v>92</v>
      </c>
      <c r="O16" s="217"/>
      <c r="P16" s="235"/>
      <c r="Q16" s="236"/>
    </row>
    <row r="17" spans="2:21" x14ac:dyDescent="0.2">
      <c r="B17" s="170">
        <v>0</v>
      </c>
      <c r="C17" s="191">
        <f>+D17+(D17*$C$8)</f>
        <v>309780.2241665881</v>
      </c>
      <c r="D17" s="208">
        <v>308950.82647349668</v>
      </c>
      <c r="E17" s="209">
        <v>5.4821270205929116</v>
      </c>
      <c r="F17" s="179">
        <f>+D17*E17</f>
        <v>1693707.6738448681</v>
      </c>
      <c r="G17" s="246">
        <v>0.70160699999999998</v>
      </c>
      <c r="H17" s="211">
        <v>7.5</v>
      </c>
      <c r="I17" s="149">
        <f>+C17*G17</f>
        <v>217343.97373684737</v>
      </c>
      <c r="J17" s="213">
        <f>+I17*E17</f>
        <v>1191507.2711858072</v>
      </c>
      <c r="K17" s="174">
        <f>+($C$5/$C$7)*((1-EXP(-1*$C$7))*I17)</f>
        <v>36320.670248546077</v>
      </c>
      <c r="L17" s="150">
        <f>+K17*H17</f>
        <v>272405.02686409559</v>
      </c>
      <c r="M17" s="224">
        <f>+J17*M28</f>
        <v>135522.62852324446</v>
      </c>
      <c r="N17" s="225">
        <f>+J17*M38</f>
        <v>206296.85363255345</v>
      </c>
      <c r="O17" s="217"/>
      <c r="P17" s="235">
        <f>(M28+M38)/2</f>
        <v>0.14343994804816157</v>
      </c>
      <c r="Q17" s="237">
        <f>+J17*P17</f>
        <v>170909.74107789894</v>
      </c>
    </row>
    <row r="18" spans="2:21" x14ac:dyDescent="0.2">
      <c r="B18" s="170">
        <v>1</v>
      </c>
      <c r="C18" s="174">
        <f t="shared" ref="C18:C20" si="0">+D18+(D18*$C$8)</f>
        <v>9784.2019766141766</v>
      </c>
      <c r="D18" s="208">
        <v>9758.0060030978675</v>
      </c>
      <c r="E18" s="209">
        <v>25.65253399137961</v>
      </c>
      <c r="F18" s="179">
        <f t="shared" ref="F18:F19" si="1">+D18*E18</f>
        <v>250317.58068255434</v>
      </c>
      <c r="G18" s="246">
        <v>0.97810600000000003</v>
      </c>
      <c r="H18" s="212">
        <v>15.8</v>
      </c>
      <c r="I18" s="149">
        <f t="shared" ref="I18:I20" si="2">+C18*G18</f>
        <v>9569.986658538186</v>
      </c>
      <c r="J18" s="214">
        <f t="shared" ref="J18:J21" si="3">+I18*E18</f>
        <v>245494.40805520018</v>
      </c>
      <c r="K18" s="174">
        <f t="shared" ref="K18:K21" si="4">+($C$5/$C$7)*((1-EXP(-1*$C$7))*I18)</f>
        <v>1599.2545076432568</v>
      </c>
      <c r="L18" s="150">
        <f t="shared" ref="L18:L21" si="5">+K18*H18</f>
        <v>25268.221220763458</v>
      </c>
      <c r="M18" s="224">
        <f>+J18*M29</f>
        <v>37256.788350519513</v>
      </c>
      <c r="N18" s="225">
        <f>+J18*M39</f>
        <v>55470.676338076599</v>
      </c>
      <c r="O18" s="217"/>
      <c r="P18" s="235">
        <f t="shared" ref="P18:P21" si="6">(M29+M39)/2</f>
        <v>0.1888586086811111</v>
      </c>
      <c r="Q18" s="237">
        <f t="shared" ref="Q18:Q21" si="7">+J18*P18</f>
        <v>46363.732344298056</v>
      </c>
    </row>
    <row r="19" spans="2:21" x14ac:dyDescent="0.2">
      <c r="B19" s="170">
        <v>2</v>
      </c>
      <c r="C19" s="174">
        <f t="shared" si="0"/>
        <v>8294.5854102871581</v>
      </c>
      <c r="D19" s="208">
        <v>8272.3776982779436</v>
      </c>
      <c r="E19" s="209">
        <v>36.945446526021477</v>
      </c>
      <c r="F19" s="179">
        <f t="shared" si="1"/>
        <v>305626.68789478042</v>
      </c>
      <c r="G19" s="246">
        <v>0.99882300000000002</v>
      </c>
      <c r="H19" s="212">
        <v>21.9</v>
      </c>
      <c r="I19" s="149">
        <f t="shared" si="2"/>
        <v>8284.82268325925</v>
      </c>
      <c r="J19" s="214">
        <f t="shared" si="3"/>
        <v>306086.4734219244</v>
      </c>
      <c r="K19" s="174">
        <f t="shared" si="4"/>
        <v>1384.4888706721899</v>
      </c>
      <c r="L19" s="150">
        <f t="shared" si="5"/>
        <v>30320.306267720956</v>
      </c>
      <c r="M19" s="224">
        <f t="shared" ref="M19:M21" si="8">+J19*M30</f>
        <v>47284.280691734566</v>
      </c>
      <c r="N19" s="225">
        <f t="shared" ref="N19:N21" si="9">+J19*M40</f>
        <v>70290.248372917951</v>
      </c>
      <c r="O19" s="217"/>
      <c r="P19" s="235">
        <f t="shared" si="6"/>
        <v>0.1920609685070632</v>
      </c>
      <c r="Q19" s="237">
        <f t="shared" si="7"/>
        <v>58787.264532326255</v>
      </c>
    </row>
    <row r="20" spans="2:21" x14ac:dyDescent="0.2">
      <c r="B20" s="170">
        <v>3</v>
      </c>
      <c r="C20" s="174">
        <f t="shared" si="0"/>
        <v>2659.9474212601499</v>
      </c>
      <c r="D20" s="208">
        <v>2652.82574568879</v>
      </c>
      <c r="E20" s="209">
        <v>41.069362117060969</v>
      </c>
      <c r="F20" s="179">
        <f>+D20*E20</f>
        <v>108949.86118315521</v>
      </c>
      <c r="G20" s="246">
        <v>0.99993799999999999</v>
      </c>
      <c r="H20" s="212">
        <v>28.5</v>
      </c>
      <c r="I20" s="149">
        <f t="shared" si="2"/>
        <v>2659.7825045200316</v>
      </c>
      <c r="J20" s="214">
        <f t="shared" si="3"/>
        <v>109235.57083075654</v>
      </c>
      <c r="K20" s="174">
        <f t="shared" si="4"/>
        <v>444.48015566555438</v>
      </c>
      <c r="L20" s="150">
        <f t="shared" si="5"/>
        <v>12667.6844364683</v>
      </c>
      <c r="M20" s="224">
        <f t="shared" si="8"/>
        <v>16890.650796701862</v>
      </c>
      <c r="N20" s="225">
        <f t="shared" si="9"/>
        <v>25106.619641362384</v>
      </c>
      <c r="O20" s="217"/>
      <c r="P20" s="235">
        <f>(M31+M41)/2</f>
        <v>0.19223257643397343</v>
      </c>
      <c r="Q20" s="237">
        <f t="shared" si="7"/>
        <v>20998.635219032123</v>
      </c>
    </row>
    <row r="21" spans="2:21" ht="17" thickBot="1" x14ac:dyDescent="0.25">
      <c r="B21" s="180">
        <v>4</v>
      </c>
      <c r="C21" s="182">
        <v>0</v>
      </c>
      <c r="D21" s="181"/>
      <c r="E21" s="182"/>
      <c r="F21" s="180"/>
      <c r="G21" s="246">
        <v>0.99999700000000002</v>
      </c>
      <c r="H21" s="212">
        <v>33</v>
      </c>
      <c r="I21" s="151">
        <f>+C21*G21</f>
        <v>0</v>
      </c>
      <c r="J21" s="215">
        <f t="shared" si="3"/>
        <v>0</v>
      </c>
      <c r="K21" s="174">
        <f t="shared" si="4"/>
        <v>0</v>
      </c>
      <c r="L21" s="152">
        <f t="shared" si="5"/>
        <v>0</v>
      </c>
      <c r="M21" s="224">
        <f t="shared" si="8"/>
        <v>0</v>
      </c>
      <c r="N21" s="225">
        <f t="shared" si="9"/>
        <v>0</v>
      </c>
      <c r="O21" s="217"/>
      <c r="P21" s="235">
        <f t="shared" si="6"/>
        <v>0.19224165492304079</v>
      </c>
      <c r="Q21" s="237">
        <f t="shared" si="7"/>
        <v>0</v>
      </c>
      <c r="S21" s="159" t="s">
        <v>113</v>
      </c>
      <c r="T21" s="159" t="s">
        <v>114</v>
      </c>
      <c r="U21" s="159" t="s">
        <v>115</v>
      </c>
    </row>
    <row r="22" spans="2:21" ht="17" thickBot="1" x14ac:dyDescent="0.25">
      <c r="B22" s="177" t="s">
        <v>52</v>
      </c>
      <c r="C22" s="167"/>
      <c r="D22" s="183">
        <f>+SUM(D17:D21)</f>
        <v>329634.03592056129</v>
      </c>
      <c r="E22" s="167"/>
      <c r="F22" s="183">
        <f>+SUM(F17:F21)</f>
        <v>2358601.8036053581</v>
      </c>
      <c r="G22" s="166"/>
      <c r="H22" s="171"/>
      <c r="I22" s="155">
        <f>+SUM(I17:I21)</f>
        <v>237858.56558316486</v>
      </c>
      <c r="J22" s="156">
        <f>+SUM(J17:J21)</f>
        <v>1852323.7234936885</v>
      </c>
      <c r="K22" s="154"/>
      <c r="L22" s="242">
        <f>+SUM(L17:L21)</f>
        <v>340661.23878904828</v>
      </c>
      <c r="M22" s="226">
        <f>+SUM(M17:M21)</f>
        <v>236954.34836220043</v>
      </c>
      <c r="N22" s="227">
        <f>+SUM(N17:N21)</f>
        <v>357164.39798491041</v>
      </c>
      <c r="O22" s="217" t="s">
        <v>107</v>
      </c>
      <c r="P22" s="235"/>
      <c r="Q22" s="237"/>
      <c r="S22" s="241" t="s">
        <v>116</v>
      </c>
      <c r="T22" s="241" t="s">
        <v>116</v>
      </c>
      <c r="U22" s="241" t="s">
        <v>116</v>
      </c>
    </row>
    <row r="23" spans="2:21" ht="17" thickBot="1" x14ac:dyDescent="0.25">
      <c r="F23" s="157" t="s">
        <v>99</v>
      </c>
      <c r="K23" t="s">
        <v>111</v>
      </c>
      <c r="L23" s="243">
        <f>L22*1</f>
        <v>340661.23878904828</v>
      </c>
      <c r="M23" s="228">
        <f>M22*0.7</f>
        <v>165868.04385354029</v>
      </c>
      <c r="N23" s="229">
        <f>N22*0.3</f>
        <v>107149.31939547313</v>
      </c>
      <c r="O23" s="230">
        <f>SUM(M23:N23)</f>
        <v>273017.36324901343</v>
      </c>
      <c r="P23" s="238" t="s">
        <v>108</v>
      </c>
      <c r="Q23" s="239">
        <f>SUM(Q17:Q22)</f>
        <v>297059.37317355536</v>
      </c>
      <c r="S23" s="206">
        <f>+O25</f>
        <v>246370.86859590968</v>
      </c>
      <c r="T23" s="206">
        <f>+Q25</f>
        <v>268066.37835181638</v>
      </c>
      <c r="U23" s="206">
        <f>+L24</f>
        <v>327034.78923748631</v>
      </c>
    </row>
    <row r="24" spans="2:21" x14ac:dyDescent="0.2">
      <c r="C24" s="142"/>
      <c r="D24" s="142"/>
      <c r="K24" t="s">
        <v>112</v>
      </c>
      <c r="L24" s="244">
        <f>L23*0.96</f>
        <v>327034.78923748631</v>
      </c>
      <c r="N24" s="217" t="s">
        <v>111</v>
      </c>
      <c r="O24" s="231">
        <f>O23*0.94</f>
        <v>256636.3214540726</v>
      </c>
      <c r="P24" s="232" t="s">
        <v>111</v>
      </c>
      <c r="Q24" s="240">
        <f>Q23*0.94</f>
        <v>279235.81078314205</v>
      </c>
    </row>
    <row r="25" spans="2:21" ht="17" thickBot="1" x14ac:dyDescent="0.25">
      <c r="N25" s="217" t="s">
        <v>112</v>
      </c>
      <c r="O25" s="231">
        <f>O24*0.96</f>
        <v>246370.86859590968</v>
      </c>
      <c r="P25" s="232" t="s">
        <v>112</v>
      </c>
      <c r="Q25" s="240">
        <f>Q24*0.96</f>
        <v>268066.37835181638</v>
      </c>
      <c r="T25" s="141"/>
    </row>
    <row r="26" spans="2:21" ht="17" thickBot="1" x14ac:dyDescent="0.25">
      <c r="M26" s="194" t="s">
        <v>95</v>
      </c>
    </row>
    <row r="27" spans="2:21" ht="17" thickBot="1" x14ac:dyDescent="0.25">
      <c r="B27" s="177" t="s">
        <v>48</v>
      </c>
      <c r="C27" s="167" t="s">
        <v>70</v>
      </c>
      <c r="D27" s="167" t="s">
        <v>76</v>
      </c>
      <c r="E27" s="167" t="s">
        <v>81</v>
      </c>
      <c r="F27" s="167" t="s">
        <v>73</v>
      </c>
      <c r="G27" s="189" t="s">
        <v>74</v>
      </c>
      <c r="H27" s="167" t="s">
        <v>75</v>
      </c>
      <c r="I27" s="189" t="s">
        <v>71</v>
      </c>
      <c r="J27" s="167" t="s">
        <v>77</v>
      </c>
      <c r="K27" s="177" t="s">
        <v>72</v>
      </c>
      <c r="L27" s="189" t="s">
        <v>78</v>
      </c>
      <c r="M27" s="197" t="s">
        <v>97</v>
      </c>
    </row>
    <row r="28" spans="2:21" x14ac:dyDescent="0.2">
      <c r="B28" s="170">
        <v>0</v>
      </c>
      <c r="C28" s="191">
        <v>257755</v>
      </c>
      <c r="D28" s="210">
        <v>0.70160699999999998</v>
      </c>
      <c r="E28" s="211">
        <v>7.5</v>
      </c>
      <c r="F28" s="211">
        <f>+$C$10*D28</f>
        <v>0.12833768887162728</v>
      </c>
      <c r="G28" s="211">
        <f>+F28+$C$6</f>
        <v>1.1283376888716272</v>
      </c>
      <c r="H28" s="216">
        <f>+(1-EXP(-1*G28))</f>
        <v>0.67642931523796224</v>
      </c>
      <c r="I28" s="174">
        <f>+C28*H28</f>
        <v>174353.03814916094</v>
      </c>
      <c r="J28" s="174">
        <f>+I28*E28</f>
        <v>1307647.7861187072</v>
      </c>
      <c r="K28" s="179">
        <f>+(F28/G28)*I28</f>
        <v>19831.001112961792</v>
      </c>
      <c r="L28" s="178">
        <f>+K28*E28</f>
        <v>148732.50834721344</v>
      </c>
      <c r="M28" s="195">
        <f>+L28/J28</f>
        <v>0.11374049642883854</v>
      </c>
    </row>
    <row r="29" spans="2:21" x14ac:dyDescent="0.2">
      <c r="B29" s="170">
        <v>1</v>
      </c>
      <c r="C29" s="174">
        <v>16483.5</v>
      </c>
      <c r="D29" s="210">
        <v>0.97810600000000003</v>
      </c>
      <c r="E29" s="212">
        <v>15.8</v>
      </c>
      <c r="F29" s="211">
        <f>+$C$10*D29</f>
        <v>0.17891478208095399</v>
      </c>
      <c r="G29" s="211">
        <f t="shared" ref="G29:G32" si="10">+F29+$C$6</f>
        <v>1.178914782080954</v>
      </c>
      <c r="H29" s="216">
        <f t="shared" ref="H29:H32" si="11">+(1-EXP(-1*G29))</f>
        <v>0.69238761599935827</v>
      </c>
      <c r="I29" s="174">
        <f>+C29*H29</f>
        <v>11412.971268325422</v>
      </c>
      <c r="J29" s="174">
        <f t="shared" ref="J29:J32" si="12">+I29*E29</f>
        <v>180324.94603954168</v>
      </c>
      <c r="K29" s="179">
        <f t="shared" ref="K29:K32" si="13">+(F29/G29)*I29</f>
        <v>1732.0584137254586</v>
      </c>
      <c r="L29" s="178">
        <f t="shared" ref="L29:L32" si="14">+K29*E29</f>
        <v>27366.522936862249</v>
      </c>
      <c r="M29" s="195">
        <f t="shared" ref="M29:M32" si="15">+L29/J29</f>
        <v>0.15176226882586347</v>
      </c>
    </row>
    <row r="30" spans="2:21" x14ac:dyDescent="0.2">
      <c r="B30" s="170">
        <v>2</v>
      </c>
      <c r="C30" s="174">
        <v>6377.14</v>
      </c>
      <c r="D30" s="210">
        <v>0.99882300000000002</v>
      </c>
      <c r="E30" s="212">
        <v>21.9</v>
      </c>
      <c r="F30" s="211">
        <f>+$C$10*D30</f>
        <v>0.18270432793832642</v>
      </c>
      <c r="G30" s="211">
        <f>+F30+$C$6</f>
        <v>1.1827043279383265</v>
      </c>
      <c r="H30" s="216">
        <f>+(1-EXP(-1*G30))</f>
        <v>0.69355112126415497</v>
      </c>
      <c r="I30" s="174">
        <f>+C30*H30</f>
        <v>4422.8725974584931</v>
      </c>
      <c r="J30" s="174">
        <f>+I30*E30</f>
        <v>96860.909884340988</v>
      </c>
      <c r="K30" s="179">
        <f t="shared" si="13"/>
        <v>683.2459697548619</v>
      </c>
      <c r="L30" s="178">
        <f t="shared" si="14"/>
        <v>14963.086737631475</v>
      </c>
      <c r="M30" s="195">
        <f t="shared" si="15"/>
        <v>0.15448013812278344</v>
      </c>
    </row>
    <row r="31" spans="2:21" x14ac:dyDescent="0.2">
      <c r="B31" s="170">
        <v>3</v>
      </c>
      <c r="C31" s="174">
        <v>6740.99</v>
      </c>
      <c r="D31" s="210">
        <v>0.99993799999999999</v>
      </c>
      <c r="E31" s="212">
        <v>28.5</v>
      </c>
      <c r="F31" s="211">
        <f>+$C$10*D31</f>
        <v>0.18290828331946124</v>
      </c>
      <c r="G31" s="211">
        <f t="shared" si="10"/>
        <v>1.1829082833194613</v>
      </c>
      <c r="H31" s="216">
        <f t="shared" si="11"/>
        <v>0.69361361678864997</v>
      </c>
      <c r="I31" s="174">
        <f>+C31*H31</f>
        <v>4675.6424546361213</v>
      </c>
      <c r="J31" s="174">
        <f t="shared" si="12"/>
        <v>133255.80995712944</v>
      </c>
      <c r="K31" s="179">
        <f t="shared" si="13"/>
        <v>722.97552299929418</v>
      </c>
      <c r="L31" s="178">
        <f t="shared" si="14"/>
        <v>20604.802405479884</v>
      </c>
      <c r="M31" s="195">
        <f t="shared" si="15"/>
        <v>0.15462592146720494</v>
      </c>
    </row>
    <row r="32" spans="2:21" ht="17" thickBot="1" x14ac:dyDescent="0.25">
      <c r="B32" s="170">
        <v>4</v>
      </c>
      <c r="C32" s="174">
        <v>2146.21</v>
      </c>
      <c r="D32" s="210">
        <v>0.99999700000000002</v>
      </c>
      <c r="E32" s="212">
        <v>33</v>
      </c>
      <c r="F32" s="211">
        <f>+$C$10*D32</f>
        <v>0.18291907557729709</v>
      </c>
      <c r="G32" s="211">
        <f t="shared" si="10"/>
        <v>1.1829190755772971</v>
      </c>
      <c r="H32" s="216">
        <f t="shared" si="11"/>
        <v>0.69361692337165215</v>
      </c>
      <c r="I32" s="174">
        <f>+C32*H32</f>
        <v>1488.6475771094736</v>
      </c>
      <c r="J32" s="174">
        <f t="shared" si="12"/>
        <v>49125.370044612624</v>
      </c>
      <c r="K32" s="179">
        <f t="shared" si="13"/>
        <v>230.19498483643699</v>
      </c>
      <c r="L32" s="178">
        <f t="shared" si="14"/>
        <v>7596.4344996024201</v>
      </c>
      <c r="M32" s="195">
        <f t="shared" si="15"/>
        <v>0.15463363416303649</v>
      </c>
    </row>
    <row r="33" spans="1:13" ht="17" thickBot="1" x14ac:dyDescent="0.25">
      <c r="B33" s="177" t="s">
        <v>52</v>
      </c>
      <c r="C33" s="171"/>
      <c r="D33" s="167"/>
      <c r="E33" s="167"/>
      <c r="F33" s="167"/>
      <c r="G33" s="171"/>
      <c r="H33" s="171"/>
      <c r="I33" s="171">
        <f>+SUM(I28:I32)</f>
        <v>196353.17204669045</v>
      </c>
      <c r="J33" s="171">
        <f>+SUM(J28:J32)</f>
        <v>1767214.8220443318</v>
      </c>
      <c r="K33" s="177"/>
      <c r="L33" s="193">
        <f>+SUM(L28:L32)</f>
        <v>219263.35492678947</v>
      </c>
      <c r="M33" s="196"/>
    </row>
    <row r="34" spans="1:13" ht="17" thickBot="1" x14ac:dyDescent="0.25">
      <c r="B34" s="190"/>
      <c r="C34" s="191"/>
      <c r="D34" s="190"/>
      <c r="E34" s="190"/>
      <c r="F34" s="190"/>
      <c r="G34" s="191"/>
      <c r="H34" s="191"/>
      <c r="I34" s="191"/>
      <c r="J34" s="191"/>
      <c r="K34" s="198" t="s">
        <v>89</v>
      </c>
      <c r="L34" s="199">
        <f>+L33*0.7</f>
        <v>153484.34844875263</v>
      </c>
      <c r="M34" s="207">
        <f>AVERAGE(M28:M32)</f>
        <v>0.14584849180154538</v>
      </c>
    </row>
    <row r="35" spans="1:13" ht="17" thickBot="1" x14ac:dyDescent="0.25">
      <c r="B35" s="190"/>
      <c r="C35" s="191"/>
      <c r="D35" s="190"/>
      <c r="E35" s="190"/>
      <c r="F35" s="190"/>
      <c r="G35" s="191"/>
      <c r="H35" s="191"/>
      <c r="I35" s="191"/>
      <c r="J35" s="191"/>
      <c r="K35" s="190"/>
      <c r="L35" s="192"/>
      <c r="M35" s="141"/>
    </row>
    <row r="36" spans="1:13" ht="17" thickBot="1" x14ac:dyDescent="0.25">
      <c r="M36" s="194" t="s">
        <v>95</v>
      </c>
    </row>
    <row r="37" spans="1:13" ht="17" thickBot="1" x14ac:dyDescent="0.25">
      <c r="A37" s="159"/>
      <c r="B37" s="177" t="s">
        <v>48</v>
      </c>
      <c r="C37" s="167" t="s">
        <v>79</v>
      </c>
      <c r="D37" s="167" t="s">
        <v>76</v>
      </c>
      <c r="E37" s="167" t="s">
        <v>80</v>
      </c>
      <c r="F37" s="167" t="s">
        <v>82</v>
      </c>
      <c r="G37" s="189" t="s">
        <v>83</v>
      </c>
      <c r="H37" s="167" t="s">
        <v>84</v>
      </c>
      <c r="I37" s="189" t="s">
        <v>85</v>
      </c>
      <c r="J37" s="167" t="s">
        <v>86</v>
      </c>
      <c r="K37" s="177" t="s">
        <v>87</v>
      </c>
      <c r="L37" s="189" t="s">
        <v>88</v>
      </c>
      <c r="M37" s="197" t="s">
        <v>96</v>
      </c>
    </row>
    <row r="38" spans="1:13" x14ac:dyDescent="0.2">
      <c r="A38" s="142"/>
      <c r="B38" s="170">
        <v>0</v>
      </c>
      <c r="C38" s="204">
        <v>177392</v>
      </c>
      <c r="D38" s="210">
        <v>0.70160699999999998</v>
      </c>
      <c r="E38" s="211">
        <v>7.5</v>
      </c>
      <c r="F38" s="173">
        <f>+$C$5*D38</f>
        <v>0.20939369900785942</v>
      </c>
      <c r="G38" s="173">
        <f>+F38+$C$6</f>
        <v>1.2093936990078595</v>
      </c>
      <c r="H38" s="185">
        <f>+(1-EXP(-1*G38))</f>
        <v>0.70162186844386909</v>
      </c>
      <c r="I38" s="174">
        <f>+C38*H38</f>
        <v>124462.10648699483</v>
      </c>
      <c r="J38" s="174">
        <f>+I38*E38</f>
        <v>933465.79865246126</v>
      </c>
      <c r="K38" s="179">
        <f>+(F38/G38)*I38</f>
        <v>21549.294398508831</v>
      </c>
      <c r="L38" s="178">
        <f>+K38*E38</f>
        <v>161619.70798881623</v>
      </c>
      <c r="M38" s="195">
        <f>+L38/J38</f>
        <v>0.17313939966748462</v>
      </c>
    </row>
    <row r="39" spans="1:13" x14ac:dyDescent="0.2">
      <c r="B39" s="170">
        <v>1</v>
      </c>
      <c r="C39" s="203">
        <f>+C28-(C28*H28)</f>
        <v>83401.961850839056</v>
      </c>
      <c r="D39" s="210">
        <v>0.97810600000000003</v>
      </c>
      <c r="E39" s="212">
        <v>15.8</v>
      </c>
      <c r="F39" s="173">
        <f t="shared" ref="F39:F42" si="16">+$C$5*D39</f>
        <v>0.29191446687644418</v>
      </c>
      <c r="G39" s="173">
        <f t="shared" ref="G39:G42" si="17">+F39+$C$6</f>
        <v>1.2919144668764442</v>
      </c>
      <c r="H39" s="185">
        <f t="shared" ref="H39:H42" si="18">+(1-EXP(-1*G39))</f>
        <v>0.72525570956933993</v>
      </c>
      <c r="I39" s="174">
        <f>+C39*H39</f>
        <v>60487.749021605297</v>
      </c>
      <c r="J39" s="174">
        <f>+I39*E39</f>
        <v>955706.43454136373</v>
      </c>
      <c r="K39" s="179">
        <f t="shared" ref="K39:K42" si="19">+(F39/G39)*I39</f>
        <v>13667.506217257005</v>
      </c>
      <c r="L39" s="178">
        <f t="shared" ref="L39:L42" si="20">+K39*E39</f>
        <v>215946.5982326607</v>
      </c>
      <c r="M39" s="195">
        <f t="shared" ref="M39:M42" si="21">+L39/J39</f>
        <v>0.2259549485363587</v>
      </c>
    </row>
    <row r="40" spans="1:13" x14ac:dyDescent="0.2">
      <c r="B40" s="170">
        <v>2</v>
      </c>
      <c r="C40" s="203">
        <f>+C29-(C29*H29)</f>
        <v>5070.528731674578</v>
      </c>
      <c r="D40" s="210">
        <v>0.99882300000000002</v>
      </c>
      <c r="E40" s="212">
        <v>21.9</v>
      </c>
      <c r="F40" s="173">
        <f t="shared" si="16"/>
        <v>0.29809742865183386</v>
      </c>
      <c r="G40" s="173">
        <f t="shared" si="17"/>
        <v>1.2980974286518339</v>
      </c>
      <c r="H40" s="185">
        <f t="shared" si="18"/>
        <v>0.72694920221987358</v>
      </c>
      <c r="I40" s="174">
        <f>+C40*H40</f>
        <v>3686.0168163237818</v>
      </c>
      <c r="J40" s="174">
        <f t="shared" ref="J40:J42" si="22">+I40*E40</f>
        <v>80723.768277490817</v>
      </c>
      <c r="K40" s="179">
        <f t="shared" si="19"/>
        <v>846.46353244433419</v>
      </c>
      <c r="L40" s="178">
        <f t="shared" si="20"/>
        <v>18537.551360530917</v>
      </c>
      <c r="M40" s="195">
        <f t="shared" si="21"/>
        <v>0.22964179889134295</v>
      </c>
    </row>
    <row r="41" spans="1:13" x14ac:dyDescent="0.2">
      <c r="B41" s="170">
        <v>3</v>
      </c>
      <c r="C41" s="203">
        <f>+C30-(C30*H30)</f>
        <v>1954.2674025415072</v>
      </c>
      <c r="D41" s="210">
        <v>0.99993799999999999</v>
      </c>
      <c r="E41" s="212">
        <v>28.5</v>
      </c>
      <c r="F41" s="173">
        <f t="shared" si="16"/>
        <v>0.29843019895542799</v>
      </c>
      <c r="G41" s="173">
        <f t="shared" si="17"/>
        <v>1.2984301989554279</v>
      </c>
      <c r="H41" s="185">
        <f t="shared" si="18"/>
        <v>0.72704005030013752</v>
      </c>
      <c r="I41" s="174">
        <f>+C41*H41</f>
        <v>1420.8306706436965</v>
      </c>
      <c r="J41" s="174">
        <f t="shared" si="22"/>
        <v>40493.674113345354</v>
      </c>
      <c r="K41" s="179">
        <f t="shared" si="19"/>
        <v>326.56262929134795</v>
      </c>
      <c r="L41" s="178">
        <f t="shared" si="20"/>
        <v>9307.034934803416</v>
      </c>
      <c r="M41" s="195">
        <f t="shared" si="21"/>
        <v>0.22983923140074192</v>
      </c>
    </row>
    <row r="42" spans="1:13" ht="17" thickBot="1" x14ac:dyDescent="0.25">
      <c r="B42" s="170">
        <v>4</v>
      </c>
      <c r="C42" s="202">
        <v>2698.14</v>
      </c>
      <c r="D42" s="210">
        <v>0.99999700000000002</v>
      </c>
      <c r="E42" s="212">
        <v>33</v>
      </c>
      <c r="F42" s="173">
        <f t="shared" si="16"/>
        <v>0.29844780742889171</v>
      </c>
      <c r="G42" s="173">
        <f t="shared" si="17"/>
        <v>1.2984478074288917</v>
      </c>
      <c r="H42" s="185">
        <f t="shared" si="18"/>
        <v>0.72704485666585195</v>
      </c>
      <c r="I42" s="174">
        <f>+C42*H42</f>
        <v>1961.6688095644017</v>
      </c>
      <c r="J42" s="174">
        <f t="shared" si="22"/>
        <v>64735.070715625254</v>
      </c>
      <c r="K42" s="179">
        <f t="shared" si="19"/>
        <v>450.88893967592281</v>
      </c>
      <c r="L42" s="178">
        <f t="shared" si="20"/>
        <v>14879.335009305452</v>
      </c>
      <c r="M42" s="195">
        <f t="shared" si="21"/>
        <v>0.22984967568304507</v>
      </c>
    </row>
    <row r="43" spans="1:13" ht="17" thickBot="1" x14ac:dyDescent="0.25">
      <c r="B43" s="177" t="s">
        <v>52</v>
      </c>
      <c r="C43" s="171"/>
      <c r="D43" s="167"/>
      <c r="E43" s="167"/>
      <c r="F43" s="167"/>
      <c r="G43" s="171"/>
      <c r="H43" s="171"/>
      <c r="I43" s="171">
        <f>+SUM(I38:I42)</f>
        <v>192018.37180513199</v>
      </c>
      <c r="J43" s="171">
        <f>+SUM(J38:J42)</f>
        <v>2075124.7463002864</v>
      </c>
      <c r="K43" s="177"/>
      <c r="L43" s="193">
        <f>+SUM(L38:L42)</f>
        <v>420290.22752611671</v>
      </c>
      <c r="M43" s="153"/>
    </row>
    <row r="44" spans="1:13" ht="17" thickBot="1" x14ac:dyDescent="0.25">
      <c r="K44" s="198" t="s">
        <v>90</v>
      </c>
      <c r="L44" s="199">
        <f>+L43*0.3</f>
        <v>126087.06825783501</v>
      </c>
      <c r="M44" s="207">
        <f>AVERAGE(M38:M42)</f>
        <v>0.21768501083579467</v>
      </c>
    </row>
    <row r="45" spans="1:13" ht="17" thickBot="1" x14ac:dyDescent="0.25">
      <c r="C45" s="142"/>
      <c r="I45" s="142"/>
      <c r="K45" s="200" t="s">
        <v>91</v>
      </c>
      <c r="L45" s="201">
        <f>+L34+L44</f>
        <v>279571.41670658765</v>
      </c>
      <c r="M45" s="157" t="s">
        <v>101</v>
      </c>
    </row>
    <row r="46" spans="1:13" x14ac:dyDescent="0.2">
      <c r="C46" s="142"/>
      <c r="D46" s="142"/>
      <c r="I46" s="142"/>
      <c r="K46" t="s">
        <v>111</v>
      </c>
      <c r="L46" s="142">
        <f>L45*0.94</f>
        <v>262797.13170419238</v>
      </c>
    </row>
    <row r="47" spans="1:13" x14ac:dyDescent="0.2">
      <c r="C47" s="142"/>
      <c r="I47" s="142"/>
      <c r="K47" t="s">
        <v>112</v>
      </c>
      <c r="L47" s="142">
        <f>L46*0.96</f>
        <v>252285.24643602467</v>
      </c>
    </row>
    <row r="48" spans="1:13" x14ac:dyDescent="0.2">
      <c r="C48" s="142"/>
      <c r="I48" s="142"/>
    </row>
    <row r="49" spans="3:9" x14ac:dyDescent="0.2">
      <c r="C49" s="142"/>
      <c r="D49" s="142"/>
      <c r="I49" s="142"/>
    </row>
  </sheetData>
  <mergeCells count="3">
    <mergeCell ref="D15:F15"/>
    <mergeCell ref="G15:H15"/>
    <mergeCell ref="I15:L1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8972-CA47-4FE3-928D-6DBA8108ADF5}">
  <sheetPr syncVertical="1" syncRef="A1" transitionEvaluation="1"/>
  <dimension ref="B1:AP52"/>
  <sheetViews>
    <sheetView showZeros="0" zoomScale="80" zoomScaleNormal="80" workbookViewId="0">
      <selection activeCell="N20" sqref="N20"/>
    </sheetView>
  </sheetViews>
  <sheetFormatPr baseColWidth="10" defaultColWidth="13.85546875" defaultRowHeight="16" x14ac:dyDescent="0.2"/>
  <cols>
    <col min="1" max="1" width="5.42578125" style="76" customWidth="1"/>
    <col min="2" max="2" width="16.5703125" style="76" customWidth="1"/>
    <col min="3" max="3" width="16.140625" style="77" customWidth="1"/>
    <col min="4" max="11" width="22.140625" style="77" customWidth="1"/>
    <col min="12" max="12" width="11.7109375" style="76" bestFit="1" customWidth="1"/>
    <col min="13" max="13" width="8.28515625" style="76" customWidth="1"/>
    <col min="14" max="14" width="9" style="76" bestFit="1" customWidth="1"/>
    <col min="15" max="20" width="8.28515625" style="76" customWidth="1"/>
    <col min="21" max="21" width="11.7109375" style="76" bestFit="1" customWidth="1"/>
    <col min="22" max="22" width="8.28515625" style="76" customWidth="1"/>
    <col min="23" max="24" width="9" style="76" bestFit="1" customWidth="1"/>
    <col min="25" max="29" width="8.28515625" style="76" customWidth="1"/>
    <col min="30" max="30" width="11.7109375" style="76" bestFit="1" customWidth="1"/>
    <col min="31" max="31" width="8.42578125" style="76" bestFit="1" customWidth="1"/>
    <col min="32" max="34" width="9" style="76" bestFit="1" customWidth="1"/>
    <col min="35" max="36" width="9" style="76" customWidth="1"/>
    <col min="37" max="38" width="8.28515625" style="76" customWidth="1"/>
    <col min="39" max="39" width="4.140625" style="76" customWidth="1"/>
    <col min="40" max="16384" width="13.85546875" style="76"/>
  </cols>
  <sheetData>
    <row r="1" spans="2:42" ht="27" customHeight="1" x14ac:dyDescent="0.2">
      <c r="S1" s="78"/>
    </row>
    <row r="2" spans="2:42" s="80" customFormat="1" ht="27" customHeight="1" x14ac:dyDescent="0.3">
      <c r="B2" s="254" t="s">
        <v>47</v>
      </c>
      <c r="C2" s="254"/>
      <c r="D2" s="254"/>
      <c r="E2" s="254"/>
      <c r="F2" s="254"/>
      <c r="G2" s="254"/>
      <c r="H2" s="254"/>
      <c r="I2" s="254"/>
      <c r="J2" s="254"/>
      <c r="K2" s="254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</row>
    <row r="3" spans="2:42" ht="27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2:42" ht="27" customHeight="1" thickBot="1" x14ac:dyDescent="0.25"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2:42" ht="27" customHeight="1" x14ac:dyDescent="0.2">
      <c r="B5" s="81"/>
      <c r="C5" s="82"/>
      <c r="D5" s="83"/>
      <c r="E5" s="83"/>
      <c r="F5" s="83"/>
      <c r="G5" s="83"/>
      <c r="H5" s="83"/>
      <c r="I5" s="83"/>
      <c r="J5" s="83"/>
      <c r="K5" s="84"/>
    </row>
    <row r="6" spans="2:42" s="85" customFormat="1" ht="27" customHeight="1" x14ac:dyDescent="0.25">
      <c r="C6" s="255" t="s">
        <v>27</v>
      </c>
      <c r="D6" s="256"/>
      <c r="E6" s="256"/>
      <c r="F6" s="256"/>
      <c r="G6" s="256"/>
      <c r="H6" s="256"/>
      <c r="I6" s="256"/>
      <c r="J6" s="256"/>
      <c r="K6" s="257"/>
    </row>
    <row r="7" spans="2:42" ht="27" customHeight="1" thickBot="1" x14ac:dyDescent="0.25">
      <c r="B7" s="86"/>
      <c r="C7" s="87"/>
      <c r="D7" s="88"/>
      <c r="E7" s="88"/>
      <c r="F7" s="88"/>
      <c r="G7" s="88"/>
      <c r="H7" s="88"/>
      <c r="I7" s="88"/>
      <c r="J7" s="88"/>
      <c r="K7" s="89"/>
    </row>
    <row r="8" spans="2:42" s="91" customFormat="1" ht="27" customHeight="1" thickBot="1" x14ac:dyDescent="0.3">
      <c r="B8" s="90" t="s">
        <v>28</v>
      </c>
      <c r="C8" s="258" t="s">
        <v>29</v>
      </c>
      <c r="D8" s="258"/>
      <c r="E8" s="258"/>
      <c r="F8" s="258"/>
      <c r="G8" s="258"/>
      <c r="H8" s="258"/>
      <c r="I8" s="258"/>
      <c r="J8" s="258"/>
      <c r="K8" s="259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</row>
    <row r="9" spans="2:42" s="91" customFormat="1" ht="27" customHeight="1" x14ac:dyDescent="0.25">
      <c r="B9" s="92" t="s">
        <v>30</v>
      </c>
      <c r="C9" s="93" t="s">
        <v>31</v>
      </c>
      <c r="D9" s="94" t="s">
        <v>32</v>
      </c>
      <c r="E9" s="94" t="s">
        <v>6</v>
      </c>
      <c r="F9" s="94" t="s">
        <v>7</v>
      </c>
      <c r="G9" s="94" t="s">
        <v>8</v>
      </c>
      <c r="H9" s="94" t="s">
        <v>9</v>
      </c>
      <c r="I9" s="94" t="s">
        <v>10</v>
      </c>
      <c r="J9" s="94" t="s">
        <v>33</v>
      </c>
      <c r="K9" s="95" t="s">
        <v>34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</row>
    <row r="10" spans="2:42" s="91" customFormat="1" ht="27" customHeight="1" thickBot="1" x14ac:dyDescent="0.3">
      <c r="B10" s="120"/>
      <c r="C10" s="123"/>
      <c r="D10" s="96"/>
      <c r="E10" s="96"/>
      <c r="F10" s="96"/>
      <c r="G10" s="96"/>
      <c r="H10" s="96"/>
      <c r="I10" s="96"/>
      <c r="J10" s="96"/>
      <c r="K10" s="97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</row>
    <row r="11" spans="2:42" s="80" customFormat="1" ht="27" customHeight="1" x14ac:dyDescent="0.25">
      <c r="B11" s="121">
        <v>2</v>
      </c>
      <c r="C11" s="125">
        <f t="shared" ref="C11:C48" si="0">SUM(D11:K11)</f>
        <v>0</v>
      </c>
      <c r="D11" s="98"/>
      <c r="E11" s="98"/>
      <c r="F11" s="98"/>
      <c r="G11" s="98"/>
      <c r="H11" s="98"/>
      <c r="I11" s="98">
        <f>+'[2]15.Calb3t16'!AD11+'[2]16.Calb4t16'!AD11+'[2]17.Calb1t17'!AD11+'[2]18.Calb2t17'!AD11</f>
        <v>0</v>
      </c>
      <c r="J11" s="98">
        <f>+'[2]15.Calb3t16'!AE11+'[2]16.Calb4t16'!AE11+'[2]17.Calb1t17'!AE11+'[2]18.Calb2t17'!AE11</f>
        <v>0</v>
      </c>
      <c r="K11" s="99">
        <f>+'[2]15.Calb3t16'!AF11+'[2]16.Calb4t16'!AF11+'[2]17.Calb1t17'!AF11+'[2]18.Calb2t17'!AF11</f>
        <v>0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</row>
    <row r="12" spans="2:42" s="80" customFormat="1" ht="27" customHeight="1" x14ac:dyDescent="0.25">
      <c r="B12" s="104">
        <v>2.5</v>
      </c>
      <c r="C12" s="126">
        <f t="shared" si="0"/>
        <v>0</v>
      </c>
      <c r="D12" s="100"/>
      <c r="E12" s="100"/>
      <c r="F12" s="100"/>
      <c r="G12" s="100"/>
      <c r="H12" s="100"/>
      <c r="I12" s="100">
        <f>+'[2]15.Calb3t16'!AD12+'[2]16.Calb4t16'!AD12+'[2]17.Calb1t17'!AD12+'[2]18.Calb2t17'!AD12</f>
        <v>0</v>
      </c>
      <c r="J12" s="100">
        <f>+'[2]15.Calb3t16'!AE12+'[2]16.Calb4t16'!AE12+'[2]17.Calb1t17'!AE12+'[2]18.Calb2t17'!AE12</f>
        <v>0</v>
      </c>
      <c r="K12" s="101">
        <f>+'[2]15.Calb3t16'!AF12+'[2]16.Calb4t16'!AF12+'[2]17.Calb1t17'!AF12+'[2]18.Calb2t17'!AF12</f>
        <v>0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</row>
    <row r="13" spans="2:42" s="80" customFormat="1" ht="27" customHeight="1" x14ac:dyDescent="0.25">
      <c r="B13" s="104">
        <v>3</v>
      </c>
      <c r="C13" s="126">
        <f t="shared" si="0"/>
        <v>0</v>
      </c>
      <c r="D13" s="100"/>
      <c r="E13" s="100"/>
      <c r="F13" s="100"/>
      <c r="G13" s="100"/>
      <c r="H13" s="100"/>
      <c r="I13" s="100">
        <f>+'[2]15.Calb3t16'!AD13+'[2]16.Calb4t16'!AD13+'[2]17.Calb1t17'!AD13+'[2]18.Calb2t17'!AD13</f>
        <v>0</v>
      </c>
      <c r="J13" s="100">
        <f>+'[2]15.Calb3t16'!AE13+'[2]16.Calb4t16'!AE13+'[2]17.Calb1t17'!AE13+'[2]18.Calb2t17'!AE13</f>
        <v>0</v>
      </c>
      <c r="K13" s="101">
        <f>+'[2]15.Calb3t16'!AF13+'[2]16.Calb4t16'!AF13+'[2]17.Calb1t17'!AF13+'[2]18.Calb2t17'!AF13</f>
        <v>0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</row>
    <row r="14" spans="2:42" s="80" customFormat="1" ht="27" customHeight="1" x14ac:dyDescent="0.25">
      <c r="B14" s="104">
        <v>3.5</v>
      </c>
      <c r="C14" s="126">
        <f t="shared" si="0"/>
        <v>1</v>
      </c>
      <c r="D14" s="100">
        <v>1</v>
      </c>
      <c r="E14" s="100"/>
      <c r="F14" s="100"/>
      <c r="G14" s="100"/>
      <c r="H14" s="100"/>
      <c r="I14" s="100">
        <f>+'[2]15.Calb3t16'!AD14+'[2]16.Calb4t16'!AD14+'[2]17.Calb1t17'!AD14+'[2]18.Calb2t17'!AD14</f>
        <v>0</v>
      </c>
      <c r="J14" s="100">
        <f>+'[2]15.Calb3t16'!AE14+'[2]16.Calb4t16'!AE14+'[2]17.Calb1t17'!AE14+'[2]18.Calb2t17'!AE14</f>
        <v>0</v>
      </c>
      <c r="K14" s="101">
        <f>+'[2]15.Calb3t16'!AF14+'[2]16.Calb4t16'!AF14+'[2]17.Calb1t17'!AF14+'[2]18.Calb2t17'!AF14</f>
        <v>0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</row>
    <row r="15" spans="2:42" s="80" customFormat="1" ht="27" customHeight="1" x14ac:dyDescent="0.25">
      <c r="B15" s="104">
        <v>4</v>
      </c>
      <c r="C15" s="126">
        <f t="shared" si="0"/>
        <v>0</v>
      </c>
      <c r="D15" s="100"/>
      <c r="E15" s="100"/>
      <c r="F15" s="100"/>
      <c r="G15" s="100"/>
      <c r="H15" s="100"/>
      <c r="I15" s="100">
        <f>+'[2]15.Calb3t16'!AD15+'[2]16.Calb4t16'!AD15+'[2]17.Calb1t17'!AD15+'[2]18.Calb2t17'!AD15</f>
        <v>0</v>
      </c>
      <c r="J15" s="100">
        <f>+'[2]15.Calb3t16'!AE15+'[2]16.Calb4t16'!AE15+'[2]17.Calb1t17'!AE15+'[2]18.Calb2t17'!AE15</f>
        <v>0</v>
      </c>
      <c r="K15" s="101">
        <f>+'[2]15.Calb3t16'!AF15+'[2]16.Calb4t16'!AF15+'[2]17.Calb1t17'!AF15+'[2]18.Calb2t17'!AF15</f>
        <v>0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</row>
    <row r="16" spans="2:42" s="80" customFormat="1" ht="27" customHeight="1" x14ac:dyDescent="0.25">
      <c r="B16" s="104">
        <v>4.5</v>
      </c>
      <c r="C16" s="126">
        <f t="shared" si="0"/>
        <v>1</v>
      </c>
      <c r="D16" s="100">
        <v>1</v>
      </c>
      <c r="E16" s="100"/>
      <c r="F16" s="100"/>
      <c r="G16" s="100"/>
      <c r="H16" s="100"/>
      <c r="I16" s="100">
        <f>+'[2]15.Calb3t16'!AD16+'[2]16.Calb4t16'!AD16+'[2]17.Calb1t17'!AD16+'[2]18.Calb2t17'!AD16</f>
        <v>0</v>
      </c>
      <c r="J16" s="100">
        <f>+'[2]15.Calb3t16'!AE16+'[2]16.Calb4t16'!AE16+'[2]17.Calb1t17'!AE16+'[2]18.Calb2t17'!AE16</f>
        <v>0</v>
      </c>
      <c r="K16" s="101">
        <f>+'[2]15.Calb3t16'!AF16+'[2]16.Calb4t16'!AF16+'[2]17.Calb1t17'!AF16+'[2]18.Calb2t17'!AF16</f>
        <v>0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</row>
    <row r="17" spans="2:42" s="80" customFormat="1" ht="27" customHeight="1" x14ac:dyDescent="0.25">
      <c r="B17" s="104">
        <v>5</v>
      </c>
      <c r="C17" s="126">
        <f t="shared" si="0"/>
        <v>10</v>
      </c>
      <c r="D17" s="100">
        <v>10</v>
      </c>
      <c r="E17" s="100"/>
      <c r="F17" s="100"/>
      <c r="G17" s="100"/>
      <c r="H17" s="100"/>
      <c r="I17" s="100">
        <f>+'[2]15.Calb3t16'!AD17+'[2]16.Calb4t16'!AD17+'[2]17.Calb1t17'!AD17+'[2]18.Calb2t17'!AD17</f>
        <v>0</v>
      </c>
      <c r="J17" s="100">
        <f>+'[2]15.Calb3t16'!AE17+'[2]16.Calb4t16'!AE17+'[2]17.Calb1t17'!AE17+'[2]18.Calb2t17'!AE17</f>
        <v>0</v>
      </c>
      <c r="K17" s="101">
        <f>+'[2]15.Calb3t16'!AF17+'[2]16.Calb4t16'!AF17+'[2]17.Calb1t17'!AF17+'[2]18.Calb2t17'!AF17</f>
        <v>0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</row>
    <row r="18" spans="2:42" s="80" customFormat="1" ht="27" customHeight="1" x14ac:dyDescent="0.25">
      <c r="B18" s="104">
        <v>5.5</v>
      </c>
      <c r="C18" s="126">
        <f t="shared" si="0"/>
        <v>11</v>
      </c>
      <c r="D18" s="100">
        <v>11</v>
      </c>
      <c r="E18" s="100"/>
      <c r="F18" s="100"/>
      <c r="G18" s="100"/>
      <c r="H18" s="100"/>
      <c r="I18" s="100">
        <f>+'[2]15.Calb3t16'!AD18+'[2]16.Calb4t16'!AD18+'[2]17.Calb1t17'!AD18+'[2]18.Calb2t17'!AD18</f>
        <v>0</v>
      </c>
      <c r="J18" s="100">
        <f>+'[2]15.Calb3t16'!AE18+'[2]16.Calb4t16'!AE18+'[2]17.Calb1t17'!AE18+'[2]18.Calb2t17'!AE18</f>
        <v>0</v>
      </c>
      <c r="K18" s="101">
        <f>+'[2]15.Calb3t16'!AF18+'[2]16.Calb4t16'!AF18+'[2]17.Calb1t17'!AF18+'[2]18.Calb2t17'!AF18</f>
        <v>0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</row>
    <row r="19" spans="2:42" s="80" customFormat="1" ht="27" customHeight="1" x14ac:dyDescent="0.25">
      <c r="B19" s="104">
        <v>6</v>
      </c>
      <c r="C19" s="126">
        <f t="shared" si="0"/>
        <v>10</v>
      </c>
      <c r="D19" s="100">
        <v>10</v>
      </c>
      <c r="E19" s="100"/>
      <c r="F19" s="100"/>
      <c r="G19" s="100"/>
      <c r="H19" s="100"/>
      <c r="I19" s="100">
        <f>+'[2]15.Calb3t16'!AD19+'[2]16.Calb4t16'!AD19+'[2]17.Calb1t17'!AD19+'[2]18.Calb2t17'!AD19</f>
        <v>0</v>
      </c>
      <c r="J19" s="100">
        <f>+'[2]15.Calb3t16'!AE19+'[2]16.Calb4t16'!AE19+'[2]17.Calb1t17'!AE19+'[2]18.Calb2t17'!AE19</f>
        <v>0</v>
      </c>
      <c r="K19" s="101">
        <f>+'[2]15.Calb3t16'!AF19+'[2]16.Calb4t16'!AF19+'[2]17.Calb1t17'!AF19+'[2]18.Calb2t17'!AF19</f>
        <v>0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pans="2:42" s="80" customFormat="1" ht="27" customHeight="1" x14ac:dyDescent="0.25">
      <c r="B20" s="104">
        <v>6.5</v>
      </c>
      <c r="C20" s="126">
        <f t="shared" si="0"/>
        <v>10</v>
      </c>
      <c r="D20" s="100">
        <v>10</v>
      </c>
      <c r="E20" s="100"/>
      <c r="F20" s="100"/>
      <c r="G20" s="100"/>
      <c r="H20" s="100"/>
      <c r="I20" s="100">
        <f>+'[2]15.Calb3t16'!AD20+'[2]16.Calb4t16'!AD20+'[2]17.Calb1t17'!AD20+'[2]18.Calb2t17'!AD20</f>
        <v>0</v>
      </c>
      <c r="J20" s="100">
        <f>+'[2]15.Calb3t16'!AE20+'[2]16.Calb4t16'!AE20+'[2]17.Calb1t17'!AE20+'[2]18.Calb2t17'!AE20</f>
        <v>0</v>
      </c>
      <c r="K20" s="101">
        <f>+'[2]15.Calb3t16'!AF20+'[2]16.Calb4t16'!AF20+'[2]17.Calb1t17'!AF20+'[2]18.Calb2t17'!AF20</f>
        <v>0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</row>
    <row r="21" spans="2:42" s="80" customFormat="1" ht="27" customHeight="1" x14ac:dyDescent="0.25">
      <c r="B21" s="104">
        <v>7</v>
      </c>
      <c r="C21" s="126">
        <f t="shared" si="0"/>
        <v>11</v>
      </c>
      <c r="D21" s="100">
        <v>11</v>
      </c>
      <c r="E21" s="100"/>
      <c r="F21" s="100"/>
      <c r="G21" s="100"/>
      <c r="H21" s="100"/>
      <c r="I21" s="100">
        <f>+'[2]15.Calb3t16'!AD21+'[2]16.Calb4t16'!AD21+'[2]17.Calb1t17'!AD21+'[2]18.Calb2t17'!AD21</f>
        <v>0</v>
      </c>
      <c r="J21" s="100">
        <f>+'[2]15.Calb3t16'!AE21+'[2]16.Calb4t16'!AE21+'[2]17.Calb1t17'!AE21+'[2]18.Calb2t17'!AE21</f>
        <v>0</v>
      </c>
      <c r="K21" s="101">
        <f>+'[2]15.Calb3t16'!AF21+'[2]16.Calb4t16'!AF21+'[2]17.Calb1t17'!AF21+'[2]18.Calb2t17'!AF21</f>
        <v>0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</row>
    <row r="22" spans="2:42" s="80" customFormat="1" ht="27" customHeight="1" x14ac:dyDescent="0.25">
      <c r="B22" s="104">
        <v>7.5</v>
      </c>
      <c r="C22" s="126">
        <f t="shared" si="0"/>
        <v>10</v>
      </c>
      <c r="D22" s="100">
        <v>10</v>
      </c>
      <c r="E22" s="100"/>
      <c r="F22" s="100"/>
      <c r="G22" s="100"/>
      <c r="H22" s="100"/>
      <c r="I22" s="100">
        <f>+'[2]15.Calb3t16'!AD22+'[2]16.Calb4t16'!AD22+'[2]17.Calb1t17'!AD22+'[2]18.Calb2t17'!AD22</f>
        <v>0</v>
      </c>
      <c r="J22" s="100">
        <f>+'[2]15.Calb3t16'!AE22+'[2]16.Calb4t16'!AE22+'[2]17.Calb1t17'!AE22+'[2]18.Calb2t17'!AE22</f>
        <v>0</v>
      </c>
      <c r="K22" s="101">
        <f>+'[2]15.Calb3t16'!AF22+'[2]16.Calb4t16'!AF22+'[2]17.Calb1t17'!AF22+'[2]18.Calb2t17'!AF22</f>
        <v>0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</row>
    <row r="23" spans="2:42" s="80" customFormat="1" ht="27" customHeight="1" x14ac:dyDescent="0.25">
      <c r="B23" s="104">
        <v>8</v>
      </c>
      <c r="C23" s="126">
        <f t="shared" si="0"/>
        <v>10</v>
      </c>
      <c r="D23" s="100">
        <v>10</v>
      </c>
      <c r="E23" s="100"/>
      <c r="F23" s="100"/>
      <c r="G23" s="100"/>
      <c r="H23" s="100"/>
      <c r="I23" s="100">
        <f>+'[2]15.Calb3t16'!AD23+'[2]16.Calb4t16'!AD23+'[2]17.Calb1t17'!AD23+'[2]18.Calb2t17'!AD23</f>
        <v>0</v>
      </c>
      <c r="J23" s="100">
        <f>+'[2]15.Calb3t16'!AE23+'[2]16.Calb4t16'!AE23+'[2]17.Calb1t17'!AE23+'[2]18.Calb2t17'!AE23</f>
        <v>0</v>
      </c>
      <c r="K23" s="101">
        <f>+'[2]15.Calb3t16'!AF23+'[2]16.Calb4t16'!AF23+'[2]17.Calb1t17'!AF23+'[2]18.Calb2t17'!AF23</f>
        <v>0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</row>
    <row r="24" spans="2:42" s="80" customFormat="1" ht="27" customHeight="1" x14ac:dyDescent="0.25">
      <c r="B24" s="104">
        <v>8.5</v>
      </c>
      <c r="C24" s="126">
        <f t="shared" si="0"/>
        <v>10</v>
      </c>
      <c r="D24" s="100">
        <v>10</v>
      </c>
      <c r="E24" s="100"/>
      <c r="F24" s="100"/>
      <c r="G24" s="100"/>
      <c r="H24" s="100"/>
      <c r="I24" s="100">
        <f>+'[2]15.Calb3t16'!AD24+'[2]16.Calb4t16'!AD24+'[2]17.Calb1t17'!AD24+'[2]18.Calb2t17'!AD24</f>
        <v>0</v>
      </c>
      <c r="J24" s="100">
        <f>+'[2]15.Calb3t16'!AE24+'[2]16.Calb4t16'!AE24+'[2]17.Calb1t17'!AE24+'[2]18.Calb2t17'!AE24</f>
        <v>0</v>
      </c>
      <c r="K24" s="101">
        <f>+'[2]15.Calb3t16'!AF24+'[2]16.Calb4t16'!AF24+'[2]17.Calb1t17'!AF24+'[2]18.Calb2t17'!AF24</f>
        <v>0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</row>
    <row r="25" spans="2:42" s="80" customFormat="1" ht="27" customHeight="1" x14ac:dyDescent="0.25">
      <c r="B25" s="104">
        <v>9</v>
      </c>
      <c r="C25" s="126">
        <f t="shared" si="0"/>
        <v>10</v>
      </c>
      <c r="D25" s="100">
        <v>10</v>
      </c>
      <c r="E25" s="100"/>
      <c r="F25" s="100"/>
      <c r="G25" s="100"/>
      <c r="H25" s="100"/>
      <c r="I25" s="100">
        <f>+'[2]15.Calb3t16'!AD25+'[2]16.Calb4t16'!AD25+'[2]17.Calb1t17'!AD25+'[2]18.Calb2t17'!AD25</f>
        <v>0</v>
      </c>
      <c r="J25" s="100">
        <f>+'[2]15.Calb3t16'!AE25+'[2]16.Calb4t16'!AE25+'[2]17.Calb1t17'!AE25+'[2]18.Calb2t17'!AE25</f>
        <v>0</v>
      </c>
      <c r="K25" s="101">
        <f>+'[2]15.Calb3t16'!AF25+'[2]16.Calb4t16'!AF25+'[2]17.Calb1t17'!AF25+'[2]18.Calb2t17'!AF25</f>
        <v>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</row>
    <row r="26" spans="2:42" s="80" customFormat="1" ht="27" customHeight="1" x14ac:dyDescent="0.25">
      <c r="B26" s="104">
        <v>9.5</v>
      </c>
      <c r="C26" s="126">
        <f t="shared" si="0"/>
        <v>10</v>
      </c>
      <c r="D26" s="100">
        <v>10</v>
      </c>
      <c r="E26" s="100"/>
      <c r="F26" s="100"/>
      <c r="G26" s="100"/>
      <c r="H26" s="100"/>
      <c r="I26" s="100">
        <f>+'[2]15.Calb3t16'!AD26+'[2]16.Calb4t16'!AD26+'[2]17.Calb1t17'!AD26+'[2]18.Calb2t17'!AD26</f>
        <v>0</v>
      </c>
      <c r="J26" s="100">
        <f>+'[2]15.Calb3t16'!AE26+'[2]16.Calb4t16'!AE26+'[2]17.Calb1t17'!AE26+'[2]18.Calb2t17'!AE26</f>
        <v>0</v>
      </c>
      <c r="K26" s="101">
        <f>+'[2]15.Calb3t16'!AF26+'[2]16.Calb4t16'!AF26+'[2]17.Calb1t17'!AF26+'[2]18.Calb2t17'!AF26</f>
        <v>0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</row>
    <row r="27" spans="2:42" s="80" customFormat="1" ht="27" customHeight="1" x14ac:dyDescent="0.25">
      <c r="B27" s="104">
        <v>10</v>
      </c>
      <c r="C27" s="126">
        <f t="shared" si="0"/>
        <v>10</v>
      </c>
      <c r="D27" s="100">
        <v>10</v>
      </c>
      <c r="E27" s="100"/>
      <c r="F27" s="100"/>
      <c r="G27" s="100"/>
      <c r="H27" s="100"/>
      <c r="I27" s="100">
        <f>+'[2]15.Calb3t16'!AD27+'[2]16.Calb4t16'!AD27+'[2]17.Calb1t17'!AD27+'[2]18.Calb2t17'!AD27</f>
        <v>0</v>
      </c>
      <c r="J27" s="100">
        <f>+'[2]15.Calb3t16'!AE27+'[2]16.Calb4t16'!AE27+'[2]17.Calb1t17'!AE27+'[2]18.Calb2t17'!AE27</f>
        <v>0</v>
      </c>
      <c r="K27" s="101">
        <f>+'[2]15.Calb3t16'!AF27+'[2]16.Calb4t16'!AF27+'[2]17.Calb1t17'!AF27+'[2]18.Calb2t17'!AF27</f>
        <v>0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2:42" s="80" customFormat="1" ht="27" customHeight="1" x14ac:dyDescent="0.25">
      <c r="B28" s="104">
        <v>10.5</v>
      </c>
      <c r="C28" s="126">
        <f t="shared" si="0"/>
        <v>10</v>
      </c>
      <c r="D28" s="100">
        <v>10</v>
      </c>
      <c r="E28" s="100"/>
      <c r="F28" s="100"/>
      <c r="G28" s="100"/>
      <c r="H28" s="100"/>
      <c r="I28" s="100">
        <f>+'[2]15.Calb3t16'!AD28+'[2]16.Calb4t16'!AD28+'[2]17.Calb1t17'!AD28+'[2]18.Calb2t17'!AD28</f>
        <v>0</v>
      </c>
      <c r="J28" s="100">
        <f>+'[2]15.Calb3t16'!AE28+'[2]16.Calb4t16'!AE28+'[2]17.Calb1t17'!AE28+'[2]18.Calb2t17'!AE28</f>
        <v>0</v>
      </c>
      <c r="K28" s="101">
        <f>+'[2]15.Calb3t16'!AF28+'[2]16.Calb4t16'!AF28+'[2]17.Calb1t17'!AF28+'[2]18.Calb2t17'!AF28</f>
        <v>0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</row>
    <row r="29" spans="2:42" s="80" customFormat="1" ht="27" customHeight="1" x14ac:dyDescent="0.25">
      <c r="B29" s="104">
        <v>11</v>
      </c>
      <c r="C29" s="126">
        <f t="shared" si="0"/>
        <v>10</v>
      </c>
      <c r="D29" s="100">
        <v>10</v>
      </c>
      <c r="E29" s="100"/>
      <c r="F29" s="100"/>
      <c r="G29" s="100"/>
      <c r="H29" s="100"/>
      <c r="I29" s="100">
        <f>+'[2]15.Calb3t16'!AD29+'[2]16.Calb4t16'!AD29+'[2]17.Calb1t17'!AD29+'[2]18.Calb2t17'!AD29</f>
        <v>0</v>
      </c>
      <c r="J29" s="100">
        <f>+'[2]15.Calb3t16'!AE29+'[2]16.Calb4t16'!AE29+'[2]17.Calb1t17'!AE29+'[2]18.Calb2t17'!AE29</f>
        <v>0</v>
      </c>
      <c r="K29" s="101">
        <f>+'[2]15.Calb3t16'!AF29+'[2]16.Calb4t16'!AF29+'[2]17.Calb1t17'!AF29+'[2]18.Calb2t17'!AF29</f>
        <v>0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</row>
    <row r="30" spans="2:42" s="80" customFormat="1" ht="27" customHeight="1" x14ac:dyDescent="0.25">
      <c r="B30" s="104">
        <v>11.5</v>
      </c>
      <c r="C30" s="126">
        <f t="shared" si="0"/>
        <v>1</v>
      </c>
      <c r="D30" s="100">
        <v>1</v>
      </c>
      <c r="E30" s="100"/>
      <c r="F30" s="100"/>
      <c r="G30" s="100"/>
      <c r="H30" s="100"/>
      <c r="I30" s="100">
        <f>+'[2]15.Calb3t16'!AD30+'[2]16.Calb4t16'!AD30+'[2]17.Calb1t17'!AD30+'[2]18.Calb2t17'!AD30</f>
        <v>0</v>
      </c>
      <c r="J30" s="100">
        <f>+'[2]15.Calb3t16'!AE30+'[2]16.Calb4t16'!AE30+'[2]17.Calb1t17'!AE30+'[2]18.Calb2t17'!AE30</f>
        <v>0</v>
      </c>
      <c r="K30" s="101">
        <f>+'[2]15.Calb3t16'!AF30+'[2]16.Calb4t16'!AF30+'[2]17.Calb1t17'!AF30+'[2]18.Calb2t17'!AF30</f>
        <v>0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2:42" s="80" customFormat="1" ht="27" customHeight="1" x14ac:dyDescent="0.25">
      <c r="B31" s="104">
        <v>12</v>
      </c>
      <c r="C31" s="126">
        <f t="shared" si="0"/>
        <v>2</v>
      </c>
      <c r="D31" s="100">
        <v>1</v>
      </c>
      <c r="E31" s="100">
        <v>1</v>
      </c>
      <c r="F31" s="100"/>
      <c r="G31" s="100"/>
      <c r="H31" s="100"/>
      <c r="I31" s="100">
        <f>+'[2]15.Calb3t16'!AD31+'[2]16.Calb4t16'!AD31+'[2]17.Calb1t17'!AD31+'[2]18.Calb2t17'!AD31</f>
        <v>0</v>
      </c>
      <c r="J31" s="100">
        <f>+'[2]15.Calb3t16'!AE31+'[2]16.Calb4t16'!AE31+'[2]17.Calb1t17'!AE31+'[2]18.Calb2t17'!AE31</f>
        <v>0</v>
      </c>
      <c r="K31" s="101">
        <f>+'[2]15.Calb3t16'!AF31+'[2]16.Calb4t16'!AF31+'[2]17.Calb1t17'!AF31+'[2]18.Calb2t17'!AF31</f>
        <v>0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</row>
    <row r="32" spans="2:42" s="80" customFormat="1" ht="27" customHeight="1" x14ac:dyDescent="0.25">
      <c r="B32" s="104">
        <v>12.5</v>
      </c>
      <c r="C32" s="126">
        <f t="shared" si="0"/>
        <v>1</v>
      </c>
      <c r="D32" s="100">
        <v>1</v>
      </c>
      <c r="E32" s="100"/>
      <c r="F32" s="100"/>
      <c r="G32" s="100"/>
      <c r="H32" s="100"/>
      <c r="I32" s="100">
        <f>+'[2]15.Calb3t16'!AD32+'[2]16.Calb4t16'!AD32+'[2]17.Calb1t17'!AD32+'[2]18.Calb2t17'!AD32</f>
        <v>0</v>
      </c>
      <c r="J32" s="100">
        <f>+'[2]15.Calb3t16'!AE32+'[2]16.Calb4t16'!AE32+'[2]17.Calb1t17'!AE32+'[2]18.Calb2t17'!AE32</f>
        <v>0</v>
      </c>
      <c r="K32" s="101">
        <f>+'[2]15.Calb3t16'!AF32+'[2]16.Calb4t16'!AF32+'[2]17.Calb1t17'!AF32+'[2]18.Calb2t17'!AF32</f>
        <v>0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</row>
    <row r="33" spans="2:42" s="80" customFormat="1" ht="27" customHeight="1" x14ac:dyDescent="0.25">
      <c r="B33" s="104">
        <v>13</v>
      </c>
      <c r="C33" s="126">
        <f t="shared" si="0"/>
        <v>10</v>
      </c>
      <c r="D33" s="100">
        <v>4</v>
      </c>
      <c r="E33" s="100">
        <v>6</v>
      </c>
      <c r="F33" s="100"/>
      <c r="G33" s="100"/>
      <c r="H33" s="100"/>
      <c r="I33" s="100">
        <f>+'[2]15.Calb3t16'!AD33+'[2]16.Calb4t16'!AD33+'[2]17.Calb1t17'!AD33+'[2]18.Calb2t17'!AD33</f>
        <v>0</v>
      </c>
      <c r="J33" s="100">
        <f>+'[2]15.Calb3t16'!AE33+'[2]16.Calb4t16'!AE33+'[2]17.Calb1t17'!AE33+'[2]18.Calb2t17'!AE33</f>
        <v>0</v>
      </c>
      <c r="K33" s="101">
        <f>+'[2]15.Calb3t16'!AF33+'[2]16.Calb4t16'!AF33+'[2]17.Calb1t17'!AF33+'[2]18.Calb2t17'!AF33</f>
        <v>0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</row>
    <row r="34" spans="2:42" s="80" customFormat="1" ht="27" customHeight="1" x14ac:dyDescent="0.25">
      <c r="B34" s="104">
        <v>13.5</v>
      </c>
      <c r="C34" s="126">
        <f t="shared" si="0"/>
        <v>10</v>
      </c>
      <c r="D34" s="100">
        <v>4</v>
      </c>
      <c r="E34" s="100">
        <v>6</v>
      </c>
      <c r="F34" s="100"/>
      <c r="G34" s="100"/>
      <c r="H34" s="100"/>
      <c r="I34" s="100">
        <f>+'[2]15.Calb3t16'!AD34+'[2]16.Calb4t16'!AD34+'[2]17.Calb1t17'!AD34+'[2]18.Calb2t17'!AD34</f>
        <v>0</v>
      </c>
      <c r="J34" s="100">
        <f>+'[2]15.Calb3t16'!AE34+'[2]16.Calb4t16'!AE34+'[2]17.Calb1t17'!AE34+'[2]18.Calb2t17'!AE34</f>
        <v>0</v>
      </c>
      <c r="K34" s="101">
        <f>+'[2]15.Calb3t16'!AF34+'[2]16.Calb4t16'!AF34+'[2]17.Calb1t17'!AF34+'[2]18.Calb2t17'!AF34</f>
        <v>0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pans="2:42" s="80" customFormat="1" ht="27" customHeight="1" x14ac:dyDescent="0.25">
      <c r="B35" s="104">
        <v>14</v>
      </c>
      <c r="C35" s="126">
        <f t="shared" si="0"/>
        <v>7</v>
      </c>
      <c r="D35" s="100"/>
      <c r="E35" s="100">
        <v>7</v>
      </c>
      <c r="F35" s="100"/>
      <c r="G35" s="100"/>
      <c r="H35" s="100"/>
      <c r="I35" s="100">
        <f>+'[2]15.Calb3t16'!AD35+'[2]16.Calb4t16'!AD35+'[2]17.Calb1t17'!AD35+'[2]18.Calb2t17'!AD35</f>
        <v>0</v>
      </c>
      <c r="J35" s="100">
        <f>+'[2]15.Calb3t16'!AE35+'[2]16.Calb4t16'!AE35+'[2]17.Calb1t17'!AE35+'[2]18.Calb2t17'!AE35</f>
        <v>0</v>
      </c>
      <c r="K35" s="101">
        <f>+'[2]15.Calb3t16'!AF35+'[2]16.Calb4t16'!AF35+'[2]17.Calb1t17'!AF35+'[2]18.Calb2t17'!AF35</f>
        <v>0</v>
      </c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</row>
    <row r="36" spans="2:42" s="80" customFormat="1" ht="27" customHeight="1" x14ac:dyDescent="0.25">
      <c r="B36" s="104">
        <v>14.5</v>
      </c>
      <c r="C36" s="126">
        <f t="shared" si="0"/>
        <v>5</v>
      </c>
      <c r="D36" s="100"/>
      <c r="E36" s="100">
        <v>2</v>
      </c>
      <c r="F36" s="100">
        <v>3</v>
      </c>
      <c r="G36" s="100"/>
      <c r="H36" s="100"/>
      <c r="I36" s="100">
        <f>+'[2]15.Calb3t16'!AD36+'[2]16.Calb4t16'!AD36+'[2]17.Calb1t17'!AD36+'[2]18.Calb2t17'!AD36</f>
        <v>0</v>
      </c>
      <c r="J36" s="100">
        <f>+'[2]15.Calb3t16'!AE36+'[2]16.Calb4t16'!AE36+'[2]17.Calb1t17'!AE36+'[2]18.Calb2t17'!AE36</f>
        <v>0</v>
      </c>
      <c r="K36" s="101">
        <f>+'[2]15.Calb3t16'!AF36+'[2]16.Calb4t16'!AF36+'[2]17.Calb1t17'!AF36+'[2]18.Calb2t17'!AF36</f>
        <v>0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</row>
    <row r="37" spans="2:42" s="80" customFormat="1" ht="27" customHeight="1" x14ac:dyDescent="0.25">
      <c r="B37" s="104">
        <v>15</v>
      </c>
      <c r="C37" s="126">
        <f t="shared" si="0"/>
        <v>4</v>
      </c>
      <c r="D37" s="100"/>
      <c r="E37" s="100">
        <v>1</v>
      </c>
      <c r="F37" s="100">
        <v>2</v>
      </c>
      <c r="G37" s="100">
        <v>1</v>
      </c>
      <c r="H37" s="100"/>
      <c r="I37" s="100">
        <f>+'[2]15.Calb3t16'!AD37+'[2]16.Calb4t16'!AD37+'[2]17.Calb1t17'!AD37+'[2]18.Calb2t17'!AD37</f>
        <v>0</v>
      </c>
      <c r="J37" s="100">
        <f>+'[2]15.Calb3t16'!AE37+'[2]16.Calb4t16'!AE37+'[2]17.Calb1t17'!AE37+'[2]18.Calb2t17'!AE37</f>
        <v>0</v>
      </c>
      <c r="K37" s="101">
        <f>+'[2]15.Calb3t16'!AF37+'[2]16.Calb4t16'!AF37+'[2]17.Calb1t17'!AF37+'[2]18.Calb2t17'!AF37</f>
        <v>0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</row>
    <row r="38" spans="2:42" s="80" customFormat="1" ht="27" customHeight="1" x14ac:dyDescent="0.25">
      <c r="B38" s="104">
        <v>15.5</v>
      </c>
      <c r="C38" s="126">
        <f t="shared" si="0"/>
        <v>10</v>
      </c>
      <c r="D38" s="100"/>
      <c r="E38" s="100"/>
      <c r="F38" s="100">
        <v>10</v>
      </c>
      <c r="G38" s="100"/>
      <c r="H38" s="100"/>
      <c r="I38" s="100">
        <f>+'[2]15.Calb3t16'!AD38+'[2]16.Calb4t16'!AD38+'[2]17.Calb1t17'!AD38+'[2]18.Calb2t17'!AD38</f>
        <v>0</v>
      </c>
      <c r="J38" s="100">
        <f>+'[2]15.Calb3t16'!AE38+'[2]16.Calb4t16'!AE38+'[2]17.Calb1t17'!AE38+'[2]18.Calb2t17'!AE38</f>
        <v>0</v>
      </c>
      <c r="K38" s="101">
        <f>+'[2]15.Calb3t16'!AF38+'[2]16.Calb4t16'!AF38+'[2]17.Calb1t17'!AF38+'[2]18.Calb2t17'!AF38</f>
        <v>0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</row>
    <row r="39" spans="2:42" s="80" customFormat="1" ht="27" customHeight="1" x14ac:dyDescent="0.25">
      <c r="B39" s="104">
        <v>16</v>
      </c>
      <c r="C39" s="126">
        <f t="shared" si="0"/>
        <v>10</v>
      </c>
      <c r="D39" s="100"/>
      <c r="E39" s="100"/>
      <c r="F39" s="100">
        <v>5</v>
      </c>
      <c r="G39" s="100">
        <v>5</v>
      </c>
      <c r="H39" s="100"/>
      <c r="I39" s="100">
        <f>+'[2]15.Calb3t16'!AD39+'[2]16.Calb4t16'!AD39+'[2]17.Calb1t17'!AD39+'[2]18.Calb2t17'!AD39</f>
        <v>0</v>
      </c>
      <c r="J39" s="100">
        <f>+'[2]15.Calb3t16'!AE39+'[2]16.Calb4t16'!AE39+'[2]17.Calb1t17'!AE39+'[2]18.Calb2t17'!AE39</f>
        <v>0</v>
      </c>
      <c r="K39" s="101">
        <f>+'[2]15.Calb3t16'!AF39+'[2]16.Calb4t16'!AF39+'[2]17.Calb1t17'!AF39+'[2]18.Calb2t17'!AF39</f>
        <v>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</row>
    <row r="40" spans="2:42" s="80" customFormat="1" ht="27" customHeight="1" x14ac:dyDescent="0.25">
      <c r="B40" s="104">
        <v>16.5</v>
      </c>
      <c r="C40" s="126">
        <f t="shared" si="0"/>
        <v>8</v>
      </c>
      <c r="D40" s="100"/>
      <c r="E40" s="100"/>
      <c r="F40" s="100">
        <v>4</v>
      </c>
      <c r="G40" s="100">
        <v>4</v>
      </c>
      <c r="H40" s="100"/>
      <c r="I40" s="100">
        <f>+'[2]15.Calb3t16'!AD40+'[2]16.Calb4t16'!AD40+'[2]17.Calb1t17'!AD40+'[2]18.Calb2t17'!AD40</f>
        <v>0</v>
      </c>
      <c r="J40" s="100">
        <f>+'[2]15.Calb3t16'!AE40+'[2]16.Calb4t16'!AE40+'[2]17.Calb1t17'!AE40+'[2]18.Calb2t17'!AE40</f>
        <v>0</v>
      </c>
      <c r="K40" s="101">
        <f>+'[2]15.Calb3t16'!AF40+'[2]16.Calb4t16'!AF40+'[2]17.Calb1t17'!AF40+'[2]18.Calb2t17'!AF40</f>
        <v>0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</row>
    <row r="41" spans="2:42" s="80" customFormat="1" ht="27" customHeight="1" x14ac:dyDescent="0.25">
      <c r="B41" s="104">
        <v>17</v>
      </c>
      <c r="C41" s="126">
        <f t="shared" si="0"/>
        <v>1</v>
      </c>
      <c r="D41" s="100"/>
      <c r="E41" s="100"/>
      <c r="F41" s="100"/>
      <c r="G41" s="100">
        <v>1</v>
      </c>
      <c r="H41" s="100"/>
      <c r="I41" s="100"/>
      <c r="J41" s="100"/>
      <c r="K41" s="101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</row>
    <row r="42" spans="2:42" s="80" customFormat="1" ht="27" customHeight="1" x14ac:dyDescent="0.25">
      <c r="B42" s="104">
        <v>17.5</v>
      </c>
      <c r="C42" s="126">
        <f t="shared" si="0"/>
        <v>0</v>
      </c>
      <c r="D42" s="100"/>
      <c r="E42" s="100"/>
      <c r="F42" s="100"/>
      <c r="G42" s="100"/>
      <c r="H42" s="100"/>
      <c r="I42" s="100"/>
      <c r="J42" s="100"/>
      <c r="K42" s="101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</row>
    <row r="43" spans="2:42" s="80" customFormat="1" ht="27" customHeight="1" x14ac:dyDescent="0.25">
      <c r="B43" s="104">
        <v>18</v>
      </c>
      <c r="C43" s="126">
        <f t="shared" si="0"/>
        <v>0</v>
      </c>
      <c r="D43" s="100"/>
      <c r="E43" s="100"/>
      <c r="F43" s="100"/>
      <c r="G43" s="100"/>
      <c r="H43" s="100"/>
      <c r="I43" s="100"/>
      <c r="J43" s="100"/>
      <c r="K43" s="101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</row>
    <row r="44" spans="2:42" s="80" customFormat="1" ht="27" customHeight="1" x14ac:dyDescent="0.25">
      <c r="B44" s="104">
        <v>18.5</v>
      </c>
      <c r="C44" s="126">
        <f t="shared" si="0"/>
        <v>0</v>
      </c>
      <c r="D44" s="100"/>
      <c r="E44" s="100"/>
      <c r="F44" s="100"/>
      <c r="G44" s="100"/>
      <c r="H44" s="100"/>
      <c r="I44" s="100"/>
      <c r="J44" s="100"/>
      <c r="K44" s="101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</row>
    <row r="45" spans="2:42" s="80" customFormat="1" ht="27" customHeight="1" x14ac:dyDescent="0.25">
      <c r="B45" s="104">
        <v>19</v>
      </c>
      <c r="C45" s="126">
        <f t="shared" si="0"/>
        <v>0</v>
      </c>
      <c r="D45" s="100"/>
      <c r="E45" s="100"/>
      <c r="F45" s="100"/>
      <c r="G45" s="100"/>
      <c r="H45" s="100"/>
      <c r="I45" s="100">
        <f>+'[2]15.Calb3t16'!AD41+'[2]16.Calb4t16'!AD41+'[2]17.Calb1t17'!AD41+'[2]18.Calb2t17'!AD41</f>
        <v>0</v>
      </c>
      <c r="J45" s="100">
        <f>+'[2]15.Calb3t16'!AE41+'[2]16.Calb4t16'!AE41+'[2]17.Calb1t17'!AE41+'[2]18.Calb2t17'!AE41</f>
        <v>0</v>
      </c>
      <c r="K45" s="101">
        <f>+'[2]15.Calb3t16'!AF41+'[2]16.Calb4t16'!AF41+'[2]17.Calb1t17'!AF41+'[2]18.Calb2t17'!AF41</f>
        <v>0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</row>
    <row r="46" spans="2:42" s="80" customFormat="1" ht="27" customHeight="1" x14ac:dyDescent="0.25">
      <c r="B46" s="104">
        <v>19.5</v>
      </c>
      <c r="C46" s="126">
        <f t="shared" si="0"/>
        <v>0</v>
      </c>
      <c r="D46" s="100"/>
      <c r="E46" s="100"/>
      <c r="F46" s="100"/>
      <c r="G46" s="100"/>
      <c r="H46" s="100"/>
      <c r="I46" s="100">
        <f>+'[2]15.Calb3t16'!AD42+'[2]16.Calb4t16'!AD42+'[2]17.Calb1t17'!AD42+'[2]18.Calb2t17'!AD42</f>
        <v>0</v>
      </c>
      <c r="J46" s="100">
        <f>+'[2]15.Calb3t16'!AE42+'[2]16.Calb4t16'!AE42+'[2]17.Calb1t17'!AE42+'[2]18.Calb2t17'!AE42</f>
        <v>0</v>
      </c>
      <c r="K46" s="101">
        <f>+'[2]15.Calb3t16'!AF42+'[2]16.Calb4t16'!AF42+'[2]17.Calb1t17'!AF42+'[2]18.Calb2t17'!AF42</f>
        <v>0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</row>
    <row r="47" spans="2:42" s="80" customFormat="1" ht="27" customHeight="1" x14ac:dyDescent="0.25">
      <c r="B47" s="104">
        <v>20</v>
      </c>
      <c r="C47" s="126">
        <f t="shared" si="0"/>
        <v>0</v>
      </c>
      <c r="D47" s="100"/>
      <c r="E47" s="100"/>
      <c r="F47" s="100"/>
      <c r="G47" s="100"/>
      <c r="H47" s="100"/>
      <c r="I47" s="100">
        <f>+'[2]15.Calb3t16'!AD43+'[2]16.Calb4t16'!AD43+'[2]17.Calb1t17'!AD43+'[2]18.Calb2t17'!AD43</f>
        <v>0</v>
      </c>
      <c r="J47" s="100">
        <f>+'[2]15.Calb3t16'!AE43+'[2]16.Calb4t16'!AE43+'[2]17.Calb1t17'!AE43+'[2]18.Calb2t17'!AE43</f>
        <v>0</v>
      </c>
      <c r="K47" s="101">
        <f>+'[2]15.Calb3t16'!AF43+'[2]16.Calb4t16'!AF43+'[2]17.Calb1t17'!AF43+'[2]18.Calb2t17'!AF43</f>
        <v>0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</row>
    <row r="48" spans="2:42" s="80" customFormat="1" ht="27" customHeight="1" thickBot="1" x14ac:dyDescent="0.3">
      <c r="B48" s="122"/>
      <c r="C48" s="127">
        <f t="shared" si="0"/>
        <v>0</v>
      </c>
      <c r="D48" s="102">
        <f>+'[2]15.Calb3t16'!Y44+'[2]16.Calb4t16'!Y44+'[2]17.Calb1t17'!Y44+'[2]18.Calb2t17'!Y44</f>
        <v>0</v>
      </c>
      <c r="E48" s="102">
        <f>+'[2]15.Calb3t16'!Z44+'[2]16.Calb4t16'!Z44+'[2]17.Calb1t17'!Z44+'[2]18.Calb2t17'!Z44</f>
        <v>0</v>
      </c>
      <c r="F48" s="102">
        <f>+'[2]15.Calb3t16'!AA44+'[2]16.Calb4t16'!AA44+'[2]17.Calb1t17'!AA44+'[2]18.Calb2t17'!AA44</f>
        <v>0</v>
      </c>
      <c r="G48" s="102">
        <f>+'[2]15.Calb3t16'!AB44+'[2]16.Calb4t16'!AB44+'[2]17.Calb1t17'!AB44+'[2]18.Calb2t17'!AB44</f>
        <v>0</v>
      </c>
      <c r="H48" s="102">
        <f>+'[2]15.Calb3t16'!AC44+'[2]16.Calb4t16'!AC44+'[2]17.Calb1t17'!AC44+'[2]18.Calb2t17'!AC44</f>
        <v>0</v>
      </c>
      <c r="I48" s="102">
        <f>+'[2]15.Calb3t16'!AD44+'[2]16.Calb4t16'!AD44+'[2]17.Calb1t17'!AD44+'[2]18.Calb2t17'!AD44</f>
        <v>0</v>
      </c>
      <c r="J48" s="102">
        <f>+'[2]15.Calb3t16'!AE44+'[2]16.Calb4t16'!AE44+'[2]17.Calb1t17'!AE44+'[2]18.Calb2t17'!AE44</f>
        <v>0</v>
      </c>
      <c r="K48" s="103">
        <f>+'[2]15.Calb3t16'!AF44+'[2]16.Calb4t16'!AF44+'[2]17.Calb1t17'!AF44+'[2]18.Calb2t17'!AF44</f>
        <v>0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</row>
    <row r="49" spans="2:42" s="80" customFormat="1" ht="27" customHeight="1" x14ac:dyDescent="0.25">
      <c r="B49" s="104"/>
      <c r="C49" s="124"/>
      <c r="D49" s="105"/>
      <c r="E49" s="105"/>
      <c r="F49" s="105"/>
      <c r="G49" s="105"/>
      <c r="H49" s="105"/>
      <c r="I49" s="105"/>
      <c r="J49" s="105"/>
      <c r="K49" s="10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</row>
    <row r="50" spans="2:42" s="80" customFormat="1" ht="27" customHeight="1" x14ac:dyDescent="0.25">
      <c r="B50" s="107" t="s">
        <v>21</v>
      </c>
      <c r="C50" s="108">
        <f t="shared" ref="C50:K50" si="1">SUM(C11:C48)</f>
        <v>203</v>
      </c>
      <c r="D50" s="109">
        <f t="shared" si="1"/>
        <v>145</v>
      </c>
      <c r="E50" s="109">
        <f t="shared" si="1"/>
        <v>23</v>
      </c>
      <c r="F50" s="109">
        <f t="shared" si="1"/>
        <v>24</v>
      </c>
      <c r="G50" s="109">
        <f t="shared" si="1"/>
        <v>11</v>
      </c>
      <c r="H50" s="109">
        <f t="shared" si="1"/>
        <v>0</v>
      </c>
      <c r="I50" s="109">
        <f t="shared" si="1"/>
        <v>0</v>
      </c>
      <c r="J50" s="109">
        <f t="shared" si="1"/>
        <v>0</v>
      </c>
      <c r="K50" s="110">
        <f t="shared" si="1"/>
        <v>0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</row>
    <row r="51" spans="2:42" s="115" customFormat="1" ht="27" customHeight="1" x14ac:dyDescent="0.25">
      <c r="B51" s="111" t="s">
        <v>18</v>
      </c>
      <c r="C51" s="112">
        <f>SUM(D51:K51)</f>
        <v>100</v>
      </c>
      <c r="D51" s="113">
        <f t="shared" ref="D51:K51" si="2">IF(D50=0,0,+(D50/$C50)*100)</f>
        <v>71.428571428571431</v>
      </c>
      <c r="E51" s="113">
        <f t="shared" si="2"/>
        <v>11.330049261083744</v>
      </c>
      <c r="F51" s="113">
        <f t="shared" si="2"/>
        <v>11.822660098522167</v>
      </c>
      <c r="G51" s="113">
        <f t="shared" si="2"/>
        <v>5.4187192118226601</v>
      </c>
      <c r="H51" s="113">
        <f t="shared" si="2"/>
        <v>0</v>
      </c>
      <c r="I51" s="113">
        <f t="shared" si="2"/>
        <v>0</v>
      </c>
      <c r="J51" s="113">
        <f t="shared" si="2"/>
        <v>0</v>
      </c>
      <c r="K51" s="114">
        <f t="shared" si="2"/>
        <v>0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</row>
    <row r="52" spans="2:42" s="80" customFormat="1" ht="27" customHeight="1" thickBot="1" x14ac:dyDescent="0.3">
      <c r="B52" s="116"/>
      <c r="C52" s="117"/>
      <c r="D52" s="118"/>
      <c r="E52" s="118"/>
      <c r="F52" s="118"/>
      <c r="G52" s="118"/>
      <c r="H52" s="118"/>
      <c r="I52" s="118"/>
      <c r="J52" s="118"/>
      <c r="K52" s="119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Ab-an-biol</vt:lpstr>
      <vt:lpstr>clave an-biol</vt:lpstr>
      <vt:lpstr>Ab-an-calendario</vt:lpstr>
      <vt:lpstr>clave an-calendario</vt:lpstr>
      <vt:lpstr>Ab-SardinaComún</vt:lpstr>
      <vt:lpstr>Crms_cru</vt:lpstr>
      <vt:lpstr>clave sc</vt:lpstr>
      <vt:lpstr>'Ab-an-biol'!Área_de_impresión</vt:lpstr>
      <vt:lpstr>'Ab-an-calendario'!Área_de_impresión</vt:lpstr>
      <vt:lpstr>'Ab-SardinaComún'!Área_de_impresión</vt:lpstr>
      <vt:lpstr>'clave an-biol'!Área_de_impresión</vt:lpstr>
      <vt:lpstr>'clave an-calendario'!Área_de_impresión</vt:lpstr>
      <vt:lpstr>'clave sc'!Área_de_impresión</vt:lpstr>
      <vt:lpstr>'clave an-biol'!Imprimir_área_IM</vt:lpstr>
      <vt:lpstr>'clave an-calendario'!Imprimir_área_IM</vt:lpstr>
      <vt:lpstr>'clave sc'!Imprimir_área_IM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Microsoft Office User</cp:lastModifiedBy>
  <dcterms:created xsi:type="dcterms:W3CDTF">2019-02-20T17:15:42Z</dcterms:created>
  <dcterms:modified xsi:type="dcterms:W3CDTF">2021-04-05T19:02:19Z</dcterms:modified>
</cp:coreProperties>
</file>