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lejandra\2_AAranis\Activiades anexas\2021\Solicitudes Varias\MJ Zuñiga\SCI_2020_IFP\"/>
    </mc:Choice>
  </mc:AlternateContent>
  <xr:revisionPtr revIDLastSave="0" documentId="13_ncr:1_{03C75503-8278-4589-8A14-5E42FD74AEB4}" xr6:coauthVersionLast="45" xr6:coauthVersionMax="45" xr10:uidLastSave="{00000000-0000-0000-0000-000000000000}"/>
  <bookViews>
    <workbookView xWindow="-110" yWindow="-110" windowWidth="19420" windowHeight="10420" tabRatio="868" xr2:uid="{00000000-000D-0000-FFFF-FFFF00000000}"/>
  </bookViews>
  <sheets>
    <sheet name="V-XIV R ART COMERCIAL" sheetId="87" r:id="rId1"/>
    <sheet name="V-XIV R ART (MONITOREOS)" sheetId="89" r:id="rId2"/>
    <sheet name="X R Art COMERCIAL" sheetId="75" r:id="rId3"/>
    <sheet name="X R Art MONITOREO" sheetId="94" r:id="rId4"/>
  </sheets>
  <definedNames>
    <definedName name="_xlnm.Print_Area" localSheetId="1">'V-XIV R ART (MONITOREOS)'!$A$1:$N$52</definedName>
    <definedName name="_xlnm.Print_Area" localSheetId="0">'V-XIV R ART COMERCIAL'!$A$1:$N$52</definedName>
    <definedName name="_xlnm.Print_Area" localSheetId="2">'X R Art COMERCIAL'!$A$1:$N$52</definedName>
    <definedName name="_xlnm.Print_Area" localSheetId="3">'X R Art MONITOREO'!$A$1:$N$52</definedName>
    <definedName name="Estruct_Tallas_2">#REF!</definedName>
  </definedNames>
  <calcPr calcId="181029"/>
</workbook>
</file>

<file path=xl/calcChain.xml><?xml version="1.0" encoding="utf-8"?>
<calcChain xmlns="http://schemas.openxmlformats.org/spreadsheetml/2006/main">
  <c r="L48" i="75" l="1"/>
  <c r="M48" i="75"/>
  <c r="N47" i="94" l="1"/>
  <c r="N46" i="94"/>
  <c r="N45" i="94"/>
  <c r="N48" i="94" s="1"/>
  <c r="L45" i="94"/>
  <c r="L48" i="94" s="1"/>
  <c r="K45" i="94"/>
  <c r="K48" i="94" s="1"/>
  <c r="K45" i="87" l="1"/>
  <c r="J45" i="87"/>
  <c r="I45" i="87"/>
  <c r="H45" i="87"/>
  <c r="F45" i="87"/>
  <c r="D45" i="87"/>
  <c r="C45" i="87"/>
  <c r="C48" i="87" s="1"/>
  <c r="M45" i="87"/>
  <c r="M45" i="75"/>
  <c r="L45" i="75"/>
  <c r="K45" i="75"/>
  <c r="J45" i="75"/>
  <c r="I45" i="75"/>
  <c r="H45" i="75"/>
  <c r="G45" i="75"/>
  <c r="F45" i="75"/>
  <c r="E45" i="75"/>
  <c r="D45" i="75"/>
  <c r="C45" i="75"/>
  <c r="B45" i="75"/>
  <c r="C45" i="94"/>
  <c r="B45" i="94"/>
  <c r="G45" i="87" l="1"/>
  <c r="B45" i="87"/>
  <c r="H48" i="87"/>
  <c r="E45" i="87"/>
  <c r="M48" i="87"/>
  <c r="L45" i="87"/>
  <c r="L48" i="87" s="1"/>
  <c r="G48" i="75" l="1"/>
  <c r="F48" i="75" l="1"/>
  <c r="B48" i="75"/>
  <c r="B45" i="89" l="1"/>
  <c r="L45" i="89" l="1"/>
  <c r="H45" i="89"/>
  <c r="D45" i="89" l="1"/>
  <c r="E45" i="89"/>
  <c r="I45" i="89"/>
  <c r="I48" i="89" s="1"/>
  <c r="M45" i="89"/>
  <c r="H54" i="89"/>
  <c r="F45" i="89"/>
  <c r="J45" i="89"/>
  <c r="J48" i="89" s="1"/>
  <c r="C45" i="89"/>
  <c r="G45" i="89"/>
  <c r="K45" i="89"/>
  <c r="K48" i="89" s="1"/>
  <c r="M54" i="89"/>
  <c r="F54" i="89"/>
  <c r="J54" i="89"/>
  <c r="L54" i="89"/>
  <c r="K54" i="89"/>
  <c r="G54" i="89"/>
  <c r="I54" i="89"/>
  <c r="I48" i="75" l="1"/>
  <c r="J48" i="75"/>
  <c r="B54" i="89" l="1"/>
  <c r="B48" i="89"/>
  <c r="I56" i="75" l="1"/>
  <c r="J56" i="75"/>
  <c r="K56" i="75"/>
  <c r="L56" i="75"/>
  <c r="M56" i="75"/>
  <c r="H56" i="75"/>
  <c r="E56" i="75"/>
  <c r="N15" i="94" l="1"/>
  <c r="N27" i="94" l="1"/>
  <c r="N28" i="94"/>
  <c r="N29" i="94"/>
  <c r="N30" i="94"/>
  <c r="N31" i="94"/>
  <c r="N32" i="94"/>
  <c r="N33" i="94"/>
  <c r="N41" i="94"/>
  <c r="N42" i="94"/>
  <c r="N43" i="94"/>
  <c r="H48" i="75" l="1"/>
  <c r="N46" i="87" l="1"/>
  <c r="J54" i="87"/>
  <c r="H54" i="87"/>
  <c r="I54" i="87"/>
  <c r="M54" i="87"/>
  <c r="L54" i="87"/>
  <c r="K54" i="87"/>
  <c r="N43" i="87"/>
  <c r="G56" i="94" l="1"/>
  <c r="C56" i="94"/>
  <c r="B56" i="94"/>
  <c r="C59" i="89"/>
  <c r="E58" i="89"/>
  <c r="M61" i="94"/>
  <c r="L61" i="94"/>
  <c r="K61" i="94"/>
  <c r="J61" i="94"/>
  <c r="I61" i="94"/>
  <c r="H61" i="94"/>
  <c r="G61" i="94"/>
  <c r="F61" i="94"/>
  <c r="E61" i="94"/>
  <c r="D61" i="94"/>
  <c r="C61" i="94"/>
  <c r="B61" i="94"/>
  <c r="M60" i="94"/>
  <c r="L60" i="94"/>
  <c r="K60" i="94"/>
  <c r="J60" i="94"/>
  <c r="I60" i="94"/>
  <c r="H60" i="94"/>
  <c r="G60" i="94"/>
  <c r="F60" i="94"/>
  <c r="E60" i="94"/>
  <c r="D60" i="94"/>
  <c r="C60" i="94"/>
  <c r="B60" i="94"/>
  <c r="M56" i="94"/>
  <c r="L56" i="94"/>
  <c r="K56" i="94"/>
  <c r="J56" i="94"/>
  <c r="I56" i="94"/>
  <c r="H56" i="94"/>
  <c r="O55" i="94"/>
  <c r="N40" i="94"/>
  <c r="N39" i="94"/>
  <c r="N38" i="94"/>
  <c r="N37" i="94"/>
  <c r="N36" i="94"/>
  <c r="N35" i="94"/>
  <c r="N34" i="94"/>
  <c r="N26" i="94"/>
  <c r="N25" i="94"/>
  <c r="N24" i="94"/>
  <c r="N23" i="94"/>
  <c r="N22" i="94"/>
  <c r="N21" i="94"/>
  <c r="N20" i="94"/>
  <c r="N19" i="94"/>
  <c r="N18" i="94"/>
  <c r="N17" i="94"/>
  <c r="N16" i="94"/>
  <c r="A10" i="94"/>
  <c r="A11" i="94" s="1"/>
  <c r="O11" i="94" s="1"/>
  <c r="O9" i="94"/>
  <c r="C48" i="75"/>
  <c r="D48" i="75"/>
  <c r="M61" i="75"/>
  <c r="L61" i="75"/>
  <c r="K61" i="75"/>
  <c r="J61" i="75"/>
  <c r="I61" i="75"/>
  <c r="H61" i="75"/>
  <c r="G61" i="75"/>
  <c r="F61" i="75"/>
  <c r="E61" i="75"/>
  <c r="D61" i="75"/>
  <c r="C61" i="75"/>
  <c r="B61" i="75"/>
  <c r="M60" i="75"/>
  <c r="L60" i="75"/>
  <c r="K60" i="75"/>
  <c r="J60" i="75"/>
  <c r="I60" i="75"/>
  <c r="H60" i="75"/>
  <c r="G60" i="75"/>
  <c r="F60" i="75"/>
  <c r="E60" i="75"/>
  <c r="D60" i="75"/>
  <c r="C60" i="75"/>
  <c r="B60" i="75"/>
  <c r="O46" i="87"/>
  <c r="O9" i="75"/>
  <c r="O55" i="75"/>
  <c r="N44" i="87"/>
  <c r="L59" i="87"/>
  <c r="B54" i="87"/>
  <c r="N46" i="89"/>
  <c r="K59" i="89"/>
  <c r="H59" i="89"/>
  <c r="M59" i="89"/>
  <c r="D59" i="89"/>
  <c r="N18" i="89"/>
  <c r="N14" i="89"/>
  <c r="G58" i="89"/>
  <c r="I58" i="87"/>
  <c r="O53" i="89"/>
  <c r="A10" i="89"/>
  <c r="O9" i="89"/>
  <c r="A10" i="87"/>
  <c r="A11" i="87"/>
  <c r="O11" i="87" s="1"/>
  <c r="O9" i="87"/>
  <c r="A10" i="75"/>
  <c r="O10" i="75"/>
  <c r="N19" i="75"/>
  <c r="N20" i="75"/>
  <c r="N21" i="75"/>
  <c r="N22" i="75"/>
  <c r="N23" i="75"/>
  <c r="N24" i="75"/>
  <c r="N25" i="75"/>
  <c r="N26" i="75"/>
  <c r="N27" i="75"/>
  <c r="N28" i="75"/>
  <c r="N29" i="75"/>
  <c r="N30" i="75"/>
  <c r="N31" i="75"/>
  <c r="N32" i="75"/>
  <c r="N33" i="75"/>
  <c r="N34" i="75"/>
  <c r="N35" i="75"/>
  <c r="N36" i="75"/>
  <c r="N37" i="75"/>
  <c r="N38" i="75"/>
  <c r="N39" i="75"/>
  <c r="N40" i="75"/>
  <c r="N41" i="75"/>
  <c r="N46" i="75"/>
  <c r="N47" i="75"/>
  <c r="M58" i="87"/>
  <c r="I58" i="89"/>
  <c r="L59" i="89"/>
  <c r="M58" i="89"/>
  <c r="B59" i="87"/>
  <c r="A11" i="75"/>
  <c r="O11" i="75" s="1"/>
  <c r="L58" i="89"/>
  <c r="J67" i="89"/>
  <c r="B67" i="87"/>
  <c r="G59" i="89"/>
  <c r="A12" i="87"/>
  <c r="A13" i="87" s="1"/>
  <c r="B58" i="87"/>
  <c r="I67" i="89"/>
  <c r="N9" i="87"/>
  <c r="I59" i="89"/>
  <c r="O10" i="87"/>
  <c r="M67" i="89"/>
  <c r="O10" i="89"/>
  <c r="A11" i="89"/>
  <c r="O11" i="89" s="1"/>
  <c r="K67" i="89"/>
  <c r="I67" i="87"/>
  <c r="E59" i="89"/>
  <c r="N12" i="87"/>
  <c r="J67" i="87"/>
  <c r="I59" i="87"/>
  <c r="M59" i="87"/>
  <c r="J59" i="87"/>
  <c r="H59" i="87"/>
  <c r="L58" i="87"/>
  <c r="H67" i="87"/>
  <c r="M67" i="87"/>
  <c r="L67" i="87"/>
  <c r="H58" i="87"/>
  <c r="K67" i="87"/>
  <c r="J58" i="87"/>
  <c r="O12" i="87"/>
  <c r="N42" i="87"/>
  <c r="A12" i="94"/>
  <c r="N47" i="89"/>
  <c r="F58" i="89"/>
  <c r="B58" i="89"/>
  <c r="N10" i="89"/>
  <c r="N11" i="89"/>
  <c r="N12" i="89"/>
  <c r="N13" i="89"/>
  <c r="C58" i="89"/>
  <c r="N11" i="87"/>
  <c r="C59" i="87"/>
  <c r="A12" i="75"/>
  <c r="O12" i="75" s="1"/>
  <c r="D58" i="89"/>
  <c r="N40" i="87"/>
  <c r="D48" i="89"/>
  <c r="N17" i="89"/>
  <c r="N16" i="89"/>
  <c r="B59" i="89"/>
  <c r="B67" i="89"/>
  <c r="N47" i="87"/>
  <c r="E59" i="87"/>
  <c r="A13" i="75"/>
  <c r="F59" i="89"/>
  <c r="H58" i="89"/>
  <c r="H67" i="89"/>
  <c r="G67" i="89"/>
  <c r="K58" i="89"/>
  <c r="C48" i="89"/>
  <c r="J59" i="89"/>
  <c r="F67" i="89"/>
  <c r="J58" i="89"/>
  <c r="C58" i="87"/>
  <c r="K59" i="87"/>
  <c r="N41" i="87"/>
  <c r="G59" i="87"/>
  <c r="E58" i="87"/>
  <c r="N28" i="87"/>
  <c r="N29" i="87"/>
  <c r="N35" i="87"/>
  <c r="N37" i="87"/>
  <c r="N17" i="87"/>
  <c r="N19" i="87"/>
  <c r="N23" i="87"/>
  <c r="N25" i="87"/>
  <c r="N34" i="87"/>
  <c r="D59" i="87"/>
  <c r="E48" i="87"/>
  <c r="N14" i="87"/>
  <c r="D48" i="87"/>
  <c r="N38" i="87"/>
  <c r="N30" i="87"/>
  <c r="N31" i="87"/>
  <c r="N39" i="87"/>
  <c r="N22" i="87"/>
  <c r="F59" i="87"/>
  <c r="N16" i="87"/>
  <c r="N32" i="87"/>
  <c r="N15" i="87"/>
  <c r="D58" i="87"/>
  <c r="N20" i="87"/>
  <c r="N24" i="87"/>
  <c r="F58" i="87"/>
  <c r="N18" i="87"/>
  <c r="N21" i="87"/>
  <c r="N26" i="87"/>
  <c r="N36" i="87"/>
  <c r="G48" i="87"/>
  <c r="N33" i="87"/>
  <c r="F48" i="87"/>
  <c r="N13" i="87"/>
  <c r="G58" i="87"/>
  <c r="N27" i="87"/>
  <c r="A13" i="94"/>
  <c r="A14" i="94" s="1"/>
  <c r="O12" i="94"/>
  <c r="O13" i="75"/>
  <c r="A14" i="75"/>
  <c r="O14" i="75" s="1"/>
  <c r="A15" i="75"/>
  <c r="A16" i="75" s="1"/>
  <c r="O47" i="87" l="1"/>
  <c r="N45" i="75"/>
  <c r="N45" i="87"/>
  <c r="N61" i="87" s="1"/>
  <c r="O15" i="75"/>
  <c r="Q47" i="87"/>
  <c r="Q50" i="89" s="1"/>
  <c r="A14" i="87"/>
  <c r="O13" i="87"/>
  <c r="O14" i="94"/>
  <c r="A15" i="94"/>
  <c r="O16" i="75"/>
  <c r="A17" i="75"/>
  <c r="O13" i="94"/>
  <c r="A12" i="89"/>
  <c r="N56" i="89"/>
  <c r="O10" i="94"/>
  <c r="Q47" i="89"/>
  <c r="Q48" i="89" s="1"/>
  <c r="Q52" i="89"/>
  <c r="N56" i="87"/>
  <c r="N60" i="75"/>
  <c r="N60" i="94"/>
  <c r="N61" i="94"/>
  <c r="P46" i="87"/>
  <c r="N61" i="75"/>
  <c r="P47" i="87"/>
  <c r="A15" i="87"/>
  <c r="O14" i="87"/>
  <c r="N22" i="89"/>
  <c r="N26" i="89"/>
  <c r="L67" i="89"/>
  <c r="N30" i="89"/>
  <c r="N34" i="89"/>
  <c r="N38" i="89"/>
  <c r="N42" i="89"/>
  <c r="K58" i="87"/>
  <c r="N9" i="89"/>
  <c r="N19" i="89"/>
  <c r="N21" i="89"/>
  <c r="N23" i="89"/>
  <c r="N25" i="89"/>
  <c r="N27" i="89"/>
  <c r="N29" i="89"/>
  <c r="N31" i="89"/>
  <c r="N33" i="89"/>
  <c r="N35" i="89"/>
  <c r="N37" i="89"/>
  <c r="N39" i="89"/>
  <c r="N41" i="89"/>
  <c r="N43" i="89"/>
  <c r="N15" i="89"/>
  <c r="N20" i="89"/>
  <c r="N24" i="89"/>
  <c r="N28" i="89"/>
  <c r="N32" i="89"/>
  <c r="N36" i="89"/>
  <c r="N40" i="89"/>
  <c r="N44" i="89"/>
  <c r="N45" i="89" l="1"/>
  <c r="O45" i="87"/>
  <c r="P45" i="87" s="1"/>
  <c r="O15" i="94"/>
  <c r="A16" i="94"/>
  <c r="A13" i="89"/>
  <c r="O12" i="89"/>
  <c r="A18" i="75"/>
  <c r="O17" i="75"/>
  <c r="N63" i="87"/>
  <c r="N48" i="75"/>
  <c r="N48" i="87"/>
  <c r="A16" i="87"/>
  <c r="O15" i="87"/>
  <c r="A17" i="94" l="1"/>
  <c r="O16" i="94"/>
  <c r="O18" i="75"/>
  <c r="A19" i="75"/>
  <c r="A14" i="89"/>
  <c r="O13" i="89"/>
  <c r="O16" i="87"/>
  <c r="A17" i="87"/>
  <c r="N63" i="89"/>
  <c r="N48" i="89"/>
  <c r="N61" i="89"/>
  <c r="A18" i="94" l="1"/>
  <c r="O17" i="94"/>
  <c r="A20" i="75"/>
  <c r="O19" i="75"/>
  <c r="A15" i="89"/>
  <c r="O14" i="89"/>
  <c r="O17" i="87"/>
  <c r="A18" i="87"/>
  <c r="O15" i="89" l="1"/>
  <c r="A16" i="89"/>
  <c r="O18" i="94"/>
  <c r="A19" i="94"/>
  <c r="O20" i="75"/>
  <c r="A21" i="75"/>
  <c r="A19" i="87"/>
  <c r="O18" i="87"/>
  <c r="A22" i="75" l="1"/>
  <c r="O21" i="75"/>
  <c r="O16" i="89"/>
  <c r="A17" i="89"/>
  <c r="A20" i="94"/>
  <c r="O19" i="94"/>
  <c r="A20" i="87"/>
  <c r="O19" i="87"/>
  <c r="O22" i="75" l="1"/>
  <c r="A23" i="75"/>
  <c r="O17" i="89"/>
  <c r="A18" i="89"/>
  <c r="O20" i="94"/>
  <c r="A21" i="94"/>
  <c r="O20" i="87"/>
  <c r="A21" i="87"/>
  <c r="A22" i="94" l="1"/>
  <c r="O21" i="94"/>
  <c r="O23" i="75"/>
  <c r="A24" i="75"/>
  <c r="A19" i="89"/>
  <c r="O18" i="89"/>
  <c r="A22" i="87"/>
  <c r="O21" i="87"/>
  <c r="A25" i="75" l="1"/>
  <c r="O24" i="75"/>
  <c r="O19" i="89"/>
  <c r="C54" i="89" s="1"/>
  <c r="A20" i="89"/>
  <c r="O22" i="94"/>
  <c r="A23" i="94"/>
  <c r="A23" i="87"/>
  <c r="O22" i="87"/>
  <c r="A24" i="94" l="1"/>
  <c r="O23" i="94"/>
  <c r="A21" i="89"/>
  <c r="O20" i="89"/>
  <c r="O25" i="75"/>
  <c r="A26" i="75"/>
  <c r="A24" i="87"/>
  <c r="O23" i="87"/>
  <c r="D54" i="89" l="1"/>
  <c r="N54" i="89"/>
  <c r="A27" i="75"/>
  <c r="O26" i="75"/>
  <c r="O21" i="89"/>
  <c r="A22" i="89"/>
  <c r="O24" i="94"/>
  <c r="A25" i="94"/>
  <c r="O24" i="87"/>
  <c r="A25" i="87"/>
  <c r="O25" i="94" l="1"/>
  <c r="A26" i="94"/>
  <c r="O22" i="89"/>
  <c r="A23" i="89"/>
  <c r="G56" i="75"/>
  <c r="A28" i="75"/>
  <c r="O27" i="75"/>
  <c r="A26" i="87"/>
  <c r="O25" i="87"/>
  <c r="O23" i="89" l="1"/>
  <c r="A24" i="89"/>
  <c r="A27" i="94"/>
  <c r="O26" i="94"/>
  <c r="A29" i="75"/>
  <c r="O28" i="75"/>
  <c r="O26" i="87"/>
  <c r="A27" i="87"/>
  <c r="O29" i="75" l="1"/>
  <c r="A30" i="75"/>
  <c r="O24" i="89"/>
  <c r="A25" i="89"/>
  <c r="O27" i="94"/>
  <c r="A28" i="94"/>
  <c r="A28" i="87"/>
  <c r="O27" i="87"/>
  <c r="O28" i="94" l="1"/>
  <c r="A29" i="94"/>
  <c r="A26" i="89"/>
  <c r="O25" i="89"/>
  <c r="O30" i="75"/>
  <c r="F56" i="75" s="1"/>
  <c r="A31" i="75"/>
  <c r="F67" i="87"/>
  <c r="F54" i="87"/>
  <c r="O28" i="87"/>
  <c r="A29" i="87"/>
  <c r="A27" i="89" l="1"/>
  <c r="O26" i="89"/>
  <c r="A32" i="75"/>
  <c r="O31" i="75"/>
  <c r="D56" i="75" s="1"/>
  <c r="A30" i="94"/>
  <c r="O29" i="94"/>
  <c r="O29" i="87"/>
  <c r="A30" i="87"/>
  <c r="A33" i="75" l="1"/>
  <c r="O32" i="75"/>
  <c r="A31" i="94"/>
  <c r="O30" i="94"/>
  <c r="O27" i="89"/>
  <c r="A28" i="89"/>
  <c r="O30" i="87"/>
  <c r="A31" i="87"/>
  <c r="B56" i="75" l="1"/>
  <c r="A32" i="94"/>
  <c r="O31" i="94"/>
  <c r="O28" i="89"/>
  <c r="A29" i="89"/>
  <c r="A34" i="75"/>
  <c r="O33" i="75"/>
  <c r="N56" i="75" s="1"/>
  <c r="O31" i="87"/>
  <c r="A32" i="87"/>
  <c r="C56" i="75" l="1"/>
  <c r="O29" i="89"/>
  <c r="A30" i="89"/>
  <c r="A33" i="94"/>
  <c r="O32" i="94"/>
  <c r="A35" i="75"/>
  <c r="O34" i="75"/>
  <c r="A33" i="87"/>
  <c r="O32" i="87"/>
  <c r="F56" i="94"/>
  <c r="O30" i="89" l="1"/>
  <c r="A31" i="89"/>
  <c r="O35" i="75"/>
  <c r="A36" i="75"/>
  <c r="A34" i="94"/>
  <c r="O33" i="94"/>
  <c r="C67" i="87"/>
  <c r="C54" i="87"/>
  <c r="O33" i="87"/>
  <c r="A34" i="87"/>
  <c r="O36" i="75" l="1"/>
  <c r="A37" i="75"/>
  <c r="O37" i="75" s="1"/>
  <c r="O34" i="94"/>
  <c r="A35" i="94"/>
  <c r="O31" i="89"/>
  <c r="A32" i="89"/>
  <c r="O34" i="87"/>
  <c r="G54" i="87" s="1"/>
  <c r="A35" i="87"/>
  <c r="A33" i="89" l="1"/>
  <c r="O32" i="89"/>
  <c r="A38" i="75"/>
  <c r="O38" i="75" s="1"/>
  <c r="O35" i="94"/>
  <c r="A36" i="94"/>
  <c r="O35" i="87"/>
  <c r="A36" i="87"/>
  <c r="G67" i="87"/>
  <c r="D56" i="94" l="1"/>
  <c r="E56" i="94"/>
  <c r="N56" i="94"/>
  <c r="A39" i="75"/>
  <c r="O39" i="75" s="1"/>
  <c r="A37" i="94"/>
  <c r="O36" i="94"/>
  <c r="A34" i="89"/>
  <c r="O33" i="89"/>
  <c r="A37" i="87"/>
  <c r="O36" i="87"/>
  <c r="A40" i="75" l="1"/>
  <c r="O40" i="75" s="1"/>
  <c r="A35" i="89"/>
  <c r="O34" i="89"/>
  <c r="A38" i="94"/>
  <c r="O37" i="94"/>
  <c r="O37" i="87"/>
  <c r="A38" i="87"/>
  <c r="A41" i="75" l="1"/>
  <c r="O41" i="75" s="1"/>
  <c r="O38" i="94"/>
  <c r="A39" i="94"/>
  <c r="O35" i="89"/>
  <c r="A36" i="89"/>
  <c r="N54" i="87"/>
  <c r="E54" i="87"/>
  <c r="D54" i="87"/>
  <c r="D67" i="87"/>
  <c r="E67" i="87"/>
  <c r="A39" i="87"/>
  <c r="O38" i="87"/>
  <c r="C67" i="89"/>
  <c r="E54" i="89" l="1"/>
  <c r="E67" i="89"/>
  <c r="A40" i="94"/>
  <c r="O39" i="94"/>
  <c r="O36" i="89"/>
  <c r="A37" i="89"/>
  <c r="A42" i="75"/>
  <c r="O42" i="75" s="1"/>
  <c r="D67" i="89"/>
  <c r="O39" i="87"/>
  <c r="A40" i="87"/>
  <c r="O40" i="94" l="1"/>
  <c r="A41" i="94"/>
  <c r="A43" i="75"/>
  <c r="A38" i="89"/>
  <c r="O37" i="89"/>
  <c r="O40" i="87"/>
  <c r="A41" i="87"/>
  <c r="A44" i="75" l="1"/>
  <c r="O44" i="75" s="1"/>
  <c r="O43" i="75"/>
  <c r="O41" i="94"/>
  <c r="A42" i="94"/>
  <c r="O38" i="89"/>
  <c r="A39" i="89"/>
  <c r="A42" i="87"/>
  <c r="O41" i="87"/>
  <c r="O39" i="89" l="1"/>
  <c r="A40" i="89"/>
  <c r="O42" i="94"/>
  <c r="A43" i="94"/>
  <c r="A43" i="87"/>
  <c r="A44" i="87" s="1"/>
  <c r="O42" i="87"/>
  <c r="O40" i="89" l="1"/>
  <c r="A41" i="89"/>
  <c r="O43" i="94"/>
  <c r="A44" i="94"/>
  <c r="O44" i="94" s="1"/>
  <c r="A42" i="89" l="1"/>
  <c r="O41" i="89"/>
  <c r="A43" i="89" l="1"/>
  <c r="A44" i="89" s="1"/>
  <c r="O42" i="89"/>
  <c r="O46" i="89" l="1"/>
  <c r="O45" i="89" l="1"/>
  <c r="P45" i="89" s="1"/>
  <c r="P46" i="89"/>
  <c r="O47" i="89"/>
  <c r="P47" i="89" s="1"/>
  <c r="P78" i="87" l="1"/>
  <c r="P78" i="89"/>
</calcChain>
</file>

<file path=xl/sharedStrings.xml><?xml version="1.0" encoding="utf-8"?>
<sst xmlns="http://schemas.openxmlformats.org/spreadsheetml/2006/main" count="125" uniqueCount="39">
  <si>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</si>
  <si>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</si>
  <si>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</si>
  <si>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</si>
  <si>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</si>
  <si>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</si>
  <si>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</si>
  <si>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</si>
  <si>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</si>
  <si>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</si>
  <si>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</si>
  <si>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</si>
  <si>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MESES</t>
  </si>
  <si>
    <t>TOTAL</t>
  </si>
  <si>
    <t>Fuente: IFOP.</t>
  </si>
  <si>
    <t>P_Medio_Real</t>
  </si>
  <si>
    <t>P_Medio_con CTOT</t>
  </si>
  <si>
    <t>CAPTURA TOTAL (t)</t>
  </si>
  <si>
    <t>TALLA (cm)</t>
  </si>
  <si>
    <t>MODA (cm)</t>
  </si>
  <si>
    <t>Capturas estimadas en número a la talla de anchoveta.</t>
  </si>
  <si>
    <t>% Bajo TMM</t>
  </si>
  <si>
    <t>&lt;TMM</t>
  </si>
  <si>
    <t>Adultos</t>
  </si>
  <si>
    <t>Captura muestreada (t)</t>
  </si>
  <si>
    <t>Tabla 21</t>
  </si>
  <si>
    <t>Tabla 22</t>
  </si>
  <si>
    <t>Sept</t>
  </si>
  <si>
    <t>Tabla 25</t>
  </si>
  <si>
    <t>Tabla 26</t>
  </si>
  <si>
    <r>
      <rPr>
        <b/>
        <sz val="11"/>
        <rFont val="Arial Narrow"/>
        <family val="2"/>
      </rPr>
      <t xml:space="preserve">Captura muestreada (t): </t>
    </r>
    <r>
      <rPr>
        <sz val="11"/>
        <rFont val="Arial Narrow"/>
        <family val="2"/>
      </rPr>
      <t>Es la captura de la que se extrajeron muestras para biología.</t>
    </r>
  </si>
  <si>
    <r>
      <rPr>
        <b/>
        <sz val="11"/>
        <rFont val="Arial Narrow"/>
        <family val="2"/>
      </rPr>
      <t>CAPTURA TOTAL (t)</t>
    </r>
    <r>
      <rPr>
        <sz val="11"/>
        <rFont val="Arial Narrow"/>
        <family val="2"/>
      </rPr>
      <t>: Captura de bitácora total para el período y que aplica en la expansión.</t>
    </r>
  </si>
  <si>
    <t>(Pesca comercial)</t>
  </si>
  <si>
    <t xml:space="preserve"> (Monitoreos períodos vedas biológicos)</t>
  </si>
  <si>
    <t>14,5-11,0</t>
  </si>
  <si>
    <t xml:space="preserve">Flota total Regiones de Valparaiso a la Región de Los Ríos, año 2020 </t>
  </si>
  <si>
    <t>Flota Artesanal, Regiones de Valparaiso a la Región de Los Ríos, año 2020</t>
  </si>
  <si>
    <t xml:space="preserve">Flota Artesanal, mar interior de la Región de Los Lagos, año 2020 </t>
  </si>
  <si>
    <t>Flota Artesanal, mar interior de la Región de Los Lagos,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</si>
</sst>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_-* #,##0.0_-;\-* #,##0.0_-;_-* &quot;-&quot;??_-;_-@_-"/>
    <numFmt numFmtId="169" formatCode="#,##0.0"/>
    <numFmt numFmtId="170" formatCode="#,##0.000"/>
    <numFmt numFmtId="171" formatCode="_-[$€-2]\ * #,##0.00_-;\-[$€-2]\ * #,##0.00_-;_-[$€-2]\ * &quot;-&quot;??_-"/>
  </numFmts>
  <fonts count="1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6"/>
      <name val="Arial Narrow"/>
      <family val="2"/>
    </font>
    <font>
      <sz val="10"/>
      <name val="Arial Narrow"/>
      <family val="2"/>
    </font>
    <font>
      <sz val="16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sz val="10"/>
      <color indexed="10"/>
      <name val="Arial Narrow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</cellStyleXfs>
  <cellXfs count="138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0" xfId="0" applyNumberFormat="1" applyFont="1" applyAlignment="1"/>
    <xf numFmtId="1" fontId="5" fillId="0" borderId="0" xfId="0" applyNumberFormat="1" applyFont="1"/>
    <xf numFmtId="3" fontId="5" fillId="0" borderId="2" xfId="0" applyNumberFormat="1" applyFont="1" applyBorder="1" applyAlignment="1"/>
    <xf numFmtId="3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8" fillId="0" borderId="0" xfId="0" applyFont="1"/>
    <xf numFmtId="168" fontId="8" fillId="0" borderId="0" xfId="2" applyNumberFormat="1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5" fillId="0" borderId="0" xfId="0" applyFont="1" applyAlignment="1">
      <alignment horizontal="center"/>
    </xf>
    <xf numFmtId="167" fontId="5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167" fontId="7" fillId="0" borderId="0" xfId="0" applyNumberFormat="1" applyFont="1" applyAlignment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3" fontId="5" fillId="0" borderId="0" xfId="0" applyNumberFormat="1" applyFont="1" applyFill="1" applyAlignment="1"/>
    <xf numFmtId="0" fontId="5" fillId="0" borderId="0" xfId="4" applyFont="1" applyFill="1"/>
    <xf numFmtId="3" fontId="5" fillId="0" borderId="0" xfId="0" applyNumberFormat="1" applyFont="1" applyFill="1"/>
    <xf numFmtId="3" fontId="5" fillId="0" borderId="2" xfId="0" applyNumberFormat="1" applyFont="1" applyFill="1" applyBorder="1" applyAlignment="1"/>
    <xf numFmtId="168" fontId="5" fillId="0" borderId="0" xfId="2" applyNumberFormat="1" applyFont="1" applyFill="1"/>
    <xf numFmtId="0" fontId="9" fillId="0" borderId="0" xfId="0" applyFont="1" applyFill="1"/>
    <xf numFmtId="0" fontId="9" fillId="0" borderId="0" xfId="0" applyFont="1" applyFill="1" applyAlignment="1"/>
    <xf numFmtId="0" fontId="8" fillId="0" borderId="0" xfId="0" applyFont="1" applyFill="1"/>
    <xf numFmtId="168" fontId="8" fillId="0" borderId="0" xfId="2" applyNumberFormat="1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/>
    <xf numFmtId="168" fontId="5" fillId="0" borderId="0" xfId="2" applyNumberFormat="1" applyFont="1" applyFill="1" applyAlignment="1"/>
    <xf numFmtId="0" fontId="5" fillId="0" borderId="0" xfId="0" applyFont="1" applyFill="1" applyAlignment="1">
      <alignment horizontal="center"/>
    </xf>
    <xf numFmtId="167" fontId="5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167" fontId="7" fillId="0" borderId="0" xfId="0" applyNumberFormat="1" applyFont="1" applyFill="1" applyAlignment="1"/>
    <xf numFmtId="164" fontId="8" fillId="0" borderId="0" xfId="3" applyFont="1" applyFill="1" applyAlignment="1"/>
    <xf numFmtId="1" fontId="5" fillId="0" borderId="0" xfId="0" applyNumberFormat="1" applyFont="1" applyFill="1"/>
    <xf numFmtId="0" fontId="11" fillId="0" borderId="0" xfId="0" applyFont="1" applyAlignment="1"/>
    <xf numFmtId="3" fontId="7" fillId="0" borderId="0" xfId="0" applyNumberFormat="1" applyFont="1" applyAlignment="1"/>
    <xf numFmtId="0" fontId="7" fillId="0" borderId="0" xfId="0" applyFont="1"/>
    <xf numFmtId="166" fontId="5" fillId="0" borderId="0" xfId="0" applyNumberFormat="1" applyFont="1"/>
    <xf numFmtId="3" fontId="8" fillId="0" borderId="0" xfId="0" applyNumberFormat="1" applyFont="1"/>
    <xf numFmtId="3" fontId="5" fillId="0" borderId="0" xfId="0" applyNumberFormat="1" applyFont="1" applyBorder="1" applyAlignment="1"/>
    <xf numFmtId="170" fontId="5" fillId="0" borderId="0" xfId="0" applyNumberFormat="1" applyFont="1" applyBorder="1" applyAlignment="1">
      <alignment vertical="center"/>
    </xf>
    <xf numFmtId="169" fontId="5" fillId="0" borderId="0" xfId="0" applyNumberFormat="1" applyFont="1" applyBorder="1" applyAlignment="1">
      <alignment vertical="center"/>
    </xf>
    <xf numFmtId="0" fontId="5" fillId="0" borderId="2" xfId="0" applyFont="1" applyFill="1" applyBorder="1" applyAlignment="1"/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/>
    <xf numFmtId="0" fontId="5" fillId="0" borderId="4" xfId="0" applyFont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3" fontId="5" fillId="0" borderId="5" xfId="0" applyNumberFormat="1" applyFont="1" applyBorder="1" applyAlignment="1"/>
    <xf numFmtId="3" fontId="5" fillId="0" borderId="5" xfId="0" applyNumberFormat="1" applyFont="1" applyFill="1" applyBorder="1" applyAlignment="1"/>
    <xf numFmtId="169" fontId="5" fillId="0" borderId="0" xfId="0" applyNumberFormat="1" applyFont="1" applyFill="1" applyBorder="1" applyAlignment="1">
      <alignment vertical="center"/>
    </xf>
    <xf numFmtId="167" fontId="5" fillId="0" borderId="2" xfId="0" applyNumberFormat="1" applyFont="1" applyBorder="1" applyAlignment="1"/>
    <xf numFmtId="167" fontId="5" fillId="0" borderId="2" xfId="0" applyNumberFormat="1" applyFont="1" applyFill="1" applyBorder="1" applyAlignment="1"/>
    <xf numFmtId="170" fontId="5" fillId="0" borderId="0" xfId="0" applyNumberFormat="1" applyFont="1" applyBorder="1" applyAlignment="1"/>
    <xf numFmtId="167" fontId="5" fillId="0" borderId="2" xfId="0" applyNumberFormat="1" applyFont="1" applyBorder="1" applyAlignment="1">
      <alignment horizontal="right"/>
    </xf>
    <xf numFmtId="0" fontId="5" fillId="0" borderId="5" xfId="0" applyFont="1" applyFill="1" applyBorder="1" applyAlignment="1">
      <alignment vertical="center"/>
    </xf>
    <xf numFmtId="170" fontId="5" fillId="0" borderId="0" xfId="0" applyNumberFormat="1" applyFont="1" applyFill="1" applyBorder="1" applyAlignment="1"/>
    <xf numFmtId="169" fontId="5" fillId="0" borderId="2" xfId="0" applyNumberFormat="1" applyFont="1" applyFill="1" applyBorder="1" applyAlignment="1"/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3" fontId="5" fillId="0" borderId="8" xfId="0" applyNumberFormat="1" applyFont="1" applyBorder="1" applyAlignment="1"/>
    <xf numFmtId="3" fontId="5" fillId="0" borderId="9" xfId="0" applyNumberFormat="1" applyFont="1" applyBorder="1" applyAlignment="1"/>
    <xf numFmtId="3" fontId="5" fillId="0" borderId="10" xfId="0" applyNumberFormat="1" applyFont="1" applyBorder="1" applyAlignment="1"/>
    <xf numFmtId="3" fontId="5" fillId="0" borderId="11" xfId="0" applyNumberFormat="1" applyFont="1" applyBorder="1" applyAlignment="1"/>
    <xf numFmtId="3" fontId="5" fillId="0" borderId="12" xfId="0" applyNumberFormat="1" applyFont="1" applyBorder="1" applyAlignment="1"/>
    <xf numFmtId="3" fontId="5" fillId="0" borderId="13" xfId="0" applyNumberFormat="1" applyFont="1" applyBorder="1" applyAlignment="1"/>
    <xf numFmtId="169" fontId="5" fillId="0" borderId="10" xfId="0" applyNumberFormat="1" applyFont="1" applyBorder="1" applyAlignment="1">
      <alignment vertical="center"/>
    </xf>
    <xf numFmtId="169" fontId="5" fillId="0" borderId="11" xfId="0" applyNumberFormat="1" applyFont="1" applyBorder="1" applyAlignment="1">
      <alignment vertical="center"/>
    </xf>
    <xf numFmtId="167" fontId="5" fillId="0" borderId="12" xfId="0" applyNumberFormat="1" applyFont="1" applyBorder="1" applyAlignment="1"/>
    <xf numFmtId="167" fontId="5" fillId="0" borderId="13" xfId="0" applyNumberFormat="1" applyFont="1" applyBorder="1" applyAlignment="1"/>
    <xf numFmtId="0" fontId="5" fillId="0" borderId="6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3" fontId="5" fillId="0" borderId="10" xfId="0" applyNumberFormat="1" applyFont="1" applyFill="1" applyBorder="1" applyAlignment="1"/>
    <xf numFmtId="3" fontId="5" fillId="0" borderId="11" xfId="0" applyNumberFormat="1" applyFont="1" applyFill="1" applyBorder="1" applyAlignment="1"/>
    <xf numFmtId="3" fontId="5" fillId="0" borderId="12" xfId="0" applyNumberFormat="1" applyFont="1" applyFill="1" applyBorder="1" applyAlignment="1"/>
    <xf numFmtId="3" fontId="5" fillId="0" borderId="13" xfId="0" applyNumberFormat="1" applyFont="1" applyFill="1" applyBorder="1" applyAlignment="1"/>
    <xf numFmtId="3" fontId="5" fillId="0" borderId="8" xfId="0" applyNumberFormat="1" applyFont="1" applyFill="1" applyBorder="1" applyAlignment="1"/>
    <xf numFmtId="3" fontId="5" fillId="0" borderId="9" xfId="0" applyNumberFormat="1" applyFont="1" applyFill="1" applyBorder="1" applyAlignment="1"/>
    <xf numFmtId="170" fontId="5" fillId="0" borderId="11" xfId="0" applyNumberFormat="1" applyFont="1" applyFill="1" applyBorder="1" applyAlignment="1"/>
    <xf numFmtId="169" fontId="5" fillId="0" borderId="10" xfId="0" applyNumberFormat="1" applyFont="1" applyFill="1" applyBorder="1" applyAlignment="1">
      <alignment vertical="center"/>
    </xf>
    <xf numFmtId="169" fontId="5" fillId="0" borderId="11" xfId="0" applyNumberFormat="1" applyFont="1" applyFill="1" applyBorder="1" applyAlignment="1">
      <alignment vertical="center"/>
    </xf>
    <xf numFmtId="167" fontId="5" fillId="0" borderId="12" xfId="0" applyNumberFormat="1" applyFont="1" applyFill="1" applyBorder="1" applyAlignment="1"/>
    <xf numFmtId="167" fontId="5" fillId="0" borderId="13" xfId="0" applyNumberFormat="1" applyFont="1" applyFill="1" applyBorder="1" applyAlignment="1"/>
    <xf numFmtId="170" fontId="5" fillId="0" borderId="10" xfId="0" applyNumberFormat="1" applyFont="1" applyBorder="1" applyAlignment="1"/>
    <xf numFmtId="170" fontId="5" fillId="0" borderId="11" xfId="0" applyNumberFormat="1" applyFont="1" applyBorder="1" applyAlignment="1">
      <alignment vertical="center"/>
    </xf>
    <xf numFmtId="167" fontId="5" fillId="0" borderId="13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3" fontId="5" fillId="0" borderId="10" xfId="0" applyNumberFormat="1" applyFont="1" applyFill="1" applyBorder="1" applyAlignment="1">
      <alignment vertical="center"/>
    </xf>
    <xf numFmtId="167" fontId="5" fillId="0" borderId="12" xfId="0" quotePrefix="1" applyNumberFormat="1" applyFont="1" applyBorder="1" applyAlignment="1"/>
    <xf numFmtId="167" fontId="5" fillId="0" borderId="12" xfId="0" quotePrefix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</cellXfs>
  <cellStyles count="5">
    <cellStyle name="Euro" xfId="1" xr:uid="{00000000-0005-0000-0000-000000000000}"/>
    <cellStyle name="Millares" xfId="2" builtinId="3"/>
    <cellStyle name="Millares [0]" xfId="3" builtinId="6"/>
    <cellStyle name="Normal" xfId="0" builtinId="0"/>
    <cellStyle name="Normal_Z9 CS Art" xfId="4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39127307119181"/>
          <c:y val="2.1234412707280926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'V-XIV R ART COMERCIAL'!$A$9:$A$44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ART COMERCIAL'!$N$9:$N$44</c:f>
              <c:numCache>
                <c:formatCode>#,##0</c:formatCode>
                <c:ptCount val="3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3098117.52</c:v>
                </c:pt>
                <c:pt idx="7">
                  <c:v>0</c:v>
                </c:pt>
                <c:pt idx="8">
                  <c:v>2424817.96</c:v>
                </c:pt>
                <c:pt idx="9">
                  <c:v>8290507.3799999999</c:v>
                </c:pt>
                <c:pt idx="10">
                  <c:v>28356406.760000002</c:v>
                </c:pt>
                <c:pt idx="11">
                  <c:v>46273760.530000001</c:v>
                </c:pt>
                <c:pt idx="12">
                  <c:v>102810167.69000001</c:v>
                </c:pt>
                <c:pt idx="13">
                  <c:v>179625367.93000001</c:v>
                </c:pt>
                <c:pt idx="14">
                  <c:v>242941645.45000002</c:v>
                </c:pt>
                <c:pt idx="15">
                  <c:v>274815225.84000003</c:v>
                </c:pt>
                <c:pt idx="16">
                  <c:v>272156440.61000007</c:v>
                </c:pt>
                <c:pt idx="17">
                  <c:v>238525540.56</c:v>
                </c:pt>
                <c:pt idx="18">
                  <c:v>204978121.28999999</c:v>
                </c:pt>
                <c:pt idx="19">
                  <c:v>208440380.50999999</c:v>
                </c:pt>
                <c:pt idx="20">
                  <c:v>212168011.80999997</c:v>
                </c:pt>
                <c:pt idx="21">
                  <c:v>310023968.85000002</c:v>
                </c:pt>
                <c:pt idx="22">
                  <c:v>457938434.25999993</c:v>
                </c:pt>
                <c:pt idx="23">
                  <c:v>560398053.93999994</c:v>
                </c:pt>
                <c:pt idx="24">
                  <c:v>518826300.40000004</c:v>
                </c:pt>
                <c:pt idx="25">
                  <c:v>515110491.78999996</c:v>
                </c:pt>
                <c:pt idx="26">
                  <c:v>374945245.43000001</c:v>
                </c:pt>
                <c:pt idx="27">
                  <c:v>224687578.09999999</c:v>
                </c:pt>
                <c:pt idx="28">
                  <c:v>152930844.24000001</c:v>
                </c:pt>
                <c:pt idx="29">
                  <c:v>88219859.909999996</c:v>
                </c:pt>
                <c:pt idx="30">
                  <c:v>34926330.469999991</c:v>
                </c:pt>
                <c:pt idx="31">
                  <c:v>27070345.240000002</c:v>
                </c:pt>
                <c:pt idx="32">
                  <c:v>11154752.300000001</c:v>
                </c:pt>
                <c:pt idx="33">
                  <c:v>3702514.21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A-4E0B-A592-A8309C72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21592"/>
        <c:axId val="545028176"/>
      </c:lineChart>
      <c:catAx>
        <c:axId val="50692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50281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502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06921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7734604725331"/>
          <c:y val="1.8932056095566321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'V-XIV R ART (MONITOREOS)'!$A$9:$A$44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ART (MONITOREOS)'!$N$9:$N$44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27.85</c:v>
                </c:pt>
                <c:pt idx="5">
                  <c:v>69.62</c:v>
                </c:pt>
                <c:pt idx="6">
                  <c:v>202.01</c:v>
                </c:pt>
                <c:pt idx="7">
                  <c:v>791.06999999999994</c:v>
                </c:pt>
                <c:pt idx="8">
                  <c:v>1099.3899999999999</c:v>
                </c:pt>
                <c:pt idx="9">
                  <c:v>1884.6699999999998</c:v>
                </c:pt>
                <c:pt idx="10">
                  <c:v>2453.25</c:v>
                </c:pt>
                <c:pt idx="11">
                  <c:v>4107.6000000000004</c:v>
                </c:pt>
                <c:pt idx="12">
                  <c:v>6332.3600000000006</c:v>
                </c:pt>
                <c:pt idx="13">
                  <c:v>7963.2400000000007</c:v>
                </c:pt>
                <c:pt idx="14">
                  <c:v>10186.99</c:v>
                </c:pt>
                <c:pt idx="15">
                  <c:v>10159.120000000001</c:v>
                </c:pt>
                <c:pt idx="16">
                  <c:v>10566.130000000001</c:v>
                </c:pt>
                <c:pt idx="17">
                  <c:v>11239.730000000001</c:v>
                </c:pt>
                <c:pt idx="18">
                  <c:v>15531.650000000001</c:v>
                </c:pt>
                <c:pt idx="19">
                  <c:v>16615.649999999998</c:v>
                </c:pt>
                <c:pt idx="20">
                  <c:v>18961.11</c:v>
                </c:pt>
                <c:pt idx="21">
                  <c:v>22235.74</c:v>
                </c:pt>
                <c:pt idx="22">
                  <c:v>21259.1</c:v>
                </c:pt>
                <c:pt idx="23">
                  <c:v>18894.46</c:v>
                </c:pt>
                <c:pt idx="24">
                  <c:v>16692.43</c:v>
                </c:pt>
                <c:pt idx="25">
                  <c:v>13657.66</c:v>
                </c:pt>
                <c:pt idx="26">
                  <c:v>9469.07</c:v>
                </c:pt>
                <c:pt idx="27">
                  <c:v>6301.48</c:v>
                </c:pt>
                <c:pt idx="28">
                  <c:v>2725.3500000000004</c:v>
                </c:pt>
                <c:pt idx="29">
                  <c:v>1323.88</c:v>
                </c:pt>
                <c:pt idx="30">
                  <c:v>784.13000000000011</c:v>
                </c:pt>
                <c:pt idx="31">
                  <c:v>369.76000000000005</c:v>
                </c:pt>
                <c:pt idx="32">
                  <c:v>265.44000000000005</c:v>
                </c:pt>
                <c:pt idx="33">
                  <c:v>64.650000000000006</c:v>
                </c:pt>
                <c:pt idx="34">
                  <c:v>4.66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4EA0-8CC7-B9C08C9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53384"/>
        <c:axId val="513350560"/>
      </c:lineChart>
      <c:catAx>
        <c:axId val="54635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133505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335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6353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42816</xdr:colOff>
      <xdr:row>23</xdr:row>
      <xdr:rowOff>44633</xdr:rowOff>
    </xdr:from>
    <xdr:to>
      <xdr:col>21</xdr:col>
      <xdr:colOff>168728</xdr:colOff>
      <xdr:row>42</xdr:row>
      <xdr:rowOff>22951</xdr:rowOff>
    </xdr:to>
    <xdr:graphicFrame macro="">
      <xdr:nvGraphicFramePr>
        <xdr:cNvPr id="1240191" name="Chart 4">
          <a:extLst>
            <a:ext uri="{FF2B5EF4-FFF2-40B4-BE49-F238E27FC236}">
              <a16:creationId xmlns:a16="http://schemas.microsoft.com/office/drawing/2014/main" id="{00000000-0008-0000-1100-00007FE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827314</xdr:colOff>
      <xdr:row>20</xdr:row>
      <xdr:rowOff>99785</xdr:rowOff>
    </xdr:from>
    <xdr:to>
      <xdr:col>24</xdr:col>
      <xdr:colOff>446676</xdr:colOff>
      <xdr:row>39</xdr:row>
      <xdr:rowOff>34744</xdr:rowOff>
    </xdr:to>
    <xdr:graphicFrame macro="">
      <xdr:nvGraphicFramePr>
        <xdr:cNvPr id="1242239" name="Chart 4">
          <a:extLst>
            <a:ext uri="{FF2B5EF4-FFF2-40B4-BE49-F238E27FC236}">
              <a16:creationId xmlns:a16="http://schemas.microsoft.com/office/drawing/2014/main" id="{00000000-0008-0000-1200-00007FF4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tabColor rgb="FFFFC000"/>
  </sheetPr>
  <dimension ref="A1:Q78"/>
  <sheetViews>
    <sheetView tabSelected="1" topLeftCell="A22" zoomScale="70" zoomScaleNormal="70" zoomScalePageLayoutView="60" workbookViewId="0">
      <selection activeCell="E50" sqref="E50"/>
    </sheetView>
  </sheetViews>
  <sheetFormatPr baseColWidth="10" defaultRowHeight="13" x14ac:dyDescent="0.3"/>
  <cols>
    <col min="1" max="1" width="20.1796875" style="1" customWidth="1"/>
    <col min="2" max="7" width="14.1796875" style="4" customWidth="1"/>
    <col min="8" max="13" width="12.36328125" style="4" customWidth="1"/>
    <col min="14" max="14" width="14.26953125" style="4" customWidth="1"/>
    <col min="15" max="15" width="19.26953125" style="1" bestFit="1" customWidth="1"/>
    <col min="16" max="16" width="12.26953125" style="1" customWidth="1"/>
    <col min="17" max="17" width="11.54296875" style="1" bestFit="1" customWidth="1"/>
    <col min="18" max="16384" width="10.90625" style="1"/>
  </cols>
  <sheetData>
    <row r="1" spans="1:15" s="2" customFormat="1" ht="20" x14ac:dyDescent="0.4">
      <c r="A1" s="129" t="s">
        <v>25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5" s="2" customFormat="1" ht="20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s="2" customFormat="1" ht="20" x14ac:dyDescent="0.4">
      <c r="A3" s="129" t="s">
        <v>20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5" s="2" customFormat="1" ht="20" x14ac:dyDescent="0.4">
      <c r="A4" s="130" t="s">
        <v>35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5" s="2" customFormat="1" ht="20" x14ac:dyDescent="0.4">
      <c r="A5" s="129" t="s">
        <v>32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7" spans="1:15" s="5" customFormat="1" ht="19.149999999999999" customHeight="1" thickBot="1" x14ac:dyDescent="0.35">
      <c r="B7" s="131" t="s">
        <v>12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60"/>
      <c r="O7" s="1"/>
    </row>
    <row r="8" spans="1:15" s="5" customFormat="1" ht="19.149999999999999" customHeight="1" thickBot="1" x14ac:dyDescent="0.35">
      <c r="A8" s="76" t="s">
        <v>18</v>
      </c>
      <c r="B8" s="89" t="s">
        <v>0</v>
      </c>
      <c r="C8" s="63" t="s">
        <v>1</v>
      </c>
      <c r="D8" s="63" t="s">
        <v>2</v>
      </c>
      <c r="E8" s="63" t="s">
        <v>3</v>
      </c>
      <c r="F8" s="63" t="s">
        <v>4</v>
      </c>
      <c r="G8" s="63" t="s">
        <v>5</v>
      </c>
      <c r="H8" s="63" t="s">
        <v>6</v>
      </c>
      <c r="I8" s="63" t="s">
        <v>7</v>
      </c>
      <c r="J8" s="63" t="s">
        <v>8</v>
      </c>
      <c r="K8" s="63" t="s">
        <v>9</v>
      </c>
      <c r="L8" s="63" t="s">
        <v>10</v>
      </c>
      <c r="M8" s="90" t="s">
        <v>11</v>
      </c>
      <c r="N8" s="122" t="s">
        <v>13</v>
      </c>
      <c r="O8" s="6" t="s">
        <v>18</v>
      </c>
    </row>
    <row r="9" spans="1:15" x14ac:dyDescent="0.3">
      <c r="A9" s="77">
        <v>3</v>
      </c>
      <c r="B9" s="91"/>
      <c r="C9" s="65"/>
      <c r="D9" s="65"/>
      <c r="E9" s="65"/>
      <c r="F9" s="65"/>
      <c r="G9" s="65"/>
      <c r="H9" s="65"/>
      <c r="I9" s="65"/>
      <c r="J9" s="65"/>
      <c r="K9" s="65"/>
      <c r="L9" s="65"/>
      <c r="M9" s="92"/>
      <c r="N9" s="91" t="str">
        <f>IF(SUM(B9:M9)&gt;0,SUM(B9:M9)," ")</f>
        <v xml:space="preserve"> </v>
      </c>
      <c r="O9" s="7">
        <f t="shared" ref="O9:O42" si="0">+A9</f>
        <v>3</v>
      </c>
    </row>
    <row r="10" spans="1:15" x14ac:dyDescent="0.3">
      <c r="A10" s="78">
        <f>+A9+0.5</f>
        <v>3.5</v>
      </c>
      <c r="B10" s="93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94"/>
      <c r="N10" s="93"/>
      <c r="O10" s="8">
        <f t="shared" si="0"/>
        <v>3.5</v>
      </c>
    </row>
    <row r="11" spans="1:15" x14ac:dyDescent="0.3">
      <c r="A11" s="78">
        <f t="shared" ref="A11:A43" si="1">+A10+0.5</f>
        <v>4</v>
      </c>
      <c r="B11" s="93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94"/>
      <c r="N11" s="93" t="str">
        <f t="shared" ref="N11:N41" si="2">IF(SUM(B11:M11)&gt;0,SUM(B11:M11)," ")</f>
        <v xml:space="preserve"> </v>
      </c>
      <c r="O11" s="8">
        <f t="shared" si="0"/>
        <v>4</v>
      </c>
    </row>
    <row r="12" spans="1:15" x14ac:dyDescent="0.3">
      <c r="A12" s="78">
        <f t="shared" si="1"/>
        <v>4.5</v>
      </c>
      <c r="B12" s="9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94"/>
      <c r="N12" s="93" t="str">
        <f t="shared" si="2"/>
        <v xml:space="preserve"> </v>
      </c>
      <c r="O12" s="8">
        <f t="shared" si="0"/>
        <v>4.5</v>
      </c>
    </row>
    <row r="13" spans="1:15" x14ac:dyDescent="0.3">
      <c r="A13" s="78">
        <f t="shared" si="1"/>
        <v>5</v>
      </c>
      <c r="B13" s="93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94"/>
      <c r="N13" s="93" t="str">
        <f t="shared" si="2"/>
        <v xml:space="preserve"> </v>
      </c>
      <c r="O13" s="8">
        <f t="shared" si="0"/>
        <v>5</v>
      </c>
    </row>
    <row r="14" spans="1:15" x14ac:dyDescent="0.3">
      <c r="A14" s="78">
        <f t="shared" si="1"/>
        <v>5.5</v>
      </c>
      <c r="B14" s="93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94"/>
      <c r="N14" s="93" t="str">
        <f t="shared" si="2"/>
        <v xml:space="preserve"> </v>
      </c>
      <c r="O14" s="8">
        <f t="shared" si="0"/>
        <v>5.5</v>
      </c>
    </row>
    <row r="15" spans="1:15" x14ac:dyDescent="0.3">
      <c r="A15" s="78">
        <f t="shared" si="1"/>
        <v>6</v>
      </c>
      <c r="B15" s="93"/>
      <c r="C15" s="56"/>
      <c r="D15" s="56"/>
      <c r="E15" s="56">
        <v>3098117.52</v>
      </c>
      <c r="F15" s="56"/>
      <c r="G15" s="56"/>
      <c r="H15" s="56"/>
      <c r="I15" s="56"/>
      <c r="J15" s="56"/>
      <c r="K15" s="56"/>
      <c r="L15" s="56"/>
      <c r="M15" s="94"/>
      <c r="N15" s="93">
        <f t="shared" si="2"/>
        <v>3098117.52</v>
      </c>
      <c r="O15" s="8">
        <f t="shared" si="0"/>
        <v>6</v>
      </c>
    </row>
    <row r="16" spans="1:15" x14ac:dyDescent="0.3">
      <c r="A16" s="78">
        <f t="shared" si="1"/>
        <v>6.5</v>
      </c>
      <c r="B16" s="93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94"/>
      <c r="N16" s="93" t="str">
        <f t="shared" si="2"/>
        <v xml:space="preserve"> </v>
      </c>
      <c r="O16" s="8">
        <f t="shared" si="0"/>
        <v>6.5</v>
      </c>
    </row>
    <row r="17" spans="1:15" x14ac:dyDescent="0.3">
      <c r="A17" s="78">
        <f t="shared" si="1"/>
        <v>7</v>
      </c>
      <c r="B17" s="93"/>
      <c r="C17" s="56"/>
      <c r="D17" s="56"/>
      <c r="E17" s="56">
        <v>2424817.96</v>
      </c>
      <c r="F17" s="56"/>
      <c r="G17" s="56"/>
      <c r="H17" s="56"/>
      <c r="I17" s="56"/>
      <c r="J17" s="56"/>
      <c r="K17" s="56"/>
      <c r="L17" s="56"/>
      <c r="M17" s="94"/>
      <c r="N17" s="93">
        <f t="shared" si="2"/>
        <v>2424817.96</v>
      </c>
      <c r="O17" s="8">
        <f t="shared" si="0"/>
        <v>7</v>
      </c>
    </row>
    <row r="18" spans="1:15" x14ac:dyDescent="0.3">
      <c r="A18" s="78">
        <f t="shared" si="1"/>
        <v>7.5</v>
      </c>
      <c r="B18" s="93"/>
      <c r="C18" s="56"/>
      <c r="D18" s="56"/>
      <c r="E18" s="56">
        <v>1845522.51</v>
      </c>
      <c r="F18" s="56">
        <v>5264469.6900000004</v>
      </c>
      <c r="G18" s="56"/>
      <c r="H18" s="56">
        <v>1180515.18</v>
      </c>
      <c r="I18" s="56"/>
      <c r="J18" s="56"/>
      <c r="K18" s="56"/>
      <c r="L18" s="56"/>
      <c r="M18" s="94"/>
      <c r="N18" s="93">
        <f t="shared" si="2"/>
        <v>8290507.3799999999</v>
      </c>
      <c r="O18" s="8">
        <f t="shared" si="0"/>
        <v>7.5</v>
      </c>
    </row>
    <row r="19" spans="1:15" x14ac:dyDescent="0.3">
      <c r="A19" s="78">
        <f t="shared" si="1"/>
        <v>8</v>
      </c>
      <c r="B19" s="93"/>
      <c r="C19" s="56"/>
      <c r="D19" s="56"/>
      <c r="E19" s="56">
        <v>6198175.8600000003</v>
      </c>
      <c r="F19" s="56">
        <v>15880985.76</v>
      </c>
      <c r="G19" s="56"/>
      <c r="H19" s="56">
        <v>6064085.1600000001</v>
      </c>
      <c r="I19" s="56"/>
      <c r="J19" s="56"/>
      <c r="K19" s="56"/>
      <c r="L19" s="56"/>
      <c r="M19" s="94">
        <v>213159.98</v>
      </c>
      <c r="N19" s="93">
        <f t="shared" si="2"/>
        <v>28356406.760000002</v>
      </c>
      <c r="O19" s="8">
        <f t="shared" si="0"/>
        <v>8</v>
      </c>
    </row>
    <row r="20" spans="1:15" x14ac:dyDescent="0.3">
      <c r="A20" s="78">
        <f t="shared" si="1"/>
        <v>8.5</v>
      </c>
      <c r="B20" s="93"/>
      <c r="C20" s="56"/>
      <c r="D20" s="56"/>
      <c r="E20" s="56">
        <v>4328461.82</v>
      </c>
      <c r="F20" s="56">
        <v>33653029.090000004</v>
      </c>
      <c r="G20" s="56">
        <v>240251.55</v>
      </c>
      <c r="H20" s="56">
        <v>7767804.4400000004</v>
      </c>
      <c r="I20" s="56"/>
      <c r="J20" s="56"/>
      <c r="K20" s="56"/>
      <c r="L20" s="56"/>
      <c r="M20" s="94">
        <v>284213.63</v>
      </c>
      <c r="N20" s="93">
        <f t="shared" si="2"/>
        <v>46273760.530000001</v>
      </c>
      <c r="O20" s="8">
        <f t="shared" si="0"/>
        <v>8.5</v>
      </c>
    </row>
    <row r="21" spans="1:15" x14ac:dyDescent="0.3">
      <c r="A21" s="78">
        <f t="shared" si="1"/>
        <v>9</v>
      </c>
      <c r="B21" s="93"/>
      <c r="C21" s="56"/>
      <c r="D21" s="56"/>
      <c r="E21" s="56">
        <v>6757163.0899999999</v>
      </c>
      <c r="F21" s="56">
        <v>80838809.760000005</v>
      </c>
      <c r="G21" s="56">
        <v>2555745.42</v>
      </c>
      <c r="H21" s="56">
        <v>12123368.640000001</v>
      </c>
      <c r="I21" s="56"/>
      <c r="J21" s="56"/>
      <c r="K21" s="56"/>
      <c r="L21" s="56">
        <v>2180.34</v>
      </c>
      <c r="M21" s="94">
        <v>532900.43999999994</v>
      </c>
      <c r="N21" s="93">
        <f t="shared" si="2"/>
        <v>102810167.69000001</v>
      </c>
      <c r="O21" s="8">
        <f t="shared" si="0"/>
        <v>9</v>
      </c>
    </row>
    <row r="22" spans="1:15" x14ac:dyDescent="0.3">
      <c r="A22" s="78">
        <f t="shared" si="1"/>
        <v>9.5</v>
      </c>
      <c r="B22" s="93"/>
      <c r="C22" s="56"/>
      <c r="D22" s="56"/>
      <c r="E22" s="56">
        <v>15663070.460000001</v>
      </c>
      <c r="F22" s="56">
        <v>119673508.06</v>
      </c>
      <c r="G22" s="56">
        <v>12494465.199999999</v>
      </c>
      <c r="H22" s="56">
        <v>31261423.77</v>
      </c>
      <c r="I22" s="56"/>
      <c r="J22" s="56"/>
      <c r="K22" s="56"/>
      <c r="L22" s="56"/>
      <c r="M22" s="94">
        <v>532900.43999999994</v>
      </c>
      <c r="N22" s="93">
        <f t="shared" si="2"/>
        <v>179625367.93000001</v>
      </c>
      <c r="O22" s="8">
        <f t="shared" si="0"/>
        <v>9.5</v>
      </c>
    </row>
    <row r="23" spans="1:15" x14ac:dyDescent="0.3">
      <c r="A23" s="78">
        <f t="shared" si="1"/>
        <v>10</v>
      </c>
      <c r="B23" s="93"/>
      <c r="C23" s="56"/>
      <c r="D23" s="56"/>
      <c r="E23" s="56">
        <v>13372233.620000001</v>
      </c>
      <c r="F23" s="56">
        <v>153397232.41999999</v>
      </c>
      <c r="G23" s="56">
        <v>29353266.52</v>
      </c>
      <c r="H23" s="56">
        <v>44533051.039999999</v>
      </c>
      <c r="I23" s="56"/>
      <c r="J23" s="56"/>
      <c r="K23" s="56"/>
      <c r="L23" s="56">
        <v>1788488.24</v>
      </c>
      <c r="M23" s="94">
        <v>497373.61</v>
      </c>
      <c r="N23" s="93">
        <f t="shared" si="2"/>
        <v>242941645.45000002</v>
      </c>
      <c r="O23" s="8">
        <f t="shared" si="0"/>
        <v>10</v>
      </c>
    </row>
    <row r="24" spans="1:15" x14ac:dyDescent="0.3">
      <c r="A24" s="78">
        <f t="shared" si="1"/>
        <v>10.5</v>
      </c>
      <c r="B24" s="93"/>
      <c r="C24" s="56"/>
      <c r="D24" s="56"/>
      <c r="E24" s="56">
        <v>12585490.510000002</v>
      </c>
      <c r="F24" s="56">
        <v>168362855.5</v>
      </c>
      <c r="G24" s="56">
        <v>41180798.159999996</v>
      </c>
      <c r="H24" s="56">
        <v>51267820.759999998</v>
      </c>
      <c r="I24" s="56"/>
      <c r="J24" s="56"/>
      <c r="K24" s="56">
        <v>19539.89</v>
      </c>
      <c r="L24" s="56">
        <v>678444.35</v>
      </c>
      <c r="M24" s="94">
        <v>720276.66999999993</v>
      </c>
      <c r="N24" s="93">
        <f t="shared" si="2"/>
        <v>274815225.84000003</v>
      </c>
      <c r="O24" s="8">
        <f t="shared" si="0"/>
        <v>10.5</v>
      </c>
    </row>
    <row r="25" spans="1:15" x14ac:dyDescent="0.3">
      <c r="A25" s="78">
        <f t="shared" si="1"/>
        <v>11</v>
      </c>
      <c r="B25" s="93"/>
      <c r="C25" s="56"/>
      <c r="D25" s="56"/>
      <c r="E25" s="56">
        <v>15761549.840000002</v>
      </c>
      <c r="F25" s="56">
        <v>164698991.74000001</v>
      </c>
      <c r="G25" s="56">
        <v>45741016.189999998</v>
      </c>
      <c r="H25" s="56">
        <v>39154860.460000001</v>
      </c>
      <c r="I25" s="56"/>
      <c r="J25" s="56"/>
      <c r="K25" s="56">
        <v>161074.37</v>
      </c>
      <c r="L25" s="56">
        <v>6119587.2199999997</v>
      </c>
      <c r="M25" s="94">
        <v>519360.79000000004</v>
      </c>
      <c r="N25" s="93">
        <f t="shared" si="2"/>
        <v>272156440.61000007</v>
      </c>
      <c r="O25" s="8">
        <f t="shared" si="0"/>
        <v>11</v>
      </c>
    </row>
    <row r="26" spans="1:15" x14ac:dyDescent="0.3">
      <c r="A26" s="75">
        <f t="shared" si="1"/>
        <v>11.5</v>
      </c>
      <c r="B26" s="95"/>
      <c r="C26" s="11"/>
      <c r="D26" s="11"/>
      <c r="E26" s="11">
        <v>25195978.800000001</v>
      </c>
      <c r="F26" s="11">
        <v>125041170.81999999</v>
      </c>
      <c r="G26" s="11">
        <v>39511266.789999999</v>
      </c>
      <c r="H26" s="11">
        <v>30781005.91</v>
      </c>
      <c r="I26" s="11"/>
      <c r="J26" s="11"/>
      <c r="K26" s="11">
        <v>644297.6</v>
      </c>
      <c r="L26" s="11">
        <v>16371386.299999999</v>
      </c>
      <c r="M26" s="96">
        <v>980434.34</v>
      </c>
      <c r="N26" s="95">
        <f t="shared" si="2"/>
        <v>238525540.56</v>
      </c>
      <c r="O26" s="8">
        <f t="shared" si="0"/>
        <v>11.5</v>
      </c>
    </row>
    <row r="27" spans="1:15" x14ac:dyDescent="0.3">
      <c r="A27" s="78">
        <f t="shared" si="1"/>
        <v>12</v>
      </c>
      <c r="B27" s="93"/>
      <c r="C27" s="56">
        <v>250969.62</v>
      </c>
      <c r="D27" s="56">
        <v>19685.34</v>
      </c>
      <c r="E27" s="56">
        <v>22992087.32</v>
      </c>
      <c r="F27" s="56">
        <v>96799568.180000007</v>
      </c>
      <c r="G27" s="56">
        <v>29220363.559999999</v>
      </c>
      <c r="H27" s="56">
        <v>25545764.530000001</v>
      </c>
      <c r="I27" s="56"/>
      <c r="J27" s="56"/>
      <c r="K27" s="56">
        <v>844451.75</v>
      </c>
      <c r="L27" s="56">
        <v>25549949.390000001</v>
      </c>
      <c r="M27" s="94">
        <v>3755281.6000000006</v>
      </c>
      <c r="N27" s="93">
        <f t="shared" si="2"/>
        <v>204978121.28999999</v>
      </c>
      <c r="O27" s="8">
        <f t="shared" si="0"/>
        <v>12</v>
      </c>
    </row>
    <row r="28" spans="1:15" x14ac:dyDescent="0.3">
      <c r="A28" s="78">
        <f t="shared" si="1"/>
        <v>12.5</v>
      </c>
      <c r="B28" s="93"/>
      <c r="C28" s="56">
        <v>2339393.89</v>
      </c>
      <c r="D28" s="56">
        <v>79837.2</v>
      </c>
      <c r="E28" s="56">
        <v>22654099.879999999</v>
      </c>
      <c r="F28" s="56">
        <v>82094337.669999987</v>
      </c>
      <c r="G28" s="56">
        <v>24633716.120000001</v>
      </c>
      <c r="H28" s="56">
        <v>32287460.75</v>
      </c>
      <c r="I28" s="56"/>
      <c r="J28" s="56"/>
      <c r="K28" s="56">
        <v>2584861.2000000002</v>
      </c>
      <c r="L28" s="56">
        <v>33332314.780000001</v>
      </c>
      <c r="M28" s="94">
        <v>8434359.0200000014</v>
      </c>
      <c r="N28" s="93">
        <f t="shared" si="2"/>
        <v>208440380.50999999</v>
      </c>
      <c r="O28" s="8">
        <f t="shared" si="0"/>
        <v>12.5</v>
      </c>
    </row>
    <row r="29" spans="1:15" x14ac:dyDescent="0.3">
      <c r="A29" s="78">
        <f t="shared" si="1"/>
        <v>13</v>
      </c>
      <c r="B29" s="93"/>
      <c r="C29" s="56">
        <v>11228443.1</v>
      </c>
      <c r="D29" s="56">
        <v>213775.12</v>
      </c>
      <c r="E29" s="56">
        <v>47818318.390000001</v>
      </c>
      <c r="F29" s="56">
        <v>62311418.760000005</v>
      </c>
      <c r="G29" s="56">
        <v>11239241.639999999</v>
      </c>
      <c r="H29" s="56">
        <v>31132062.310000002</v>
      </c>
      <c r="I29" s="56"/>
      <c r="J29" s="56"/>
      <c r="K29" s="56">
        <v>2350369.8499999996</v>
      </c>
      <c r="L29" s="56">
        <v>36414540.109999999</v>
      </c>
      <c r="M29" s="94">
        <v>9459842.5299999993</v>
      </c>
      <c r="N29" s="93">
        <f t="shared" si="2"/>
        <v>212168011.80999997</v>
      </c>
      <c r="O29" s="8">
        <f t="shared" si="0"/>
        <v>13</v>
      </c>
    </row>
    <row r="30" spans="1:15" x14ac:dyDescent="0.3">
      <c r="A30" s="78">
        <f t="shared" si="1"/>
        <v>13.5</v>
      </c>
      <c r="B30" s="93"/>
      <c r="C30" s="56">
        <v>25437632.25</v>
      </c>
      <c r="D30" s="56">
        <v>546070.92000000004</v>
      </c>
      <c r="E30" s="56">
        <v>83495186.219999999</v>
      </c>
      <c r="F30" s="56">
        <v>76837345.850000009</v>
      </c>
      <c r="G30" s="56">
        <v>17411863.540000003</v>
      </c>
      <c r="H30" s="56">
        <v>26076518.240000002</v>
      </c>
      <c r="I30" s="56"/>
      <c r="J30" s="56"/>
      <c r="K30" s="56">
        <v>2101637.9700000002</v>
      </c>
      <c r="L30" s="56">
        <v>69346420.710000008</v>
      </c>
      <c r="M30" s="94">
        <v>8771293.1500000004</v>
      </c>
      <c r="N30" s="93">
        <f t="shared" si="2"/>
        <v>310023968.85000002</v>
      </c>
      <c r="O30" s="8">
        <f t="shared" si="0"/>
        <v>13.5</v>
      </c>
    </row>
    <row r="31" spans="1:15" x14ac:dyDescent="0.3">
      <c r="A31" s="78">
        <f t="shared" si="1"/>
        <v>14</v>
      </c>
      <c r="B31" s="93"/>
      <c r="C31" s="56">
        <v>28552267.489999998</v>
      </c>
      <c r="D31" s="56">
        <v>1045608</v>
      </c>
      <c r="E31" s="56">
        <v>162186162.84</v>
      </c>
      <c r="F31" s="56">
        <v>110008008.8</v>
      </c>
      <c r="G31" s="56">
        <v>23586832.75</v>
      </c>
      <c r="H31" s="56">
        <v>18411157.830000002</v>
      </c>
      <c r="I31" s="56"/>
      <c r="J31" s="56"/>
      <c r="K31" s="56">
        <v>700546.03</v>
      </c>
      <c r="L31" s="56">
        <v>100165613.22</v>
      </c>
      <c r="M31" s="94">
        <v>13282237.299999999</v>
      </c>
      <c r="N31" s="93">
        <f t="shared" si="2"/>
        <v>457938434.25999993</v>
      </c>
      <c r="O31" s="8">
        <f t="shared" si="0"/>
        <v>14</v>
      </c>
    </row>
    <row r="32" spans="1:15" x14ac:dyDescent="0.3">
      <c r="A32" s="78">
        <f t="shared" si="1"/>
        <v>14.5</v>
      </c>
      <c r="B32" s="93"/>
      <c r="C32" s="56">
        <v>14881761.309999999</v>
      </c>
      <c r="D32" s="56">
        <v>1723145.96</v>
      </c>
      <c r="E32" s="56">
        <v>197216728.32999998</v>
      </c>
      <c r="F32" s="56">
        <v>131509310.98999999</v>
      </c>
      <c r="G32" s="56">
        <v>28863017.039999999</v>
      </c>
      <c r="H32" s="56">
        <v>23402829.640000001</v>
      </c>
      <c r="I32" s="56"/>
      <c r="J32" s="56"/>
      <c r="K32" s="56">
        <v>883531.53</v>
      </c>
      <c r="L32" s="56">
        <v>139504825.78999999</v>
      </c>
      <c r="M32" s="94">
        <v>22412903.350000001</v>
      </c>
      <c r="N32" s="93">
        <f t="shared" si="2"/>
        <v>560398053.93999994</v>
      </c>
      <c r="O32" s="8">
        <f t="shared" si="0"/>
        <v>14.5</v>
      </c>
    </row>
    <row r="33" spans="1:17" x14ac:dyDescent="0.3">
      <c r="A33" s="78">
        <f t="shared" si="1"/>
        <v>15</v>
      </c>
      <c r="B33" s="93"/>
      <c r="C33" s="56">
        <v>4286036.63</v>
      </c>
      <c r="D33" s="56">
        <v>2094670.3900000001</v>
      </c>
      <c r="E33" s="56">
        <v>161641241.26000002</v>
      </c>
      <c r="F33" s="56">
        <v>90097450.320000008</v>
      </c>
      <c r="G33" s="56">
        <v>42373341.669999994</v>
      </c>
      <c r="H33" s="56">
        <v>17778617.77</v>
      </c>
      <c r="I33" s="56"/>
      <c r="J33" s="56"/>
      <c r="K33" s="56">
        <v>180614.26</v>
      </c>
      <c r="L33" s="56">
        <v>179936757.69</v>
      </c>
      <c r="M33" s="94">
        <v>20437570.41</v>
      </c>
      <c r="N33" s="93">
        <f t="shared" si="2"/>
        <v>518826300.40000004</v>
      </c>
      <c r="O33" s="8">
        <f t="shared" si="0"/>
        <v>15</v>
      </c>
    </row>
    <row r="34" spans="1:17" x14ac:dyDescent="0.3">
      <c r="A34" s="78">
        <f t="shared" si="1"/>
        <v>15.5</v>
      </c>
      <c r="B34" s="93"/>
      <c r="C34" s="56">
        <v>2473156.73</v>
      </c>
      <c r="D34" s="56">
        <v>3882964.7199999997</v>
      </c>
      <c r="E34" s="56">
        <v>132351293.84999999</v>
      </c>
      <c r="F34" s="56">
        <v>123901360.23999999</v>
      </c>
      <c r="G34" s="56">
        <v>33591064.729999997</v>
      </c>
      <c r="H34" s="56">
        <v>9995788.8200000003</v>
      </c>
      <c r="I34" s="56"/>
      <c r="J34" s="56"/>
      <c r="K34" s="56">
        <v>39079.78</v>
      </c>
      <c r="L34" s="56">
        <v>183527106.04000002</v>
      </c>
      <c r="M34" s="94">
        <v>25348676.879999999</v>
      </c>
      <c r="N34" s="93">
        <f t="shared" si="2"/>
        <v>515110491.78999996</v>
      </c>
      <c r="O34" s="8">
        <f t="shared" si="0"/>
        <v>15.5</v>
      </c>
    </row>
    <row r="35" spans="1:17" x14ac:dyDescent="0.3">
      <c r="A35" s="78">
        <f t="shared" si="1"/>
        <v>16</v>
      </c>
      <c r="B35" s="93"/>
      <c r="C35" s="56">
        <v>1495912.1400000001</v>
      </c>
      <c r="D35" s="56">
        <v>6974487.6799999997</v>
      </c>
      <c r="E35" s="56">
        <v>93573404.399999991</v>
      </c>
      <c r="F35" s="56">
        <v>121251161.69</v>
      </c>
      <c r="G35" s="56">
        <v>30183778.020000003</v>
      </c>
      <c r="H35" s="56">
        <v>10027200.08</v>
      </c>
      <c r="I35" s="56"/>
      <c r="J35" s="56"/>
      <c r="K35" s="56"/>
      <c r="L35" s="56">
        <v>93539563.219999999</v>
      </c>
      <c r="M35" s="94">
        <v>17899738.199999999</v>
      </c>
      <c r="N35" s="93">
        <f t="shared" si="2"/>
        <v>374945245.43000001</v>
      </c>
      <c r="O35" s="8">
        <f t="shared" si="0"/>
        <v>16</v>
      </c>
    </row>
    <row r="36" spans="1:17" x14ac:dyDescent="0.3">
      <c r="A36" s="78">
        <f t="shared" si="1"/>
        <v>16.5</v>
      </c>
      <c r="B36" s="93"/>
      <c r="C36" s="56">
        <v>1373995.8399999999</v>
      </c>
      <c r="D36" s="56">
        <v>9259595.7300000004</v>
      </c>
      <c r="E36" s="56">
        <v>69069937.689999998</v>
      </c>
      <c r="F36" s="56">
        <v>42146663.160000004</v>
      </c>
      <c r="G36" s="56">
        <v>27088496.580000002</v>
      </c>
      <c r="H36" s="56">
        <v>4592305.7200000007</v>
      </c>
      <c r="I36" s="56"/>
      <c r="J36" s="56"/>
      <c r="K36" s="56">
        <v>161074.37</v>
      </c>
      <c r="L36" s="56">
        <v>58544799.090000004</v>
      </c>
      <c r="M36" s="94">
        <v>12450709.92</v>
      </c>
      <c r="N36" s="93">
        <f t="shared" si="2"/>
        <v>224687578.09999999</v>
      </c>
      <c r="O36" s="8">
        <f t="shared" si="0"/>
        <v>16.5</v>
      </c>
    </row>
    <row r="37" spans="1:17" x14ac:dyDescent="0.3">
      <c r="A37" s="78">
        <f t="shared" si="1"/>
        <v>17</v>
      </c>
      <c r="B37" s="93"/>
      <c r="C37" s="56">
        <v>1034298.61</v>
      </c>
      <c r="D37" s="56">
        <v>7211522.54</v>
      </c>
      <c r="E37" s="56">
        <v>58701399.75</v>
      </c>
      <c r="F37" s="56">
        <v>27497908.120000001</v>
      </c>
      <c r="G37" s="56">
        <v>13217888.600000001</v>
      </c>
      <c r="H37" s="56">
        <v>1834261.65</v>
      </c>
      <c r="I37" s="56"/>
      <c r="J37" s="56"/>
      <c r="K37" s="56">
        <v>161074.37</v>
      </c>
      <c r="L37" s="56">
        <v>37986673.82</v>
      </c>
      <c r="M37" s="94">
        <v>5285816.78</v>
      </c>
      <c r="N37" s="93">
        <f t="shared" si="2"/>
        <v>152930844.24000001</v>
      </c>
      <c r="O37" s="8">
        <f t="shared" si="0"/>
        <v>17</v>
      </c>
    </row>
    <row r="38" spans="1:17" x14ac:dyDescent="0.3">
      <c r="A38" s="78">
        <f t="shared" si="1"/>
        <v>17.5</v>
      </c>
      <c r="B38" s="93"/>
      <c r="C38" s="56">
        <v>244887.81</v>
      </c>
      <c r="D38" s="56">
        <v>3312904.17</v>
      </c>
      <c r="E38" s="56">
        <v>48703180.899999999</v>
      </c>
      <c r="F38" s="56">
        <v>3296714.8600000003</v>
      </c>
      <c r="G38" s="56">
        <v>6838788.6799999997</v>
      </c>
      <c r="H38" s="56">
        <v>1024889.8099999999</v>
      </c>
      <c r="I38" s="56"/>
      <c r="J38" s="56"/>
      <c r="K38" s="56"/>
      <c r="L38" s="56">
        <v>22808303.82</v>
      </c>
      <c r="M38" s="94">
        <v>1990189.8599999999</v>
      </c>
      <c r="N38" s="93">
        <f t="shared" si="2"/>
        <v>88219859.909999996</v>
      </c>
      <c r="O38" s="8">
        <f t="shared" si="0"/>
        <v>17.5</v>
      </c>
    </row>
    <row r="39" spans="1:17" x14ac:dyDescent="0.3">
      <c r="A39" s="78">
        <f t="shared" si="1"/>
        <v>18</v>
      </c>
      <c r="B39" s="93"/>
      <c r="C39" s="56">
        <v>156398.57</v>
      </c>
      <c r="D39" s="56">
        <v>1060727.81</v>
      </c>
      <c r="E39" s="56">
        <v>25608299.079999998</v>
      </c>
      <c r="F39" s="56">
        <v>1500649.32</v>
      </c>
      <c r="G39" s="56">
        <v>1788420.17</v>
      </c>
      <c r="H39" s="56">
        <v>106166.44</v>
      </c>
      <c r="I39" s="56"/>
      <c r="J39" s="56"/>
      <c r="K39" s="56"/>
      <c r="L39" s="56">
        <v>3963804.64</v>
      </c>
      <c r="M39" s="94">
        <v>741864.44000000006</v>
      </c>
      <c r="N39" s="93">
        <f t="shared" si="2"/>
        <v>34926330.469999991</v>
      </c>
      <c r="O39" s="8">
        <f t="shared" si="0"/>
        <v>18</v>
      </c>
    </row>
    <row r="40" spans="1:17" x14ac:dyDescent="0.3">
      <c r="A40" s="78">
        <f t="shared" si="1"/>
        <v>18.5</v>
      </c>
      <c r="B40" s="93"/>
      <c r="C40" s="56">
        <v>18064.39</v>
      </c>
      <c r="D40" s="56">
        <v>13772.65</v>
      </c>
      <c r="E40" s="56">
        <v>14565698.1</v>
      </c>
      <c r="F40" s="56">
        <v>6549791.3500000006</v>
      </c>
      <c r="G40" s="56">
        <v>4943999.32</v>
      </c>
      <c r="H40" s="56"/>
      <c r="I40" s="56"/>
      <c r="J40" s="56"/>
      <c r="K40" s="56"/>
      <c r="L40" s="56">
        <v>725150.51</v>
      </c>
      <c r="M40" s="94">
        <v>253868.92</v>
      </c>
      <c r="N40" s="93">
        <f t="shared" si="2"/>
        <v>27070345.240000002</v>
      </c>
      <c r="O40" s="8">
        <f t="shared" si="0"/>
        <v>18.5</v>
      </c>
    </row>
    <row r="41" spans="1:17" x14ac:dyDescent="0.3">
      <c r="A41" s="78">
        <f t="shared" si="1"/>
        <v>19</v>
      </c>
      <c r="B41" s="93"/>
      <c r="C41" s="56"/>
      <c r="D41" s="56">
        <v>166910.82</v>
      </c>
      <c r="E41" s="56">
        <v>8592407.0099999998</v>
      </c>
      <c r="F41" s="56">
        <v>404391.88</v>
      </c>
      <c r="G41" s="56">
        <v>91594.85</v>
      </c>
      <c r="H41" s="56"/>
      <c r="I41" s="56"/>
      <c r="J41" s="56"/>
      <c r="K41" s="56"/>
      <c r="L41" s="56">
        <v>1855209.32</v>
      </c>
      <c r="M41" s="94">
        <v>44238.42</v>
      </c>
      <c r="N41" s="93">
        <f t="shared" si="2"/>
        <v>11154752.300000001</v>
      </c>
      <c r="O41" s="8">
        <f t="shared" si="0"/>
        <v>19</v>
      </c>
    </row>
    <row r="42" spans="1:17" x14ac:dyDescent="0.3">
      <c r="A42" s="78">
        <f>+A41+0.5</f>
        <v>19.5</v>
      </c>
      <c r="B42" s="93"/>
      <c r="C42" s="56">
        <v>14301</v>
      </c>
      <c r="D42" s="56"/>
      <c r="E42" s="56">
        <v>2499079.7799999998</v>
      </c>
      <c r="F42" s="56"/>
      <c r="G42" s="56">
        <v>1189133.43</v>
      </c>
      <c r="H42" s="56"/>
      <c r="I42" s="56"/>
      <c r="J42" s="56"/>
      <c r="K42" s="56"/>
      <c r="L42" s="56"/>
      <c r="M42" s="94"/>
      <c r="N42" s="93">
        <f>IF(SUM(B42:M42)&gt;0,SUM(B42:M42)," ")</f>
        <v>3702514.21</v>
      </c>
      <c r="O42" s="8">
        <f t="shared" si="0"/>
        <v>19.5</v>
      </c>
    </row>
    <row r="43" spans="1:17" x14ac:dyDescent="0.3">
      <c r="A43" s="78">
        <f t="shared" si="1"/>
        <v>20</v>
      </c>
      <c r="B43" s="93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94"/>
      <c r="N43" s="93" t="str">
        <f>IF(SUM(B43:M43)&gt;0,SUM(B43:M43)," ")</f>
        <v xml:space="preserve"> </v>
      </c>
      <c r="O43" s="19"/>
    </row>
    <row r="44" spans="1:17" x14ac:dyDescent="0.3">
      <c r="A44" s="78">
        <f>+A43+0.5</f>
        <v>20.5</v>
      </c>
      <c r="B44" s="93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94"/>
      <c r="N44" s="93" t="str">
        <f>IF(SUM(B44:M44)&gt;0,SUM(B44:M44)," ")</f>
        <v xml:space="preserve"> </v>
      </c>
      <c r="O44" s="19"/>
    </row>
    <row r="45" spans="1:17" x14ac:dyDescent="0.3">
      <c r="A45" s="79" t="s">
        <v>13</v>
      </c>
      <c r="B45" s="91" t="str">
        <f>IF(SUM(B11:B44)&gt;0,SUM(B11:B44)," ")</f>
        <v xml:space="preserve"> </v>
      </c>
      <c r="C45" s="65">
        <f t="shared" ref="C45:M45" si="3">IF(SUM(C11:C44)&gt;0,SUM(C11:C44)," ")</f>
        <v>93787519.379999995</v>
      </c>
      <c r="D45" s="65">
        <f t="shared" si="3"/>
        <v>37605679.049999997</v>
      </c>
      <c r="E45" s="65">
        <f t="shared" si="3"/>
        <v>1258899106.79</v>
      </c>
      <c r="F45" s="65">
        <f t="shared" si="3"/>
        <v>1843017134.0299997</v>
      </c>
      <c r="G45" s="65">
        <f t="shared" si="3"/>
        <v>467338350.53000003</v>
      </c>
      <c r="H45" s="65">
        <f t="shared" si="3"/>
        <v>426348958.94999993</v>
      </c>
      <c r="I45" s="65" t="str">
        <f t="shared" si="3"/>
        <v xml:space="preserve"> </v>
      </c>
      <c r="J45" s="65" t="str">
        <f t="shared" si="3"/>
        <v xml:space="preserve"> </v>
      </c>
      <c r="K45" s="65">
        <f t="shared" si="3"/>
        <v>10832152.969999997</v>
      </c>
      <c r="L45" s="65">
        <f t="shared" si="3"/>
        <v>1012161118.6</v>
      </c>
      <c r="M45" s="92">
        <f t="shared" si="3"/>
        <v>154849210.67999998</v>
      </c>
      <c r="N45" s="91">
        <f>SUM(N11:N44)</f>
        <v>5304839230.9800005</v>
      </c>
      <c r="O45" s="12" t="e">
        <f>+#REF!+#REF!+#REF!+#REF!+#REF!</f>
        <v>#REF!</v>
      </c>
      <c r="P45" s="12" t="e">
        <f>+O45-N45</f>
        <v>#REF!</v>
      </c>
    </row>
    <row r="46" spans="1:17" ht="14" x14ac:dyDescent="0.3">
      <c r="A46" s="80" t="s">
        <v>24</v>
      </c>
      <c r="B46" s="93"/>
      <c r="C46" s="56">
        <v>368.61900000000003</v>
      </c>
      <c r="D46" s="56">
        <v>113.637</v>
      </c>
      <c r="E46" s="56">
        <v>1146.479</v>
      </c>
      <c r="F46" s="56">
        <v>942.08</v>
      </c>
      <c r="G46" s="56">
        <v>611.524</v>
      </c>
      <c r="H46" s="56">
        <v>249.358057</v>
      </c>
      <c r="I46" s="56"/>
      <c r="J46" s="56"/>
      <c r="K46" s="56">
        <v>390.21350000000001</v>
      </c>
      <c r="L46" s="56">
        <v>1722.3172</v>
      </c>
      <c r="M46" s="94">
        <v>850.16399999999999</v>
      </c>
      <c r="N46" s="121">
        <f>IF(SUM(B46:M46)&gt;0,SUM(B46:M46)," ")</f>
        <v>6394.3917569999994</v>
      </c>
      <c r="O46" s="12" t="e">
        <f>+#REF!+#REF!+#REF!+#REF!+#REF!</f>
        <v>#REF!</v>
      </c>
      <c r="P46" s="12" t="e">
        <f>+O46-N46</f>
        <v>#REF!</v>
      </c>
    </row>
    <row r="47" spans="1:17" x14ac:dyDescent="0.3">
      <c r="A47" s="78" t="s">
        <v>17</v>
      </c>
      <c r="B47" s="93"/>
      <c r="C47" s="56">
        <v>1689.1790000000001</v>
      </c>
      <c r="D47" s="56">
        <v>5373.9290000000001</v>
      </c>
      <c r="E47" s="56">
        <v>28988.177</v>
      </c>
      <c r="F47" s="56">
        <v>26386.261999999999</v>
      </c>
      <c r="G47" s="56">
        <v>7807.2449999999999</v>
      </c>
      <c r="H47" s="56">
        <v>4475.093057</v>
      </c>
      <c r="I47" s="56"/>
      <c r="J47" s="56"/>
      <c r="K47" s="56">
        <v>539.43949999999995</v>
      </c>
      <c r="L47" s="56">
        <v>25859.718199999999</v>
      </c>
      <c r="M47" s="94">
        <v>3869.5709999999999</v>
      </c>
      <c r="N47" s="121">
        <f>IF(SUM(B47:M47)&gt;0,SUM(B47:M47)," ")</f>
        <v>104988.613757</v>
      </c>
      <c r="O47" s="12" t="e">
        <f>+#REF!+#REF!+#REF!+#REF!+#REF!</f>
        <v>#REF!</v>
      </c>
      <c r="P47" s="12" t="e">
        <f>+O47-N47</f>
        <v>#REF!</v>
      </c>
      <c r="Q47" s="12">
        <f>+N47+'V-XIV R ART (MONITOREOS)'!N47</f>
        <v>104992.40957</v>
      </c>
    </row>
    <row r="48" spans="1:17" ht="14" x14ac:dyDescent="0.3">
      <c r="A48" s="80" t="s">
        <v>21</v>
      </c>
      <c r="B48" s="97"/>
      <c r="C48" s="58">
        <f t="shared" ref="C48:N48" si="4">SUM(C9:C26)*100/C45</f>
        <v>0</v>
      </c>
      <c r="D48" s="58">
        <f t="shared" si="4"/>
        <v>0</v>
      </c>
      <c r="E48" s="58">
        <f t="shared" si="4"/>
        <v>8.5178058679715463</v>
      </c>
      <c r="F48" s="58">
        <f t="shared" si="4"/>
        <v>47.032175492834583</v>
      </c>
      <c r="G48" s="58">
        <f t="shared" si="4"/>
        <v>36.606627646968164</v>
      </c>
      <c r="H48" s="58">
        <f t="shared" si="4"/>
        <v>52.570536565162648</v>
      </c>
      <c r="I48" s="58"/>
      <c r="J48" s="58"/>
      <c r="K48" s="58"/>
      <c r="L48" s="58">
        <f t="shared" si="4"/>
        <v>2.4660190943240603</v>
      </c>
      <c r="M48" s="98">
        <f t="shared" si="4"/>
        <v>2.7643795413629939</v>
      </c>
      <c r="N48" s="97">
        <f t="shared" si="4"/>
        <v>26.378141491226568</v>
      </c>
    </row>
    <row r="49" spans="1:15" x14ac:dyDescent="0.3">
      <c r="A49" s="75" t="s">
        <v>19</v>
      </c>
      <c r="B49" s="99"/>
      <c r="C49" s="68">
        <v>14</v>
      </c>
      <c r="D49" s="71">
        <v>16.5</v>
      </c>
      <c r="E49" s="71">
        <v>14.5</v>
      </c>
      <c r="F49" s="71">
        <v>10.5</v>
      </c>
      <c r="G49" s="71">
        <v>11</v>
      </c>
      <c r="H49" s="71">
        <v>10.5</v>
      </c>
      <c r="I49" s="71"/>
      <c r="J49" s="71"/>
      <c r="K49" s="71">
        <v>12.5</v>
      </c>
      <c r="L49" s="71">
        <v>15.5</v>
      </c>
      <c r="M49" s="120">
        <v>15.5</v>
      </c>
      <c r="N49" s="128" t="s">
        <v>34</v>
      </c>
    </row>
    <row r="50" spans="1:15" x14ac:dyDescent="0.3">
      <c r="A50" s="13" t="s">
        <v>14</v>
      </c>
    </row>
    <row r="51" spans="1:15" s="15" customFormat="1" ht="14" x14ac:dyDescent="0.3">
      <c r="A51" s="15" t="s">
        <v>30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5" s="15" customFormat="1" ht="14" x14ac:dyDescent="0.3">
      <c r="A52" s="17" t="s">
        <v>31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5" x14ac:dyDescent="0.3">
      <c r="A53" s="19"/>
      <c r="B53" s="4">
        <v>0</v>
      </c>
      <c r="C53" s="4">
        <v>1</v>
      </c>
      <c r="D53" s="4">
        <v>2</v>
      </c>
      <c r="E53" s="4">
        <v>3</v>
      </c>
      <c r="F53" s="4">
        <v>4</v>
      </c>
      <c r="G53" s="4">
        <v>5</v>
      </c>
      <c r="H53" s="4">
        <v>6</v>
      </c>
      <c r="I53" s="4">
        <v>7</v>
      </c>
      <c r="J53" s="4">
        <v>8</v>
      </c>
      <c r="K53" s="4">
        <v>9</v>
      </c>
      <c r="L53" s="4">
        <v>10</v>
      </c>
      <c r="M53" s="4">
        <v>11</v>
      </c>
      <c r="N53" s="4">
        <v>12</v>
      </c>
      <c r="O53" s="20"/>
    </row>
    <row r="54" spans="1:15" x14ac:dyDescent="0.3">
      <c r="A54" s="21">
        <v>14</v>
      </c>
      <c r="B54" s="22" t="e">
        <f>+VLOOKUP(MAX(B9:B44),B9:$O$44,14,0)</f>
        <v>#N/A</v>
      </c>
      <c r="C54" s="23">
        <f>+VLOOKUP(MAX(C9:C44),C9:$O$44,+$A$54-C53,0)</f>
        <v>14</v>
      </c>
      <c r="D54" s="23">
        <f>+VLOOKUP(MAX(D9:D44),D9:$O$44,+$A$54-D53,0)</f>
        <v>16.5</v>
      </c>
      <c r="E54" s="23">
        <f>+VLOOKUP(MAX(E9:E44),E9:$O$44,+$A$54-E53,0)</f>
        <v>14.5</v>
      </c>
      <c r="F54" s="23">
        <f>+VLOOKUP(MAX(F9:F44),F9:$O$44,+$A$54-F53,0)</f>
        <v>10.5</v>
      </c>
      <c r="G54" s="23">
        <f>+VLOOKUP(MAX(G9:G44),G9:$O$44,+$A$54-G53,0)</f>
        <v>11</v>
      </c>
      <c r="H54" s="23">
        <f>+VLOOKUP(MAX(H9:H44),H9:$O$44,+$A$54-H53,0)</f>
        <v>10.5</v>
      </c>
      <c r="I54" s="23" t="e">
        <f>+VLOOKUP(MAX(I9:I44),I9:$O$44,+$A$54-I53,0)</f>
        <v>#N/A</v>
      </c>
      <c r="J54" s="23" t="e">
        <f>+VLOOKUP(MAX(J9:J44),J9:$O$44,+$A$54-J53,0)</f>
        <v>#N/A</v>
      </c>
      <c r="K54" s="23">
        <f>+VLOOKUP(MAX(K9:K44),K9:$O$44,+$A$54-K53,0)</f>
        <v>12.5</v>
      </c>
      <c r="L54" s="23">
        <f>+VLOOKUP(MAX(L9:L44),L9:$O$44,+$A$54-L53,0)</f>
        <v>15.5</v>
      </c>
      <c r="M54" s="23">
        <f>+VLOOKUP(MAX(M9:M44),M9:$O$44,+$A$54-M53,0)</f>
        <v>15.5</v>
      </c>
      <c r="N54" s="23">
        <f>+VLOOKUP(MAX(N9:N44),N9:$O$44,+$A$54-N53,0)</f>
        <v>14.5</v>
      </c>
    </row>
    <row r="56" spans="1:15" x14ac:dyDescent="0.3">
      <c r="N56" s="9" t="e">
        <f>+D45+E45+F45+H45+I45+K45+L45+M45</f>
        <v>#VALUE!</v>
      </c>
    </row>
    <row r="58" spans="1:15" x14ac:dyDescent="0.3">
      <c r="A58" s="1" t="s">
        <v>22</v>
      </c>
      <c r="B58" s="9">
        <f t="shared" ref="B58:M58" si="5">-SUM(B9:B26)</f>
        <v>0</v>
      </c>
      <c r="C58" s="9">
        <f t="shared" si="5"/>
        <v>0</v>
      </c>
      <c r="D58" s="9">
        <f t="shared" si="5"/>
        <v>0</v>
      </c>
      <c r="E58" s="9">
        <f t="shared" si="5"/>
        <v>-107230581.99000001</v>
      </c>
      <c r="F58" s="9">
        <f t="shared" si="5"/>
        <v>-866811052.83999991</v>
      </c>
      <c r="G58" s="9">
        <f t="shared" si="5"/>
        <v>-171076809.82999998</v>
      </c>
      <c r="H58" s="9">
        <f t="shared" si="5"/>
        <v>-224133935.35999998</v>
      </c>
      <c r="I58" s="9">
        <f t="shared" si="5"/>
        <v>0</v>
      </c>
      <c r="J58" s="9">
        <f t="shared" si="5"/>
        <v>0</v>
      </c>
      <c r="K58" s="9">
        <f t="shared" si="5"/>
        <v>-824911.86</v>
      </c>
      <c r="L58" s="9">
        <f t="shared" si="5"/>
        <v>-24960086.449999999</v>
      </c>
      <c r="M58" s="9">
        <f t="shared" si="5"/>
        <v>-4280619.8999999994</v>
      </c>
    </row>
    <row r="59" spans="1:15" x14ac:dyDescent="0.3">
      <c r="A59" s="1" t="s">
        <v>23</v>
      </c>
      <c r="B59" s="9">
        <f t="shared" ref="B59:M59" si="6">SUM(B27:B42)</f>
        <v>0</v>
      </c>
      <c r="C59" s="9">
        <f t="shared" si="6"/>
        <v>93787519.379999995</v>
      </c>
      <c r="D59" s="9">
        <f t="shared" si="6"/>
        <v>37605679.049999997</v>
      </c>
      <c r="E59" s="9">
        <f t="shared" si="6"/>
        <v>1151668524.8</v>
      </c>
      <c r="F59" s="9">
        <f t="shared" si="6"/>
        <v>976206081.19000006</v>
      </c>
      <c r="G59" s="9">
        <f t="shared" si="6"/>
        <v>296261540.70000005</v>
      </c>
      <c r="H59" s="9">
        <f t="shared" si="6"/>
        <v>202215023.59000003</v>
      </c>
      <c r="I59" s="9">
        <f t="shared" si="6"/>
        <v>0</v>
      </c>
      <c r="J59" s="9">
        <f t="shared" si="6"/>
        <v>0</v>
      </c>
      <c r="K59" s="9">
        <f t="shared" si="6"/>
        <v>10007241.109999996</v>
      </c>
      <c r="L59" s="9">
        <f t="shared" si="6"/>
        <v>987201032.15000021</v>
      </c>
      <c r="M59" s="9">
        <f t="shared" si="6"/>
        <v>150568590.77999997</v>
      </c>
    </row>
    <row r="61" spans="1:15" x14ac:dyDescent="0.3">
      <c r="N61" s="52">
        <f>(N46*1000000)/N45</f>
        <v>1.2053884158556711</v>
      </c>
      <c r="O61" s="53" t="s">
        <v>15</v>
      </c>
    </row>
    <row r="63" spans="1:15" x14ac:dyDescent="0.3">
      <c r="N63" s="52">
        <f>(N47*1000000)/N45</f>
        <v>19.791101895015338</v>
      </c>
      <c r="O63" s="53" t="s">
        <v>16</v>
      </c>
    </row>
    <row r="65" spans="1:16" x14ac:dyDescent="0.3">
      <c r="A65" s="19">
        <v>14</v>
      </c>
      <c r="B65" s="4">
        <v>0</v>
      </c>
      <c r="C65" s="4">
        <v>1</v>
      </c>
      <c r="D65" s="4">
        <v>2</v>
      </c>
      <c r="E65" s="4">
        <v>3</v>
      </c>
      <c r="F65" s="4">
        <v>4</v>
      </c>
      <c r="G65" s="4">
        <v>5</v>
      </c>
      <c r="H65" s="4">
        <v>6</v>
      </c>
      <c r="I65" s="4">
        <v>7</v>
      </c>
      <c r="J65" s="4">
        <v>8</v>
      </c>
      <c r="K65" s="4">
        <v>9</v>
      </c>
      <c r="L65" s="4">
        <v>10</v>
      </c>
      <c r="M65" s="4">
        <v>11</v>
      </c>
    </row>
    <row r="66" spans="1:16" x14ac:dyDescent="0.3">
      <c r="A66" s="19"/>
    </row>
    <row r="67" spans="1:16" x14ac:dyDescent="0.3">
      <c r="A67" s="19"/>
      <c r="B67" s="4" t="e">
        <f>+VLOOKUP(MAX(B9:B42),B9:N42,$A$65-B65,0)</f>
        <v>#N/A</v>
      </c>
      <c r="C67" s="4">
        <f>+VLOOKUP(MAX(C9:C42),C9:O42,$A$65-C65,0)</f>
        <v>14</v>
      </c>
      <c r="D67" s="4">
        <f t="shared" ref="D67:M67" si="7">+VLOOKUP(MAX(D9:D42),D9:O42,$A$65-D65,0)</f>
        <v>16.5</v>
      </c>
      <c r="E67" s="4">
        <f t="shared" si="7"/>
        <v>14.5</v>
      </c>
      <c r="F67" s="4">
        <f t="shared" si="7"/>
        <v>10.5</v>
      </c>
      <c r="G67" s="4">
        <f t="shared" si="7"/>
        <v>11</v>
      </c>
      <c r="H67" s="4">
        <f t="shared" si="7"/>
        <v>10.5</v>
      </c>
      <c r="I67" s="4" t="e">
        <f t="shared" si="7"/>
        <v>#N/A</v>
      </c>
      <c r="J67" s="4" t="e">
        <f t="shared" si="7"/>
        <v>#N/A</v>
      </c>
      <c r="K67" s="4">
        <f t="shared" si="7"/>
        <v>12.5</v>
      </c>
      <c r="L67" s="4">
        <f t="shared" si="7"/>
        <v>15.5</v>
      </c>
      <c r="M67" s="4">
        <f t="shared" si="7"/>
        <v>15.5</v>
      </c>
    </row>
    <row r="78" spans="1:16" x14ac:dyDescent="0.3">
      <c r="P78" s="12" t="e">
        <f>+N45+#REF!+#REF!+#REF!</f>
        <v>#REF!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3C</oddFooter>
  </headerFooter>
  <ignoredErrors>
    <ignoredError sqref="D48:G48 N48" evalError="1"/>
    <ignoredError sqref="N45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tabColor rgb="FFFFC000"/>
  </sheetPr>
  <dimension ref="A1:Q78"/>
  <sheetViews>
    <sheetView topLeftCell="A19" zoomScale="70" zoomScaleNormal="70" zoomScalePageLayoutView="60" workbookViewId="0">
      <selection activeCell="B46" sqref="B46:K47"/>
    </sheetView>
  </sheetViews>
  <sheetFormatPr baseColWidth="10" defaultRowHeight="13" x14ac:dyDescent="0.3"/>
  <cols>
    <col min="1" max="1" width="20.1796875" style="1" customWidth="1"/>
    <col min="2" max="7" width="14.1796875" style="4" customWidth="1"/>
    <col min="8" max="13" width="12.36328125" style="4" customWidth="1"/>
    <col min="14" max="14" width="14.26953125" style="4" customWidth="1"/>
    <col min="15" max="16" width="12.26953125" style="1" bestFit="1" customWidth="1"/>
    <col min="17" max="16384" width="10.90625" style="1"/>
  </cols>
  <sheetData>
    <row r="1" spans="1:15" s="2" customFormat="1" ht="20" x14ac:dyDescent="0.4">
      <c r="A1" s="129" t="s">
        <v>26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5" s="2" customFormat="1" ht="20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s="2" customFormat="1" ht="20" x14ac:dyDescent="0.4">
      <c r="A3" s="129" t="s">
        <v>20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5" s="2" customFormat="1" ht="20" x14ac:dyDescent="0.4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5" s="2" customFormat="1" ht="20" x14ac:dyDescent="0.4">
      <c r="A5" s="129" t="s">
        <v>33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7" spans="1:15" s="5" customFormat="1" ht="19.149999999999999" customHeight="1" thickBot="1" x14ac:dyDescent="0.35">
      <c r="B7" s="131" t="s">
        <v>12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60"/>
      <c r="O7" s="1"/>
    </row>
    <row r="8" spans="1:15" s="5" customFormat="1" ht="19.149999999999999" customHeight="1" thickBot="1" x14ac:dyDescent="0.35">
      <c r="A8" s="76" t="s">
        <v>18</v>
      </c>
      <c r="B8" s="89" t="s">
        <v>0</v>
      </c>
      <c r="C8" s="63" t="s">
        <v>1</v>
      </c>
      <c r="D8" s="63" t="s">
        <v>2</v>
      </c>
      <c r="E8" s="63" t="s">
        <v>3</v>
      </c>
      <c r="F8" s="63" t="s">
        <v>4</v>
      </c>
      <c r="G8" s="63" t="s">
        <v>5</v>
      </c>
      <c r="H8" s="63" t="s">
        <v>6</v>
      </c>
      <c r="I8" s="63" t="s">
        <v>7</v>
      </c>
      <c r="J8" s="63" t="s">
        <v>8</v>
      </c>
      <c r="K8" s="63" t="s">
        <v>9</v>
      </c>
      <c r="L8" s="63" t="s">
        <v>10</v>
      </c>
      <c r="M8" s="90" t="s">
        <v>11</v>
      </c>
      <c r="N8" s="122" t="s">
        <v>13</v>
      </c>
      <c r="O8" s="6" t="s">
        <v>18</v>
      </c>
    </row>
    <row r="9" spans="1:15" x14ac:dyDescent="0.3">
      <c r="A9" s="77">
        <v>3</v>
      </c>
      <c r="B9" s="91"/>
      <c r="C9" s="65"/>
      <c r="D9" s="65"/>
      <c r="E9" s="65"/>
      <c r="F9" s="65"/>
      <c r="G9" s="65"/>
      <c r="H9" s="65"/>
      <c r="I9" s="65"/>
      <c r="J9" s="65"/>
      <c r="K9" s="65"/>
      <c r="L9" s="65"/>
      <c r="M9" s="92"/>
      <c r="N9" s="91" t="str">
        <f t="shared" ref="N9:N44" si="0">IF(SUM(B9:M9)&gt;0,SUM(B9:M9)," ")</f>
        <v xml:space="preserve"> </v>
      </c>
      <c r="O9" s="7">
        <f>+A9</f>
        <v>3</v>
      </c>
    </row>
    <row r="10" spans="1:15" x14ac:dyDescent="0.3">
      <c r="A10" s="78">
        <f>+A9+0.5</f>
        <v>3.5</v>
      </c>
      <c r="B10" s="93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94"/>
      <c r="N10" s="93" t="str">
        <f t="shared" si="0"/>
        <v xml:space="preserve"> </v>
      </c>
      <c r="O10" s="8">
        <f t="shared" ref="O10:O42" si="1">+A10</f>
        <v>3.5</v>
      </c>
    </row>
    <row r="11" spans="1:15" x14ac:dyDescent="0.3">
      <c r="A11" s="78">
        <f t="shared" ref="A11:A43" si="2">+A10+0.5</f>
        <v>4</v>
      </c>
      <c r="B11" s="93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94"/>
      <c r="N11" s="93" t="str">
        <f t="shared" si="0"/>
        <v xml:space="preserve"> </v>
      </c>
      <c r="O11" s="8">
        <f t="shared" si="1"/>
        <v>4</v>
      </c>
    </row>
    <row r="12" spans="1:15" x14ac:dyDescent="0.3">
      <c r="A12" s="78">
        <f t="shared" si="2"/>
        <v>4.5</v>
      </c>
      <c r="B12" s="93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94"/>
      <c r="N12" s="93" t="str">
        <f t="shared" si="0"/>
        <v xml:space="preserve"> </v>
      </c>
      <c r="O12" s="8">
        <f t="shared" si="1"/>
        <v>4.5</v>
      </c>
    </row>
    <row r="13" spans="1:15" x14ac:dyDescent="0.3">
      <c r="A13" s="78">
        <f t="shared" si="2"/>
        <v>5</v>
      </c>
      <c r="B13" s="93"/>
      <c r="C13" s="56">
        <v>27.85</v>
      </c>
      <c r="D13" s="56"/>
      <c r="E13" s="56"/>
      <c r="F13" s="56"/>
      <c r="G13" s="56"/>
      <c r="H13" s="56"/>
      <c r="I13" s="56"/>
      <c r="J13" s="56"/>
      <c r="K13" s="56"/>
      <c r="L13" s="56"/>
      <c r="M13" s="94"/>
      <c r="N13" s="93">
        <f t="shared" si="0"/>
        <v>27.85</v>
      </c>
      <c r="O13" s="8">
        <f t="shared" si="1"/>
        <v>5</v>
      </c>
    </row>
    <row r="14" spans="1:15" x14ac:dyDescent="0.3">
      <c r="A14" s="78">
        <f t="shared" si="2"/>
        <v>5.5</v>
      </c>
      <c r="B14" s="93"/>
      <c r="C14" s="56">
        <v>69.62</v>
      </c>
      <c r="D14" s="56"/>
      <c r="E14" s="56"/>
      <c r="F14" s="56"/>
      <c r="G14" s="56"/>
      <c r="H14" s="56"/>
      <c r="I14" s="56"/>
      <c r="J14" s="56"/>
      <c r="K14" s="56"/>
      <c r="L14" s="56"/>
      <c r="M14" s="94"/>
      <c r="N14" s="93">
        <f t="shared" si="0"/>
        <v>69.62</v>
      </c>
      <c r="O14" s="8">
        <f t="shared" si="1"/>
        <v>5.5</v>
      </c>
    </row>
    <row r="15" spans="1:15" x14ac:dyDescent="0.3">
      <c r="A15" s="78">
        <f t="shared" si="2"/>
        <v>6</v>
      </c>
      <c r="B15" s="93"/>
      <c r="C15" s="56">
        <v>97.47</v>
      </c>
      <c r="D15" s="56">
        <v>0.17</v>
      </c>
      <c r="E15" s="56"/>
      <c r="F15" s="56"/>
      <c r="G15" s="56"/>
      <c r="H15" s="56"/>
      <c r="I15" s="56"/>
      <c r="J15" s="56">
        <v>17.77</v>
      </c>
      <c r="K15" s="56">
        <v>86.6</v>
      </c>
      <c r="L15" s="56"/>
      <c r="M15" s="94"/>
      <c r="N15" s="93">
        <f t="shared" si="0"/>
        <v>202.01</v>
      </c>
      <c r="O15" s="8">
        <f t="shared" si="1"/>
        <v>6</v>
      </c>
    </row>
    <row r="16" spans="1:15" x14ac:dyDescent="0.3">
      <c r="A16" s="78">
        <f t="shared" si="2"/>
        <v>6.5</v>
      </c>
      <c r="B16" s="93"/>
      <c r="C16" s="56">
        <v>286.37</v>
      </c>
      <c r="D16" s="56">
        <v>0.34</v>
      </c>
      <c r="E16" s="56"/>
      <c r="F16" s="56"/>
      <c r="G16" s="56"/>
      <c r="H16" s="56"/>
      <c r="I16" s="56"/>
      <c r="J16" s="56">
        <v>138.41</v>
      </c>
      <c r="K16" s="56">
        <v>365.95</v>
      </c>
      <c r="L16" s="56"/>
      <c r="M16" s="94"/>
      <c r="N16" s="93">
        <f t="shared" si="0"/>
        <v>791.06999999999994</v>
      </c>
      <c r="O16" s="8">
        <f t="shared" si="1"/>
        <v>6.5</v>
      </c>
    </row>
    <row r="17" spans="1:15" x14ac:dyDescent="0.3">
      <c r="A17" s="78">
        <f t="shared" si="2"/>
        <v>7</v>
      </c>
      <c r="B17" s="93"/>
      <c r="C17" s="56">
        <v>443.05</v>
      </c>
      <c r="D17" s="56">
        <v>29.39</v>
      </c>
      <c r="E17" s="56"/>
      <c r="F17" s="56"/>
      <c r="G17" s="56"/>
      <c r="H17" s="56"/>
      <c r="I17" s="56"/>
      <c r="J17" s="56">
        <v>240.04</v>
      </c>
      <c r="K17" s="56">
        <v>386.90999999999997</v>
      </c>
      <c r="L17" s="56"/>
      <c r="M17" s="94"/>
      <c r="N17" s="93">
        <f t="shared" si="0"/>
        <v>1099.3899999999999</v>
      </c>
      <c r="O17" s="8">
        <f t="shared" si="1"/>
        <v>7</v>
      </c>
    </row>
    <row r="18" spans="1:15" x14ac:dyDescent="0.3">
      <c r="A18" s="78">
        <f t="shared" si="2"/>
        <v>7.5</v>
      </c>
      <c r="B18" s="93"/>
      <c r="C18" s="56">
        <v>334.87</v>
      </c>
      <c r="D18" s="56">
        <v>89.76</v>
      </c>
      <c r="E18" s="56"/>
      <c r="F18" s="56"/>
      <c r="G18" s="56"/>
      <c r="H18" s="56"/>
      <c r="I18" s="56">
        <v>79.08</v>
      </c>
      <c r="J18" s="56">
        <v>686.96999999999991</v>
      </c>
      <c r="K18" s="56">
        <v>693.99</v>
      </c>
      <c r="L18" s="56"/>
      <c r="M18" s="94"/>
      <c r="N18" s="93">
        <f t="shared" si="0"/>
        <v>1884.6699999999998</v>
      </c>
      <c r="O18" s="8">
        <f t="shared" si="1"/>
        <v>7.5</v>
      </c>
    </row>
    <row r="19" spans="1:15" x14ac:dyDescent="0.3">
      <c r="A19" s="78">
        <f t="shared" si="2"/>
        <v>8</v>
      </c>
      <c r="B19" s="93"/>
      <c r="C19" s="56">
        <v>532.79999999999995</v>
      </c>
      <c r="D19" s="56">
        <v>305.39999999999998</v>
      </c>
      <c r="E19" s="56"/>
      <c r="F19" s="56"/>
      <c r="G19" s="56"/>
      <c r="H19" s="56"/>
      <c r="I19" s="56">
        <v>52.72</v>
      </c>
      <c r="J19" s="56">
        <v>734.78</v>
      </c>
      <c r="K19" s="56">
        <v>827.55000000000007</v>
      </c>
      <c r="L19" s="56"/>
      <c r="M19" s="94"/>
      <c r="N19" s="93">
        <f t="shared" si="0"/>
        <v>2453.25</v>
      </c>
      <c r="O19" s="8">
        <f t="shared" si="1"/>
        <v>8</v>
      </c>
    </row>
    <row r="20" spans="1:15" x14ac:dyDescent="0.3">
      <c r="A20" s="78">
        <f t="shared" si="2"/>
        <v>8.5</v>
      </c>
      <c r="B20" s="93"/>
      <c r="C20" s="56">
        <v>474.11</v>
      </c>
      <c r="D20" s="56">
        <v>1235.6600000000001</v>
      </c>
      <c r="E20" s="56"/>
      <c r="F20" s="56"/>
      <c r="G20" s="56"/>
      <c r="H20" s="56"/>
      <c r="I20" s="56">
        <v>79.08</v>
      </c>
      <c r="J20" s="56">
        <v>1689.54</v>
      </c>
      <c r="K20" s="56">
        <v>629.21</v>
      </c>
      <c r="L20" s="56"/>
      <c r="M20" s="94"/>
      <c r="N20" s="93">
        <f t="shared" si="0"/>
        <v>4107.6000000000004</v>
      </c>
      <c r="O20" s="8">
        <f t="shared" si="1"/>
        <v>8.5</v>
      </c>
    </row>
    <row r="21" spans="1:15" x14ac:dyDescent="0.3">
      <c r="A21" s="78">
        <f t="shared" si="2"/>
        <v>9</v>
      </c>
      <c r="B21" s="93"/>
      <c r="C21" s="56">
        <v>914</v>
      </c>
      <c r="D21" s="56">
        <v>2521.92</v>
      </c>
      <c r="E21" s="56"/>
      <c r="F21" s="56"/>
      <c r="G21" s="56"/>
      <c r="H21" s="56"/>
      <c r="I21" s="56">
        <v>52.72</v>
      </c>
      <c r="J21" s="56">
        <v>2034.6999999999998</v>
      </c>
      <c r="K21" s="56">
        <v>809.02</v>
      </c>
      <c r="L21" s="56"/>
      <c r="M21" s="94"/>
      <c r="N21" s="93">
        <f t="shared" si="0"/>
        <v>6332.3600000000006</v>
      </c>
      <c r="O21" s="8">
        <f t="shared" si="1"/>
        <v>9</v>
      </c>
    </row>
    <row r="22" spans="1:15" x14ac:dyDescent="0.3">
      <c r="A22" s="78">
        <f t="shared" si="2"/>
        <v>9.5</v>
      </c>
      <c r="B22" s="93"/>
      <c r="C22" s="56">
        <v>1302.3499999999999</v>
      </c>
      <c r="D22" s="56">
        <v>2014.11</v>
      </c>
      <c r="E22" s="56"/>
      <c r="F22" s="56"/>
      <c r="G22" s="56"/>
      <c r="H22" s="56"/>
      <c r="I22" s="56">
        <v>547.73</v>
      </c>
      <c r="J22" s="56">
        <v>3428.6200000000003</v>
      </c>
      <c r="K22" s="56">
        <v>670.43000000000006</v>
      </c>
      <c r="L22" s="56"/>
      <c r="M22" s="94"/>
      <c r="N22" s="93">
        <f t="shared" si="0"/>
        <v>7963.2400000000007</v>
      </c>
      <c r="O22" s="8">
        <f t="shared" si="1"/>
        <v>9.5</v>
      </c>
    </row>
    <row r="23" spans="1:15" x14ac:dyDescent="0.3">
      <c r="A23" s="78">
        <f t="shared" si="2"/>
        <v>10</v>
      </c>
      <c r="B23" s="93"/>
      <c r="C23" s="56">
        <v>2374.6899999999996</v>
      </c>
      <c r="D23" s="56">
        <v>1417.05</v>
      </c>
      <c r="E23" s="56"/>
      <c r="F23" s="56"/>
      <c r="G23" s="56"/>
      <c r="H23" s="56"/>
      <c r="I23" s="56">
        <v>853.21999999999991</v>
      </c>
      <c r="J23" s="56">
        <v>4430.63</v>
      </c>
      <c r="K23" s="56">
        <v>1111.4000000000001</v>
      </c>
      <c r="L23" s="56"/>
      <c r="M23" s="94"/>
      <c r="N23" s="93">
        <f t="shared" si="0"/>
        <v>10186.99</v>
      </c>
      <c r="O23" s="8">
        <f t="shared" si="1"/>
        <v>10</v>
      </c>
    </row>
    <row r="24" spans="1:15" x14ac:dyDescent="0.3">
      <c r="A24" s="78">
        <f t="shared" si="2"/>
        <v>10.5</v>
      </c>
      <c r="B24" s="93"/>
      <c r="C24" s="56">
        <v>2240.21</v>
      </c>
      <c r="D24" s="56">
        <v>1455.48</v>
      </c>
      <c r="E24" s="56"/>
      <c r="F24" s="56"/>
      <c r="G24" s="56"/>
      <c r="H24" s="56"/>
      <c r="I24" s="56">
        <v>1897.75</v>
      </c>
      <c r="J24" s="56">
        <v>3764.26</v>
      </c>
      <c r="K24" s="56">
        <v>801.42</v>
      </c>
      <c r="L24" s="56"/>
      <c r="M24" s="94"/>
      <c r="N24" s="93">
        <f t="shared" si="0"/>
        <v>10159.120000000001</v>
      </c>
      <c r="O24" s="8">
        <f t="shared" si="1"/>
        <v>10.5</v>
      </c>
    </row>
    <row r="25" spans="1:15" x14ac:dyDescent="0.3">
      <c r="A25" s="78">
        <f t="shared" si="2"/>
        <v>11</v>
      </c>
      <c r="B25" s="93">
        <v>49.68</v>
      </c>
      <c r="C25" s="56">
        <v>2203.44</v>
      </c>
      <c r="D25" s="56">
        <v>1912.3700000000001</v>
      </c>
      <c r="E25" s="56"/>
      <c r="F25" s="56"/>
      <c r="G25" s="56"/>
      <c r="H25" s="56"/>
      <c r="I25" s="56">
        <v>2034.0900000000001</v>
      </c>
      <c r="J25" s="56">
        <v>3671.1400000000003</v>
      </c>
      <c r="K25" s="56">
        <v>695.41</v>
      </c>
      <c r="L25" s="56"/>
      <c r="M25" s="94"/>
      <c r="N25" s="93">
        <f t="shared" si="0"/>
        <v>10566.130000000001</v>
      </c>
      <c r="O25" s="8">
        <f t="shared" si="1"/>
        <v>11</v>
      </c>
    </row>
    <row r="26" spans="1:15" x14ac:dyDescent="0.3">
      <c r="A26" s="75">
        <f t="shared" si="2"/>
        <v>11.5</v>
      </c>
      <c r="B26" s="95">
        <v>62.1</v>
      </c>
      <c r="C26" s="11">
        <v>2881.43</v>
      </c>
      <c r="D26" s="11">
        <v>2284.91</v>
      </c>
      <c r="E26" s="11"/>
      <c r="F26" s="11"/>
      <c r="G26" s="11"/>
      <c r="H26" s="11"/>
      <c r="I26" s="11">
        <v>2173.9300000000003</v>
      </c>
      <c r="J26" s="11">
        <v>3074.07</v>
      </c>
      <c r="K26" s="11">
        <v>763.29000000000008</v>
      </c>
      <c r="L26" s="11"/>
      <c r="M26" s="96"/>
      <c r="N26" s="95">
        <f t="shared" si="0"/>
        <v>11239.730000000001</v>
      </c>
      <c r="O26" s="8">
        <f t="shared" si="1"/>
        <v>11.5</v>
      </c>
    </row>
    <row r="27" spans="1:15" x14ac:dyDescent="0.3">
      <c r="A27" s="78">
        <f t="shared" si="2"/>
        <v>12</v>
      </c>
      <c r="B27" s="93">
        <v>136.62</v>
      </c>
      <c r="C27" s="56">
        <v>4376.3499999999995</v>
      </c>
      <c r="D27" s="56">
        <v>3076.11</v>
      </c>
      <c r="E27" s="56"/>
      <c r="F27" s="56"/>
      <c r="G27" s="56"/>
      <c r="H27" s="56"/>
      <c r="I27" s="56">
        <v>2772.6800000000003</v>
      </c>
      <c r="J27" s="56">
        <v>3853.05</v>
      </c>
      <c r="K27" s="56">
        <v>1316.84</v>
      </c>
      <c r="L27" s="56"/>
      <c r="M27" s="94"/>
      <c r="N27" s="93">
        <f t="shared" si="0"/>
        <v>15531.650000000001</v>
      </c>
      <c r="O27" s="8">
        <f t="shared" si="1"/>
        <v>12</v>
      </c>
    </row>
    <row r="28" spans="1:15" x14ac:dyDescent="0.3">
      <c r="A28" s="78">
        <f t="shared" si="2"/>
        <v>12.5</v>
      </c>
      <c r="B28" s="93">
        <v>86.94</v>
      </c>
      <c r="C28" s="56">
        <v>5366.4699999999993</v>
      </c>
      <c r="D28" s="56">
        <v>3332.86</v>
      </c>
      <c r="E28" s="56"/>
      <c r="F28" s="56"/>
      <c r="G28" s="56"/>
      <c r="H28" s="56"/>
      <c r="I28" s="56">
        <v>2748.14</v>
      </c>
      <c r="J28" s="56">
        <v>2813.2200000000003</v>
      </c>
      <c r="K28" s="56">
        <v>2268.02</v>
      </c>
      <c r="L28" s="56"/>
      <c r="M28" s="94"/>
      <c r="N28" s="93">
        <f t="shared" si="0"/>
        <v>16615.649999999998</v>
      </c>
      <c r="O28" s="8">
        <f t="shared" si="1"/>
        <v>12.5</v>
      </c>
    </row>
    <row r="29" spans="1:15" x14ac:dyDescent="0.3">
      <c r="A29" s="78">
        <f t="shared" si="2"/>
        <v>13</v>
      </c>
      <c r="B29" s="93">
        <v>173.88</v>
      </c>
      <c r="C29" s="56">
        <v>6855.8099999999995</v>
      </c>
      <c r="D29" s="56">
        <v>4306.8500000000004</v>
      </c>
      <c r="E29" s="56"/>
      <c r="F29" s="56"/>
      <c r="G29" s="56"/>
      <c r="H29" s="56"/>
      <c r="I29" s="56">
        <v>1910</v>
      </c>
      <c r="J29" s="56">
        <v>2313.02</v>
      </c>
      <c r="K29" s="56">
        <v>3401.5499999999997</v>
      </c>
      <c r="L29" s="56"/>
      <c r="M29" s="94"/>
      <c r="N29" s="93">
        <f t="shared" si="0"/>
        <v>18961.11</v>
      </c>
      <c r="O29" s="8">
        <f t="shared" si="1"/>
        <v>13</v>
      </c>
    </row>
    <row r="30" spans="1:15" x14ac:dyDescent="0.3">
      <c r="A30" s="78">
        <f t="shared" si="2"/>
        <v>13.5</v>
      </c>
      <c r="B30" s="93">
        <v>422.29</v>
      </c>
      <c r="C30" s="56">
        <v>7909.77</v>
      </c>
      <c r="D30" s="56">
        <v>5631.84</v>
      </c>
      <c r="E30" s="56"/>
      <c r="F30" s="56"/>
      <c r="G30" s="56"/>
      <c r="H30" s="56"/>
      <c r="I30" s="56">
        <v>1207.67</v>
      </c>
      <c r="J30" s="56">
        <v>2318.0299999999997</v>
      </c>
      <c r="K30" s="56">
        <v>4746.1400000000003</v>
      </c>
      <c r="L30" s="56"/>
      <c r="M30" s="94"/>
      <c r="N30" s="93">
        <f t="shared" si="0"/>
        <v>22235.74</v>
      </c>
      <c r="O30" s="8">
        <f t="shared" si="1"/>
        <v>13.5</v>
      </c>
    </row>
    <row r="31" spans="1:15" x14ac:dyDescent="0.3">
      <c r="A31" s="78">
        <f t="shared" si="2"/>
        <v>14</v>
      </c>
      <c r="B31" s="93">
        <v>745.21</v>
      </c>
      <c r="C31" s="56">
        <v>6454.86</v>
      </c>
      <c r="D31" s="56">
        <v>5864.5999999999995</v>
      </c>
      <c r="E31" s="56"/>
      <c r="F31" s="56"/>
      <c r="G31" s="56"/>
      <c r="H31" s="56"/>
      <c r="I31" s="56">
        <v>1373.77</v>
      </c>
      <c r="J31" s="56">
        <v>2799.06</v>
      </c>
      <c r="K31" s="56">
        <v>4021.6</v>
      </c>
      <c r="L31" s="56"/>
      <c r="M31" s="94"/>
      <c r="N31" s="93">
        <f t="shared" si="0"/>
        <v>21259.1</v>
      </c>
      <c r="O31" s="8">
        <f t="shared" si="1"/>
        <v>14</v>
      </c>
    </row>
    <row r="32" spans="1:15" x14ac:dyDescent="0.3">
      <c r="A32" s="78">
        <f t="shared" si="2"/>
        <v>14.5</v>
      </c>
      <c r="B32" s="93">
        <v>447.13</v>
      </c>
      <c r="C32" s="56">
        <v>4787.74</v>
      </c>
      <c r="D32" s="56">
        <v>5675.3899999999994</v>
      </c>
      <c r="E32" s="56"/>
      <c r="F32" s="56"/>
      <c r="G32" s="56"/>
      <c r="H32" s="56"/>
      <c r="I32" s="56">
        <v>1562.3600000000001</v>
      </c>
      <c r="J32" s="56">
        <v>3348.39</v>
      </c>
      <c r="K32" s="56">
        <v>3073.4500000000003</v>
      </c>
      <c r="L32" s="56"/>
      <c r="M32" s="94"/>
      <c r="N32" s="93">
        <f t="shared" si="0"/>
        <v>18894.46</v>
      </c>
      <c r="O32" s="8">
        <f t="shared" si="1"/>
        <v>14.5</v>
      </c>
    </row>
    <row r="33" spans="1:17" x14ac:dyDescent="0.3">
      <c r="A33" s="78">
        <f t="shared" si="2"/>
        <v>15</v>
      </c>
      <c r="B33" s="93">
        <v>235.98</v>
      </c>
      <c r="C33" s="56">
        <v>4038.04</v>
      </c>
      <c r="D33" s="56">
        <v>4306.29</v>
      </c>
      <c r="E33" s="56"/>
      <c r="F33" s="56"/>
      <c r="G33" s="56"/>
      <c r="H33" s="56"/>
      <c r="I33" s="56">
        <v>1913.94</v>
      </c>
      <c r="J33" s="56">
        <v>2450.29</v>
      </c>
      <c r="K33" s="56">
        <v>3747.89</v>
      </c>
      <c r="L33" s="56"/>
      <c r="M33" s="94"/>
      <c r="N33" s="93">
        <f t="shared" si="0"/>
        <v>16692.43</v>
      </c>
      <c r="O33" s="8">
        <f t="shared" si="1"/>
        <v>15</v>
      </c>
    </row>
    <row r="34" spans="1:17" x14ac:dyDescent="0.3">
      <c r="A34" s="78">
        <f t="shared" si="2"/>
        <v>15.5</v>
      </c>
      <c r="B34" s="93">
        <v>111.78</v>
      </c>
      <c r="C34" s="56">
        <v>3635.85</v>
      </c>
      <c r="D34" s="56">
        <v>3041.9399999999996</v>
      </c>
      <c r="E34" s="56"/>
      <c r="F34" s="56"/>
      <c r="G34" s="56"/>
      <c r="H34" s="56"/>
      <c r="I34" s="56">
        <v>1618.62</v>
      </c>
      <c r="J34" s="56">
        <v>2288.1</v>
      </c>
      <c r="K34" s="56">
        <v>2961.37</v>
      </c>
      <c r="L34" s="56"/>
      <c r="M34" s="94"/>
      <c r="N34" s="93">
        <f t="shared" si="0"/>
        <v>13657.66</v>
      </c>
      <c r="O34" s="8">
        <f t="shared" si="1"/>
        <v>15.5</v>
      </c>
    </row>
    <row r="35" spans="1:17" x14ac:dyDescent="0.3">
      <c r="A35" s="78">
        <f t="shared" si="2"/>
        <v>16</v>
      </c>
      <c r="B35" s="93">
        <v>86.94</v>
      </c>
      <c r="C35" s="56">
        <v>3446.5600000000004</v>
      </c>
      <c r="D35" s="56">
        <v>2242.4899999999998</v>
      </c>
      <c r="E35" s="56"/>
      <c r="F35" s="56"/>
      <c r="G35" s="56"/>
      <c r="H35" s="56"/>
      <c r="I35" s="56">
        <v>1030.43</v>
      </c>
      <c r="J35" s="56">
        <v>1164.26</v>
      </c>
      <c r="K35" s="56">
        <v>1498.39</v>
      </c>
      <c r="L35" s="56"/>
      <c r="M35" s="94"/>
      <c r="N35" s="93">
        <f t="shared" si="0"/>
        <v>9469.07</v>
      </c>
      <c r="O35" s="8">
        <f t="shared" si="1"/>
        <v>16</v>
      </c>
    </row>
    <row r="36" spans="1:17" x14ac:dyDescent="0.3">
      <c r="A36" s="78">
        <f t="shared" si="2"/>
        <v>16.5</v>
      </c>
      <c r="B36" s="93">
        <v>74.52</v>
      </c>
      <c r="C36" s="56">
        <v>1865.77</v>
      </c>
      <c r="D36" s="56">
        <v>1640.6200000000001</v>
      </c>
      <c r="E36" s="56"/>
      <c r="F36" s="56"/>
      <c r="G36" s="56"/>
      <c r="H36" s="56"/>
      <c r="I36" s="56">
        <v>1050.4100000000001</v>
      </c>
      <c r="J36" s="56">
        <v>594.78</v>
      </c>
      <c r="K36" s="56">
        <v>1075.3800000000001</v>
      </c>
      <c r="L36" s="56"/>
      <c r="M36" s="94"/>
      <c r="N36" s="93">
        <f t="shared" si="0"/>
        <v>6301.48</v>
      </c>
      <c r="O36" s="8">
        <f t="shared" si="1"/>
        <v>16.5</v>
      </c>
    </row>
    <row r="37" spans="1:17" x14ac:dyDescent="0.3">
      <c r="A37" s="78">
        <f t="shared" si="2"/>
        <v>17</v>
      </c>
      <c r="B37" s="93"/>
      <c r="C37" s="56">
        <v>688.79</v>
      </c>
      <c r="D37" s="56">
        <v>1099.08</v>
      </c>
      <c r="E37" s="56"/>
      <c r="F37" s="56"/>
      <c r="G37" s="56"/>
      <c r="H37" s="56"/>
      <c r="I37" s="56">
        <v>241.21</v>
      </c>
      <c r="J37" s="56">
        <v>331.01</v>
      </c>
      <c r="K37" s="56">
        <v>365.26</v>
      </c>
      <c r="L37" s="56"/>
      <c r="M37" s="94"/>
      <c r="N37" s="93">
        <f t="shared" si="0"/>
        <v>2725.3500000000004</v>
      </c>
      <c r="O37" s="8">
        <f t="shared" si="1"/>
        <v>17</v>
      </c>
    </row>
    <row r="38" spans="1:17" x14ac:dyDescent="0.3">
      <c r="A38" s="78">
        <f t="shared" si="2"/>
        <v>17.5</v>
      </c>
      <c r="B38" s="93"/>
      <c r="C38" s="56">
        <v>300.48</v>
      </c>
      <c r="D38" s="56">
        <v>513.84</v>
      </c>
      <c r="E38" s="56"/>
      <c r="F38" s="56"/>
      <c r="G38" s="56"/>
      <c r="H38" s="56"/>
      <c r="I38" s="56">
        <v>106.99000000000001</v>
      </c>
      <c r="J38" s="56">
        <v>265.32</v>
      </c>
      <c r="K38" s="56">
        <v>137.25</v>
      </c>
      <c r="L38" s="56"/>
      <c r="M38" s="94"/>
      <c r="N38" s="93">
        <f t="shared" si="0"/>
        <v>1323.88</v>
      </c>
      <c r="O38" s="8">
        <f t="shared" si="1"/>
        <v>17.5</v>
      </c>
    </row>
    <row r="39" spans="1:17" x14ac:dyDescent="0.3">
      <c r="A39" s="78">
        <f t="shared" si="2"/>
        <v>18</v>
      </c>
      <c r="B39" s="93"/>
      <c r="C39" s="56">
        <v>249.84</v>
      </c>
      <c r="D39" s="56">
        <v>319.61</v>
      </c>
      <c r="E39" s="56"/>
      <c r="F39" s="56"/>
      <c r="G39" s="56"/>
      <c r="H39" s="56"/>
      <c r="I39" s="56">
        <v>71.11</v>
      </c>
      <c r="J39" s="56">
        <v>66.510000000000005</v>
      </c>
      <c r="K39" s="56">
        <v>77.06</v>
      </c>
      <c r="L39" s="56"/>
      <c r="M39" s="94"/>
      <c r="N39" s="93">
        <f t="shared" si="0"/>
        <v>784.13000000000011</v>
      </c>
      <c r="O39" s="8">
        <f t="shared" si="1"/>
        <v>18</v>
      </c>
    </row>
    <row r="40" spans="1:17" x14ac:dyDescent="0.3">
      <c r="A40" s="78">
        <f t="shared" si="2"/>
        <v>18.5</v>
      </c>
      <c r="B40" s="93"/>
      <c r="C40" s="56">
        <v>128.53</v>
      </c>
      <c r="D40" s="56">
        <v>152.43</v>
      </c>
      <c r="E40" s="56"/>
      <c r="F40" s="56"/>
      <c r="G40" s="56"/>
      <c r="H40" s="56"/>
      <c r="I40" s="56">
        <v>63.11</v>
      </c>
      <c r="J40" s="56"/>
      <c r="K40" s="56">
        <v>25.69</v>
      </c>
      <c r="L40" s="56"/>
      <c r="M40" s="94"/>
      <c r="N40" s="93">
        <f t="shared" si="0"/>
        <v>369.76000000000005</v>
      </c>
      <c r="O40" s="8">
        <f t="shared" si="1"/>
        <v>18.5</v>
      </c>
    </row>
    <row r="41" spans="1:17" x14ac:dyDescent="0.3">
      <c r="A41" s="78">
        <f t="shared" si="2"/>
        <v>19</v>
      </c>
      <c r="B41" s="93"/>
      <c r="C41" s="56">
        <v>82.830000000000013</v>
      </c>
      <c r="D41" s="56">
        <v>182.61</v>
      </c>
      <c r="E41" s="56"/>
      <c r="F41" s="56"/>
      <c r="G41" s="56"/>
      <c r="H41" s="56"/>
      <c r="I41" s="56"/>
      <c r="J41" s="56"/>
      <c r="K41" s="56"/>
      <c r="L41" s="56"/>
      <c r="M41" s="94"/>
      <c r="N41" s="93">
        <f t="shared" si="0"/>
        <v>265.44000000000005</v>
      </c>
      <c r="O41" s="8">
        <f t="shared" si="1"/>
        <v>19</v>
      </c>
    </row>
    <row r="42" spans="1:17" x14ac:dyDescent="0.3">
      <c r="A42" s="78">
        <f>+A41+0.5</f>
        <v>19.5</v>
      </c>
      <c r="B42" s="93"/>
      <c r="C42" s="56">
        <v>14.71</v>
      </c>
      <c r="D42" s="56">
        <v>49.94</v>
      </c>
      <c r="E42" s="56"/>
      <c r="F42" s="56"/>
      <c r="G42" s="56"/>
      <c r="H42" s="56"/>
      <c r="I42" s="56"/>
      <c r="J42" s="56"/>
      <c r="K42" s="56"/>
      <c r="L42" s="56"/>
      <c r="M42" s="94"/>
      <c r="N42" s="93">
        <f t="shared" si="0"/>
        <v>64.650000000000006</v>
      </c>
      <c r="O42" s="8">
        <f t="shared" si="1"/>
        <v>19.5</v>
      </c>
    </row>
    <row r="43" spans="1:17" x14ac:dyDescent="0.3">
      <c r="A43" s="78">
        <f t="shared" si="2"/>
        <v>20</v>
      </c>
      <c r="B43" s="93"/>
      <c r="C43" s="56"/>
      <c r="D43" s="56">
        <v>4.66</v>
      </c>
      <c r="E43" s="56"/>
      <c r="F43" s="56"/>
      <c r="G43" s="56"/>
      <c r="H43" s="56"/>
      <c r="I43" s="56"/>
      <c r="J43" s="56"/>
      <c r="K43" s="56"/>
      <c r="L43" s="56"/>
      <c r="M43" s="94"/>
      <c r="N43" s="93">
        <f t="shared" si="0"/>
        <v>4.66</v>
      </c>
      <c r="O43" s="19"/>
    </row>
    <row r="44" spans="1:17" x14ac:dyDescent="0.3">
      <c r="A44" s="78">
        <f>+A43+0.5</f>
        <v>20.5</v>
      </c>
      <c r="B44" s="93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94"/>
      <c r="N44" s="93" t="str">
        <f t="shared" si="0"/>
        <v xml:space="preserve"> </v>
      </c>
      <c r="O44" s="19"/>
    </row>
    <row r="45" spans="1:17" x14ac:dyDescent="0.3">
      <c r="A45" s="79" t="s">
        <v>13</v>
      </c>
      <c r="B45" s="91">
        <f>IF(SUM(B11:B44)&gt;0,SUM(B11:B44)," ")</f>
        <v>2633.07</v>
      </c>
      <c r="C45" s="65">
        <f t="shared" ref="C45:M45" si="3">IF(SUM(C11:C44)&gt;0,SUM(C11:C44)," ")</f>
        <v>64384.659999999996</v>
      </c>
      <c r="D45" s="65">
        <f t="shared" si="3"/>
        <v>54707.720000000016</v>
      </c>
      <c r="E45" s="65" t="str">
        <f t="shared" si="3"/>
        <v xml:space="preserve"> </v>
      </c>
      <c r="F45" s="65" t="str">
        <f t="shared" si="3"/>
        <v xml:space="preserve"> </v>
      </c>
      <c r="G45" s="65" t="str">
        <f t="shared" si="3"/>
        <v xml:space="preserve"> </v>
      </c>
      <c r="H45" s="65" t="str">
        <f t="shared" si="3"/>
        <v xml:space="preserve"> </v>
      </c>
      <c r="I45" s="65">
        <f t="shared" si="3"/>
        <v>25440.76</v>
      </c>
      <c r="J45" s="65">
        <f t="shared" si="3"/>
        <v>48515.97</v>
      </c>
      <c r="K45" s="65">
        <f t="shared" si="3"/>
        <v>36557.07</v>
      </c>
      <c r="L45" s="65" t="str">
        <f t="shared" si="3"/>
        <v xml:space="preserve"> </v>
      </c>
      <c r="M45" s="92" t="str">
        <f t="shared" si="3"/>
        <v xml:space="preserve"> </v>
      </c>
      <c r="N45" s="91">
        <f>SUM(N11:N44)</f>
        <v>232239.25000000003</v>
      </c>
      <c r="O45" s="12" t="e">
        <f>+#REF!+#REF!+#REF!+#REF!+#REF!</f>
        <v>#REF!</v>
      </c>
      <c r="P45" s="12" t="e">
        <f>+O45-N45</f>
        <v>#REF!</v>
      </c>
    </row>
    <row r="46" spans="1:17" ht="14" x14ac:dyDescent="0.3">
      <c r="A46" s="80" t="s">
        <v>24</v>
      </c>
      <c r="B46" s="118">
        <v>0.05</v>
      </c>
      <c r="C46" s="70">
        <v>1.1484020000000001</v>
      </c>
      <c r="D46" s="70">
        <v>0.98097699999999999</v>
      </c>
      <c r="E46" s="70"/>
      <c r="F46" s="56"/>
      <c r="G46" s="56"/>
      <c r="H46" s="57"/>
      <c r="I46" s="57">
        <v>0.34410000000000002</v>
      </c>
      <c r="J46" s="57">
        <v>0.59644000000000008</v>
      </c>
      <c r="K46" s="57">
        <v>0.67287399999999986</v>
      </c>
      <c r="L46" s="57"/>
      <c r="M46" s="119"/>
      <c r="N46" s="118">
        <f>SUM(B46:M46)</f>
        <v>3.7927930000000001</v>
      </c>
      <c r="O46" s="12" t="e">
        <f>+#REF!+#REF!+#REF!+#REF!+#REF!</f>
        <v>#REF!</v>
      </c>
      <c r="P46" s="12" t="e">
        <f>+O46-N46</f>
        <v>#REF!</v>
      </c>
    </row>
    <row r="47" spans="1:17" x14ac:dyDescent="0.3">
      <c r="A47" s="78" t="s">
        <v>17</v>
      </c>
      <c r="B47" s="118">
        <v>0.05</v>
      </c>
      <c r="C47" s="70">
        <v>1.1484020000000001</v>
      </c>
      <c r="D47" s="70">
        <v>0.98108700000000004</v>
      </c>
      <c r="E47" s="70"/>
      <c r="F47" s="56"/>
      <c r="G47" s="56"/>
      <c r="H47" s="57"/>
      <c r="I47" s="57">
        <v>0.34410000000000002</v>
      </c>
      <c r="J47" s="57">
        <v>0.59935000000000005</v>
      </c>
      <c r="K47" s="57">
        <v>0.67287399999999986</v>
      </c>
      <c r="L47" s="57"/>
      <c r="M47" s="119"/>
      <c r="N47" s="118">
        <f>SUM(B47:M47)</f>
        <v>3.7958130000000003</v>
      </c>
      <c r="O47" s="12" t="e">
        <f>+#REF!+#REF!+#REF!+#REF!+#REF!</f>
        <v>#REF!</v>
      </c>
      <c r="P47" s="12" t="e">
        <f>+O47-N47</f>
        <v>#REF!</v>
      </c>
      <c r="Q47" s="12">
        <f>+N47+'V-XIV R ART COMERCIAL'!N47</f>
        <v>104992.40957</v>
      </c>
    </row>
    <row r="48" spans="1:17" ht="14" x14ac:dyDescent="0.3">
      <c r="A48" s="80" t="s">
        <v>21</v>
      </c>
      <c r="B48" s="97">
        <f>SUM(B9:B26)*100/B45</f>
        <v>4.2452346500472826</v>
      </c>
      <c r="C48" s="58">
        <f>SUM(C9:C26)*100/C45</f>
        <v>22.027389754019048</v>
      </c>
      <c r="D48" s="58">
        <f>SUM(D9:D26)*100/D45</f>
        <v>24.249886487684002</v>
      </c>
      <c r="E48" s="58"/>
      <c r="F48" s="58"/>
      <c r="G48" s="58"/>
      <c r="H48" s="58"/>
      <c r="I48" s="58">
        <f>SUM(I9:I26)*100/I45</f>
        <v>30.542798249737828</v>
      </c>
      <c r="J48" s="58">
        <f>SUM(J9:J26)*100/J45</f>
        <v>49.284658226971445</v>
      </c>
      <c r="K48" s="58">
        <f>SUM(K9:K26)*100/K45</f>
        <v>21.449147866609657</v>
      </c>
      <c r="L48" s="58"/>
      <c r="M48" s="98"/>
      <c r="N48" s="97">
        <f>SUM(N9:N26)*100/N45</f>
        <v>28.885311160796459</v>
      </c>
      <c r="Q48" s="10">
        <f>+Q47/1000</f>
        <v>104.99240957000001</v>
      </c>
    </row>
    <row r="49" spans="1:17" x14ac:dyDescent="0.3">
      <c r="A49" s="75" t="s">
        <v>19</v>
      </c>
      <c r="B49" s="99">
        <v>14</v>
      </c>
      <c r="C49" s="68">
        <v>13.5</v>
      </c>
      <c r="D49" s="68">
        <v>14</v>
      </c>
      <c r="E49" s="68"/>
      <c r="F49" s="68"/>
      <c r="G49" s="68"/>
      <c r="H49" s="68"/>
      <c r="I49" s="68">
        <v>12</v>
      </c>
      <c r="J49" s="68">
        <v>10</v>
      </c>
      <c r="K49" s="68">
        <v>13.5</v>
      </c>
      <c r="L49" s="68"/>
      <c r="M49" s="100"/>
      <c r="N49" s="127">
        <v>13.5</v>
      </c>
    </row>
    <row r="50" spans="1:17" x14ac:dyDescent="0.3">
      <c r="A50" s="13" t="s">
        <v>14</v>
      </c>
      <c r="F50" s="51"/>
      <c r="J50" s="14"/>
      <c r="Q50" s="54">
        <f>+N47*100/'V-XIV R ART COMERCIAL'!Q47</f>
        <v>3.6153213508918237E-3</v>
      </c>
    </row>
    <row r="51" spans="1:17" s="15" customFormat="1" ht="14" x14ac:dyDescent="0.3">
      <c r="A51" s="15" t="s">
        <v>30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7" s="15" customFormat="1" ht="14" x14ac:dyDescent="0.3">
      <c r="A52" s="17" t="s">
        <v>31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Q52" s="55">
        <f>+N47+'V-XIV R ART COMERCIAL'!N47</f>
        <v>104992.40957</v>
      </c>
    </row>
    <row r="53" spans="1:17" x14ac:dyDescent="0.3">
      <c r="A53" s="19"/>
      <c r="B53" s="4">
        <v>0</v>
      </c>
      <c r="C53" s="4">
        <v>1</v>
      </c>
      <c r="D53" s="4">
        <v>2</v>
      </c>
      <c r="E53" s="4">
        <v>3</v>
      </c>
      <c r="F53" s="4">
        <v>4</v>
      </c>
      <c r="G53" s="4">
        <v>5</v>
      </c>
      <c r="H53" s="4">
        <v>6</v>
      </c>
      <c r="I53" s="4">
        <v>7</v>
      </c>
      <c r="J53" s="4">
        <v>8</v>
      </c>
      <c r="K53" s="4">
        <v>9</v>
      </c>
      <c r="L53" s="4">
        <v>10</v>
      </c>
      <c r="M53" s="4">
        <v>11</v>
      </c>
      <c r="N53" s="4">
        <v>12</v>
      </c>
      <c r="O53" s="20" t="e">
        <f>+N53*100/#REF!</f>
        <v>#REF!</v>
      </c>
    </row>
    <row r="54" spans="1:17" x14ac:dyDescent="0.3">
      <c r="A54" s="21">
        <v>14</v>
      </c>
      <c r="B54" s="22">
        <f>+VLOOKUP(MAX(B9:B44),B9:$O$44,14,0)</f>
        <v>14</v>
      </c>
      <c r="C54" s="23">
        <f>+VLOOKUP(MAX(C9:C44),C9:$O$44,+$A$54-C53,0)</f>
        <v>13.5</v>
      </c>
      <c r="D54" s="23">
        <f>+VLOOKUP(MAX(D9:D44),D9:$O$44,+$A$54-D53,0)</f>
        <v>14</v>
      </c>
      <c r="E54" s="23" t="e">
        <f>+VLOOKUP(MAX(E9:E44),E9:$O$44,+$A$54-E53,0)</f>
        <v>#N/A</v>
      </c>
      <c r="F54" s="23" t="e">
        <f>+VLOOKUP(MAX(F9:F44),F9:$O$44,+$A$54-F53,0)</f>
        <v>#N/A</v>
      </c>
      <c r="G54" s="23" t="e">
        <f>+VLOOKUP(MAX(G9:G44),G9:$O$44,+$A$54-G53,0)</f>
        <v>#N/A</v>
      </c>
      <c r="H54" s="23" t="e">
        <f>+VLOOKUP(MAX(H9:H44),H9:$O$44,+$A$54-H53,0)</f>
        <v>#N/A</v>
      </c>
      <c r="I54" s="23">
        <f>+VLOOKUP(MAX(I9:I44),I9:$O$44,+$A$54-I53,0)</f>
        <v>12</v>
      </c>
      <c r="J54" s="23">
        <f>+VLOOKUP(MAX(J9:J44),J9:$O$44,+$A$54-J53,0)</f>
        <v>10</v>
      </c>
      <c r="K54" s="23">
        <f>+VLOOKUP(MAX(K9:K44),K9:$O$44,+$A$54-K53,0)</f>
        <v>13.5</v>
      </c>
      <c r="L54" s="23" t="e">
        <f>+VLOOKUP(MAX(L9:L44),L9:$O$44,+$A$54-L53,0)</f>
        <v>#N/A</v>
      </c>
      <c r="M54" s="23" t="e">
        <f>+VLOOKUP(MAX(M9:M44),M9:$O$44,+$A$54-M53,0)</f>
        <v>#N/A</v>
      </c>
      <c r="N54" s="23">
        <f>+VLOOKUP(MAX(N9:N44),N9:$O$44,+$A$54-N53,0)</f>
        <v>13.5</v>
      </c>
    </row>
    <row r="56" spans="1:17" x14ac:dyDescent="0.3">
      <c r="N56" s="9" t="e">
        <f>+D45+E45+F45+H45+I45+K45+L45+M45</f>
        <v>#VALUE!</v>
      </c>
    </row>
    <row r="58" spans="1:17" x14ac:dyDescent="0.3">
      <c r="A58" s="1" t="s">
        <v>22</v>
      </c>
      <c r="B58" s="9">
        <f t="shared" ref="B58:M58" si="4">-SUM(B9:B26)</f>
        <v>-111.78</v>
      </c>
      <c r="C58" s="9">
        <f t="shared" si="4"/>
        <v>-14182.26</v>
      </c>
      <c r="D58" s="9">
        <f t="shared" si="4"/>
        <v>-13266.560000000001</v>
      </c>
      <c r="E58" s="9">
        <f t="shared" si="4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-7770.3200000000006</v>
      </c>
      <c r="J58" s="9">
        <f t="shared" si="4"/>
        <v>-23910.93</v>
      </c>
      <c r="K58" s="9">
        <f t="shared" si="4"/>
        <v>-7841.1799999999994</v>
      </c>
      <c r="L58" s="9">
        <f t="shared" si="4"/>
        <v>0</v>
      </c>
      <c r="M58" s="9">
        <f t="shared" si="4"/>
        <v>0</v>
      </c>
    </row>
    <row r="59" spans="1:17" x14ac:dyDescent="0.3">
      <c r="A59" s="1" t="s">
        <v>23</v>
      </c>
      <c r="B59" s="9">
        <f t="shared" ref="B59:M59" si="5">SUM(B27:B42)</f>
        <v>2521.2900000000004</v>
      </c>
      <c r="C59" s="9">
        <f t="shared" si="5"/>
        <v>50202.399999999994</v>
      </c>
      <c r="D59" s="9">
        <f t="shared" si="5"/>
        <v>41436.5</v>
      </c>
      <c r="E59" s="9">
        <f t="shared" si="5"/>
        <v>0</v>
      </c>
      <c r="F59" s="9">
        <f t="shared" si="5"/>
        <v>0</v>
      </c>
      <c r="G59" s="9">
        <f t="shared" si="5"/>
        <v>0</v>
      </c>
      <c r="H59" s="9">
        <f t="shared" si="5"/>
        <v>0</v>
      </c>
      <c r="I59" s="9">
        <f t="shared" si="5"/>
        <v>17670.440000000002</v>
      </c>
      <c r="J59" s="9">
        <f t="shared" si="5"/>
        <v>24605.039999999994</v>
      </c>
      <c r="K59" s="9">
        <f t="shared" si="5"/>
        <v>28715.889999999996</v>
      </c>
      <c r="L59" s="9">
        <f t="shared" si="5"/>
        <v>0</v>
      </c>
      <c r="M59" s="9">
        <f t="shared" si="5"/>
        <v>0</v>
      </c>
    </row>
    <row r="61" spans="1:17" x14ac:dyDescent="0.3">
      <c r="N61" s="52">
        <f>(N46*1000000)/N45</f>
        <v>16.331403929353026</v>
      </c>
      <c r="O61" s="53" t="s">
        <v>15</v>
      </c>
    </row>
    <row r="63" spans="1:17" x14ac:dyDescent="0.3">
      <c r="N63" s="52">
        <f>(N47*1000000)/N45</f>
        <v>16.344407760531436</v>
      </c>
      <c r="O63" s="53" t="s">
        <v>16</v>
      </c>
    </row>
    <row r="65" spans="1:16" x14ac:dyDescent="0.3">
      <c r="A65" s="19">
        <v>14</v>
      </c>
      <c r="B65" s="4">
        <v>0</v>
      </c>
      <c r="C65" s="4">
        <v>1</v>
      </c>
      <c r="D65" s="4">
        <v>2</v>
      </c>
      <c r="E65" s="4">
        <v>3</v>
      </c>
      <c r="F65" s="4">
        <v>4</v>
      </c>
      <c r="G65" s="4">
        <v>5</v>
      </c>
      <c r="H65" s="4">
        <v>6</v>
      </c>
      <c r="I65" s="4">
        <v>7</v>
      </c>
      <c r="J65" s="4">
        <v>8</v>
      </c>
      <c r="K65" s="4">
        <v>9</v>
      </c>
      <c r="L65" s="4">
        <v>10</v>
      </c>
      <c r="M65" s="4">
        <v>11</v>
      </c>
    </row>
    <row r="66" spans="1:16" x14ac:dyDescent="0.3">
      <c r="A66" s="19"/>
    </row>
    <row r="67" spans="1:16" x14ac:dyDescent="0.3">
      <c r="A67" s="19"/>
      <c r="B67" s="4" t="e">
        <f>+VLOOKUP(MAX(B9:B42),B9:N42,$A$65-B65,0)</f>
        <v>#REF!</v>
      </c>
      <c r="C67" s="4">
        <f>+VLOOKUP(MAX(C9:C42),C9:O42,$A$65-C65,0)</f>
        <v>13.5</v>
      </c>
      <c r="D67" s="4">
        <f t="shared" ref="D67:M67" si="6">+VLOOKUP(MAX(D9:D42),D9:O42,$A$65-D65,0)</f>
        <v>14</v>
      </c>
      <c r="E67" s="4" t="e">
        <f t="shared" si="6"/>
        <v>#N/A</v>
      </c>
      <c r="F67" s="4" t="e">
        <f t="shared" si="6"/>
        <v>#N/A</v>
      </c>
      <c r="G67" s="4" t="e">
        <f t="shared" si="6"/>
        <v>#N/A</v>
      </c>
      <c r="H67" s="4" t="e">
        <f t="shared" si="6"/>
        <v>#N/A</v>
      </c>
      <c r="I67" s="4">
        <f t="shared" si="6"/>
        <v>12</v>
      </c>
      <c r="J67" s="4">
        <f t="shared" si="6"/>
        <v>10</v>
      </c>
      <c r="K67" s="4">
        <f t="shared" si="6"/>
        <v>13.5</v>
      </c>
      <c r="L67" s="4" t="e">
        <f t="shared" si="6"/>
        <v>#N/A</v>
      </c>
      <c r="M67" s="4" t="e">
        <f t="shared" si="6"/>
        <v>#N/A</v>
      </c>
    </row>
    <row r="78" spans="1:16" x14ac:dyDescent="0.3">
      <c r="P78" s="12" t="e">
        <f>+N45+#REF!+#REF!+#REF!</f>
        <v>#REF!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3C</oddFooter>
  </headerFooter>
  <ignoredErrors>
    <ignoredError sqref="C48:D48 N48" evalError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tabColor theme="4" tint="-0.499984740745262"/>
  </sheetPr>
  <dimension ref="A1:Q70"/>
  <sheetViews>
    <sheetView zoomScale="70" zoomScaleNormal="70" zoomScalePageLayoutView="60" workbookViewId="0">
      <selection activeCell="R31" sqref="R31"/>
    </sheetView>
  </sheetViews>
  <sheetFormatPr baseColWidth="10" defaultRowHeight="13" x14ac:dyDescent="0.3"/>
  <cols>
    <col min="1" max="1" width="20.1796875" style="24" customWidth="1"/>
    <col min="2" max="7" width="14.1796875" style="27" customWidth="1"/>
    <col min="8" max="13" width="12.36328125" style="27" customWidth="1"/>
    <col min="14" max="14" width="14.26953125" style="27" customWidth="1"/>
    <col min="15" max="16384" width="10.90625" style="24"/>
  </cols>
  <sheetData>
    <row r="1" spans="1:17" ht="20" x14ac:dyDescent="0.4">
      <c r="A1" s="135" t="s">
        <v>28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7" ht="20" x14ac:dyDescent="0.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7" ht="20" x14ac:dyDescent="0.4">
      <c r="A3" s="135" t="s">
        <v>20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7" ht="20" x14ac:dyDescent="0.4">
      <c r="A4" s="136" t="s">
        <v>37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7" s="28" customFormat="1" ht="19.149999999999999" customHeight="1" x14ac:dyDescent="0.4">
      <c r="A5" s="136" t="s">
        <v>32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</row>
    <row r="6" spans="1:17" s="28" customFormat="1" ht="19.149999999999999" customHeight="1" x14ac:dyDescent="0.3">
      <c r="A6" s="24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7" ht="13.5" thickBot="1" x14ac:dyDescent="0.35">
      <c r="A7" s="28"/>
      <c r="B7" s="134" t="s">
        <v>12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61"/>
    </row>
    <row r="8" spans="1:17" ht="13.5" thickBot="1" x14ac:dyDescent="0.35">
      <c r="A8" s="81" t="s">
        <v>18</v>
      </c>
      <c r="B8" s="101" t="s">
        <v>0</v>
      </c>
      <c r="C8" s="64" t="s">
        <v>1</v>
      </c>
      <c r="D8" s="64" t="s">
        <v>2</v>
      </c>
      <c r="E8" s="64" t="s">
        <v>3</v>
      </c>
      <c r="F8" s="64" t="s">
        <v>4</v>
      </c>
      <c r="G8" s="64" t="s">
        <v>5</v>
      </c>
      <c r="H8" s="64" t="s">
        <v>6</v>
      </c>
      <c r="I8" s="64" t="s">
        <v>7</v>
      </c>
      <c r="J8" s="64" t="s">
        <v>27</v>
      </c>
      <c r="K8" s="64" t="s">
        <v>9</v>
      </c>
      <c r="L8" s="64" t="s">
        <v>10</v>
      </c>
      <c r="M8" s="102" t="s">
        <v>11</v>
      </c>
      <c r="N8" s="123" t="s">
        <v>13</v>
      </c>
      <c r="O8" s="29" t="s">
        <v>18</v>
      </c>
    </row>
    <row r="9" spans="1:17" x14ac:dyDescent="0.3">
      <c r="A9" s="82">
        <v>3</v>
      </c>
      <c r="B9" s="103"/>
      <c r="C9" s="72"/>
      <c r="D9" s="72"/>
      <c r="E9" s="72"/>
      <c r="F9" s="72"/>
      <c r="G9" s="72"/>
      <c r="H9" s="72"/>
      <c r="I9" s="72"/>
      <c r="J9" s="72"/>
      <c r="K9" s="72"/>
      <c r="L9" s="72"/>
      <c r="M9" s="104"/>
      <c r="N9" s="124"/>
      <c r="O9" s="30">
        <f>+A9</f>
        <v>3</v>
      </c>
    </row>
    <row r="10" spans="1:17" x14ac:dyDescent="0.3">
      <c r="A10" s="83">
        <f>+A9+0.5</f>
        <v>3.5</v>
      </c>
      <c r="B10" s="105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106"/>
      <c r="N10" s="125"/>
      <c r="O10" s="31">
        <f t="shared" ref="O10:O44" si="0">+A10</f>
        <v>3.5</v>
      </c>
    </row>
    <row r="11" spans="1:17" x14ac:dyDescent="0.3">
      <c r="A11" s="83">
        <f t="shared" ref="A11:A44" si="1">+A10+0.5</f>
        <v>4</v>
      </c>
      <c r="B11" s="107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108"/>
      <c r="N11" s="107"/>
      <c r="O11" s="31">
        <f t="shared" si="0"/>
        <v>4</v>
      </c>
    </row>
    <row r="12" spans="1:17" x14ac:dyDescent="0.3">
      <c r="A12" s="83">
        <f t="shared" si="1"/>
        <v>4.5</v>
      </c>
      <c r="B12" s="107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08"/>
      <c r="N12" s="107"/>
      <c r="O12" s="31">
        <f t="shared" si="0"/>
        <v>4.5</v>
      </c>
    </row>
    <row r="13" spans="1:17" x14ac:dyDescent="0.3">
      <c r="A13" s="83">
        <f t="shared" si="1"/>
        <v>5</v>
      </c>
      <c r="B13" s="107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108"/>
      <c r="N13" s="107"/>
      <c r="O13" s="31">
        <f t="shared" si="0"/>
        <v>5</v>
      </c>
    </row>
    <row r="14" spans="1:17" x14ac:dyDescent="0.3">
      <c r="A14" s="83">
        <f t="shared" si="1"/>
        <v>5.5</v>
      </c>
      <c r="B14" s="107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108"/>
      <c r="N14" s="107"/>
      <c r="O14" s="31">
        <f t="shared" si="0"/>
        <v>5.5</v>
      </c>
    </row>
    <row r="15" spans="1:17" x14ac:dyDescent="0.3">
      <c r="A15" s="83">
        <f t="shared" si="1"/>
        <v>6</v>
      </c>
      <c r="B15" s="10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108"/>
      <c r="N15" s="107"/>
      <c r="O15" s="31">
        <f t="shared" si="0"/>
        <v>6</v>
      </c>
      <c r="P15" s="33"/>
    </row>
    <row r="16" spans="1:17" x14ac:dyDescent="0.3">
      <c r="A16" s="83">
        <f t="shared" si="1"/>
        <v>6.5</v>
      </c>
      <c r="B16" s="107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108"/>
      <c r="N16" s="107"/>
      <c r="O16" s="31">
        <f t="shared" si="0"/>
        <v>6.5</v>
      </c>
      <c r="P16" s="33"/>
      <c r="Q16" s="50"/>
    </row>
    <row r="17" spans="1:17" x14ac:dyDescent="0.3">
      <c r="A17" s="83">
        <f t="shared" si="1"/>
        <v>7</v>
      </c>
      <c r="B17" s="107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108"/>
      <c r="N17" s="107"/>
      <c r="O17" s="31">
        <f t="shared" si="0"/>
        <v>7</v>
      </c>
      <c r="P17" s="33"/>
      <c r="Q17" s="50"/>
    </row>
    <row r="18" spans="1:17" x14ac:dyDescent="0.3">
      <c r="A18" s="83">
        <f t="shared" si="1"/>
        <v>7.5</v>
      </c>
      <c r="B18" s="107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108"/>
      <c r="N18" s="107"/>
      <c r="O18" s="31">
        <f t="shared" si="0"/>
        <v>7.5</v>
      </c>
      <c r="P18" s="33"/>
      <c r="Q18" s="50"/>
    </row>
    <row r="19" spans="1:17" x14ac:dyDescent="0.3">
      <c r="A19" s="83">
        <f t="shared" si="1"/>
        <v>8</v>
      </c>
      <c r="B19" s="10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108"/>
      <c r="N19" s="107" t="str">
        <f t="shared" ref="N19:N41" si="2">IF(SUM(B19:M19)&gt;0,SUM(B19:M19)," ")</f>
        <v xml:space="preserve"> </v>
      </c>
      <c r="O19" s="31">
        <f t="shared" si="0"/>
        <v>8</v>
      </c>
      <c r="P19" s="33"/>
      <c r="Q19" s="50"/>
    </row>
    <row r="20" spans="1:17" x14ac:dyDescent="0.3">
      <c r="A20" s="83">
        <f t="shared" si="1"/>
        <v>8.5</v>
      </c>
      <c r="B20" s="107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108"/>
      <c r="N20" s="107" t="str">
        <f t="shared" si="2"/>
        <v xml:space="preserve"> </v>
      </c>
      <c r="O20" s="31">
        <f t="shared" si="0"/>
        <v>8.5</v>
      </c>
      <c r="P20" s="33"/>
      <c r="Q20" s="50"/>
    </row>
    <row r="21" spans="1:17" x14ac:dyDescent="0.3">
      <c r="A21" s="83">
        <f t="shared" si="1"/>
        <v>9</v>
      </c>
      <c r="B21" s="107"/>
      <c r="C21" s="62"/>
      <c r="D21" s="62"/>
      <c r="E21" s="62"/>
      <c r="F21" s="62"/>
      <c r="G21" s="62"/>
      <c r="H21" s="62">
        <v>89102.87</v>
      </c>
      <c r="I21" s="62"/>
      <c r="J21" s="62"/>
      <c r="K21" s="62"/>
      <c r="L21" s="62"/>
      <c r="M21" s="108"/>
      <c r="N21" s="107">
        <f t="shared" si="2"/>
        <v>89102.87</v>
      </c>
      <c r="O21" s="31">
        <f t="shared" si="0"/>
        <v>9</v>
      </c>
      <c r="P21" s="33"/>
      <c r="Q21" s="50"/>
    </row>
    <row r="22" spans="1:17" x14ac:dyDescent="0.3">
      <c r="A22" s="83">
        <f t="shared" si="1"/>
        <v>9.5</v>
      </c>
      <c r="B22" s="107"/>
      <c r="C22" s="62"/>
      <c r="D22" s="62"/>
      <c r="E22" s="62"/>
      <c r="F22" s="62"/>
      <c r="G22" s="62"/>
      <c r="H22" s="62">
        <v>415813.33</v>
      </c>
      <c r="I22" s="62"/>
      <c r="J22" s="62"/>
      <c r="K22" s="62"/>
      <c r="L22" s="62"/>
      <c r="M22" s="108"/>
      <c r="N22" s="107">
        <f t="shared" si="2"/>
        <v>415813.33</v>
      </c>
      <c r="O22" s="31">
        <f t="shared" si="0"/>
        <v>9.5</v>
      </c>
      <c r="P22" s="33"/>
      <c r="Q22" s="50"/>
    </row>
    <row r="23" spans="1:17" x14ac:dyDescent="0.3">
      <c r="A23" s="83">
        <f t="shared" si="1"/>
        <v>10</v>
      </c>
      <c r="B23" s="107"/>
      <c r="C23" s="62"/>
      <c r="D23" s="62"/>
      <c r="E23" s="62"/>
      <c r="F23" s="62"/>
      <c r="G23" s="62"/>
      <c r="H23" s="62">
        <v>596329.19999999995</v>
      </c>
      <c r="I23" s="62"/>
      <c r="J23" s="62"/>
      <c r="K23" s="62"/>
      <c r="L23" s="62"/>
      <c r="M23" s="108"/>
      <c r="N23" s="107">
        <f t="shared" si="2"/>
        <v>596329.19999999995</v>
      </c>
      <c r="O23" s="31">
        <f t="shared" si="0"/>
        <v>10</v>
      </c>
      <c r="P23" s="33"/>
      <c r="Q23" s="50"/>
    </row>
    <row r="24" spans="1:17" x14ac:dyDescent="0.3">
      <c r="A24" s="83">
        <f t="shared" si="1"/>
        <v>10.5</v>
      </c>
      <c r="B24" s="107"/>
      <c r="C24" s="62"/>
      <c r="D24" s="62"/>
      <c r="E24" s="62"/>
      <c r="F24" s="62"/>
      <c r="G24" s="62"/>
      <c r="H24" s="62">
        <v>1003232.28</v>
      </c>
      <c r="I24" s="62"/>
      <c r="J24" s="62"/>
      <c r="K24" s="62"/>
      <c r="L24" s="62">
        <v>6741.0363286595193</v>
      </c>
      <c r="M24" s="108"/>
      <c r="N24" s="107">
        <f t="shared" si="2"/>
        <v>1009973.3163286595</v>
      </c>
      <c r="O24" s="31">
        <f t="shared" si="0"/>
        <v>10.5</v>
      </c>
      <c r="P24" s="33"/>
      <c r="Q24" s="50"/>
    </row>
    <row r="25" spans="1:17" x14ac:dyDescent="0.3">
      <c r="A25" s="83">
        <f t="shared" si="1"/>
        <v>11</v>
      </c>
      <c r="B25" s="107"/>
      <c r="C25" s="62"/>
      <c r="D25" s="62"/>
      <c r="E25" s="62"/>
      <c r="F25" s="62"/>
      <c r="G25" s="62"/>
      <c r="H25" s="62">
        <v>834266.78</v>
      </c>
      <c r="I25" s="62"/>
      <c r="J25" s="62"/>
      <c r="K25" s="62"/>
      <c r="L25" s="62">
        <v>16852.590821648799</v>
      </c>
      <c r="M25" s="108"/>
      <c r="N25" s="107">
        <f t="shared" si="2"/>
        <v>851119.37082164886</v>
      </c>
      <c r="O25" s="31">
        <f t="shared" si="0"/>
        <v>11</v>
      </c>
      <c r="P25" s="33"/>
      <c r="Q25" s="50"/>
    </row>
    <row r="26" spans="1:17" x14ac:dyDescent="0.3">
      <c r="A26" s="84">
        <f t="shared" si="1"/>
        <v>11.5</v>
      </c>
      <c r="B26" s="109"/>
      <c r="C26" s="35"/>
      <c r="D26" s="35"/>
      <c r="E26" s="35"/>
      <c r="F26" s="35"/>
      <c r="G26" s="35"/>
      <c r="H26" s="35">
        <v>998942.11</v>
      </c>
      <c r="I26" s="35"/>
      <c r="J26" s="35"/>
      <c r="K26" s="35"/>
      <c r="L26" s="35">
        <v>62354.586040100556</v>
      </c>
      <c r="M26" s="110"/>
      <c r="N26" s="109">
        <f t="shared" si="2"/>
        <v>1061296.6960401007</v>
      </c>
      <c r="O26" s="31">
        <f t="shared" si="0"/>
        <v>11.5</v>
      </c>
      <c r="P26" s="33"/>
      <c r="Q26" s="50"/>
    </row>
    <row r="27" spans="1:17" x14ac:dyDescent="0.3">
      <c r="A27" s="83">
        <f t="shared" si="1"/>
        <v>12</v>
      </c>
      <c r="B27" s="107"/>
      <c r="C27" s="62">
        <v>9738.3700000000008</v>
      </c>
      <c r="D27" s="62"/>
      <c r="E27" s="62"/>
      <c r="F27" s="62">
        <v>18580.599999999999</v>
      </c>
      <c r="G27" s="62"/>
      <c r="H27" s="62">
        <v>939540.19</v>
      </c>
      <c r="I27" s="62">
        <v>22619.06</v>
      </c>
      <c r="J27" s="62"/>
      <c r="K27" s="62"/>
      <c r="L27" s="62">
        <v>91003.990436903521</v>
      </c>
      <c r="M27" s="108"/>
      <c r="N27" s="107">
        <f t="shared" si="2"/>
        <v>1081482.2104369034</v>
      </c>
      <c r="O27" s="31">
        <f t="shared" si="0"/>
        <v>12</v>
      </c>
      <c r="P27" s="33"/>
      <c r="Q27" s="50"/>
    </row>
    <row r="28" spans="1:17" x14ac:dyDescent="0.3">
      <c r="A28" s="83">
        <f t="shared" si="1"/>
        <v>12.5</v>
      </c>
      <c r="B28" s="107"/>
      <c r="C28" s="62">
        <v>39304.239999999998</v>
      </c>
      <c r="D28" s="62"/>
      <c r="E28" s="62"/>
      <c r="F28" s="62"/>
      <c r="G28" s="62"/>
      <c r="H28" s="62">
        <v>852747.44</v>
      </c>
      <c r="I28" s="62">
        <v>34976</v>
      </c>
      <c r="J28" s="62"/>
      <c r="K28" s="62"/>
      <c r="L28" s="62">
        <v>151673.31739483919</v>
      </c>
      <c r="M28" s="108">
        <v>75243.714893138633</v>
      </c>
      <c r="N28" s="107">
        <f t="shared" si="2"/>
        <v>1153944.7122879778</v>
      </c>
      <c r="O28" s="31">
        <f t="shared" si="0"/>
        <v>12.5</v>
      </c>
      <c r="P28" s="33"/>
      <c r="Q28" s="50"/>
    </row>
    <row r="29" spans="1:17" x14ac:dyDescent="0.3">
      <c r="A29" s="83">
        <f t="shared" si="1"/>
        <v>13</v>
      </c>
      <c r="B29" s="107"/>
      <c r="C29" s="62">
        <v>52017.440000000002</v>
      </c>
      <c r="D29" s="62">
        <v>26217.85</v>
      </c>
      <c r="E29" s="62"/>
      <c r="F29" s="62"/>
      <c r="G29" s="62"/>
      <c r="H29" s="62">
        <v>32011</v>
      </c>
      <c r="I29" s="62">
        <v>34976</v>
      </c>
      <c r="J29" s="62"/>
      <c r="K29" s="62"/>
      <c r="L29" s="62">
        <v>175266.9445451475</v>
      </c>
      <c r="M29" s="108">
        <v>112865.57233970794</v>
      </c>
      <c r="N29" s="107">
        <f t="shared" si="2"/>
        <v>433354.80688485544</v>
      </c>
      <c r="O29" s="31">
        <f t="shared" si="0"/>
        <v>13</v>
      </c>
      <c r="P29" s="33"/>
      <c r="Q29" s="50"/>
    </row>
    <row r="30" spans="1:17" x14ac:dyDescent="0.3">
      <c r="A30" s="83">
        <f t="shared" si="1"/>
        <v>13.5</v>
      </c>
      <c r="B30" s="107"/>
      <c r="C30" s="62">
        <v>164105.70000000001</v>
      </c>
      <c r="D30" s="62">
        <v>43870.2</v>
      </c>
      <c r="E30" s="62"/>
      <c r="F30" s="62">
        <v>55741.8</v>
      </c>
      <c r="G30" s="62"/>
      <c r="H30" s="62"/>
      <c r="I30" s="62">
        <v>17122.830000000002</v>
      </c>
      <c r="J30" s="62"/>
      <c r="K30" s="62"/>
      <c r="L30" s="62">
        <v>134820.72657319039</v>
      </c>
      <c r="M30" s="108">
        <v>225731.14467941588</v>
      </c>
      <c r="N30" s="107">
        <f t="shared" si="2"/>
        <v>641392.4012526063</v>
      </c>
      <c r="O30" s="31">
        <f t="shared" si="0"/>
        <v>13.5</v>
      </c>
      <c r="P30" s="33"/>
      <c r="Q30" s="50"/>
    </row>
    <row r="31" spans="1:17" x14ac:dyDescent="0.3">
      <c r="A31" s="83">
        <f t="shared" si="1"/>
        <v>14</v>
      </c>
      <c r="B31" s="107"/>
      <c r="C31" s="62">
        <v>378316.63</v>
      </c>
      <c r="D31" s="62">
        <v>107304.86</v>
      </c>
      <c r="E31" s="62"/>
      <c r="F31" s="62">
        <v>123561.46</v>
      </c>
      <c r="G31" s="62"/>
      <c r="H31" s="62"/>
      <c r="I31" s="62">
        <v>57595.06</v>
      </c>
      <c r="J31" s="62"/>
      <c r="K31" s="62"/>
      <c r="L31" s="62">
        <v>69095.622368760072</v>
      </c>
      <c r="M31" s="108">
        <v>112865.57233970794</v>
      </c>
      <c r="N31" s="107">
        <f t="shared" si="2"/>
        <v>848739.20470846805</v>
      </c>
      <c r="O31" s="31">
        <f t="shared" si="0"/>
        <v>14</v>
      </c>
      <c r="P31" s="33"/>
      <c r="Q31" s="50"/>
    </row>
    <row r="32" spans="1:17" x14ac:dyDescent="0.3">
      <c r="A32" s="83">
        <f t="shared" si="1"/>
        <v>14.5</v>
      </c>
      <c r="B32" s="107">
        <v>19940.38</v>
      </c>
      <c r="C32" s="62">
        <v>698419.54</v>
      </c>
      <c r="D32" s="62">
        <v>256518.01</v>
      </c>
      <c r="E32" s="62"/>
      <c r="F32" s="62">
        <v>236495.57</v>
      </c>
      <c r="G32" s="62">
        <v>238599.82</v>
      </c>
      <c r="H32" s="62"/>
      <c r="I32" s="62">
        <v>98701.440000000002</v>
      </c>
      <c r="J32" s="62">
        <v>100293.91</v>
      </c>
      <c r="K32" s="62"/>
      <c r="L32" s="62">
        <v>60669.326957935678</v>
      </c>
      <c r="M32" s="108">
        <v>150487.42978627727</v>
      </c>
      <c r="N32" s="107">
        <f t="shared" si="2"/>
        <v>1860125.4267442129</v>
      </c>
      <c r="O32" s="31">
        <f t="shared" si="0"/>
        <v>14.5</v>
      </c>
      <c r="P32" s="33"/>
      <c r="Q32" s="50"/>
    </row>
    <row r="33" spans="1:17" x14ac:dyDescent="0.3">
      <c r="A33" s="83">
        <f t="shared" si="1"/>
        <v>15</v>
      </c>
      <c r="B33" s="107">
        <v>39880.75</v>
      </c>
      <c r="C33" s="62">
        <v>1075178.8700000001</v>
      </c>
      <c r="D33" s="62">
        <v>430335.03</v>
      </c>
      <c r="E33" s="62"/>
      <c r="F33" s="62">
        <v>637937.87</v>
      </c>
      <c r="G33" s="62">
        <v>541893.11</v>
      </c>
      <c r="H33" s="62">
        <v>244474.65</v>
      </c>
      <c r="I33" s="62">
        <v>330984.11</v>
      </c>
      <c r="J33" s="62">
        <v>284965.89</v>
      </c>
      <c r="K33" s="62"/>
      <c r="L33" s="62">
        <v>40446.217971957121</v>
      </c>
      <c r="M33" s="108">
        <v>37621.857446569316</v>
      </c>
      <c r="N33" s="107">
        <f t="shared" si="2"/>
        <v>3663718.3554185266</v>
      </c>
      <c r="O33" s="31">
        <f t="shared" si="0"/>
        <v>15</v>
      </c>
      <c r="P33" s="33"/>
      <c r="Q33" s="50"/>
    </row>
    <row r="34" spans="1:17" x14ac:dyDescent="0.3">
      <c r="A34" s="83">
        <f t="shared" si="1"/>
        <v>15.5</v>
      </c>
      <c r="B34" s="107">
        <v>19940.38</v>
      </c>
      <c r="C34" s="62">
        <v>1921176.91</v>
      </c>
      <c r="D34" s="62">
        <v>840468.62</v>
      </c>
      <c r="E34" s="62"/>
      <c r="F34" s="62">
        <v>1489079.24</v>
      </c>
      <c r="G34" s="62">
        <v>1462975.64</v>
      </c>
      <c r="H34" s="62">
        <v>464721.91999999998</v>
      </c>
      <c r="I34" s="62">
        <v>468066.79</v>
      </c>
      <c r="J34" s="62">
        <v>749817.64</v>
      </c>
      <c r="K34" s="62"/>
      <c r="L34" s="62">
        <v>30334.663478967839</v>
      </c>
      <c r="M34" s="108"/>
      <c r="N34" s="107">
        <f t="shared" si="2"/>
        <v>7446581.8034789665</v>
      </c>
      <c r="O34" s="31">
        <f t="shared" si="0"/>
        <v>15.5</v>
      </c>
      <c r="P34" s="33"/>
      <c r="Q34" s="50"/>
    </row>
    <row r="35" spans="1:17" x14ac:dyDescent="0.3">
      <c r="A35" s="83">
        <f t="shared" si="1"/>
        <v>16</v>
      </c>
      <c r="B35" s="107">
        <v>49850.94</v>
      </c>
      <c r="C35" s="62">
        <v>2866023.01</v>
      </c>
      <c r="D35" s="62">
        <v>1192874.6100000001</v>
      </c>
      <c r="E35" s="62"/>
      <c r="F35" s="62">
        <v>1713274.07</v>
      </c>
      <c r="G35" s="62">
        <v>1586268.67</v>
      </c>
      <c r="H35" s="62">
        <v>655051.56999999995</v>
      </c>
      <c r="I35" s="62">
        <v>651593.34</v>
      </c>
      <c r="J35" s="62">
        <v>1047521.26</v>
      </c>
      <c r="K35" s="62"/>
      <c r="L35" s="62">
        <v>28649.404396802965</v>
      </c>
      <c r="M35" s="108">
        <v>37621.857446569316</v>
      </c>
      <c r="N35" s="107">
        <f t="shared" si="2"/>
        <v>9828728.7318433728</v>
      </c>
      <c r="O35" s="31">
        <f t="shared" si="0"/>
        <v>16</v>
      </c>
      <c r="P35" s="33"/>
      <c r="Q35" s="50"/>
    </row>
    <row r="36" spans="1:17" x14ac:dyDescent="0.3">
      <c r="A36" s="83">
        <f t="shared" si="1"/>
        <v>16.5</v>
      </c>
      <c r="B36" s="107">
        <v>19940.38</v>
      </c>
      <c r="C36" s="62">
        <v>3425706.2</v>
      </c>
      <c r="D36" s="62">
        <v>1043683.16</v>
      </c>
      <c r="E36" s="62"/>
      <c r="F36" s="62">
        <v>1258825.27</v>
      </c>
      <c r="G36" s="62">
        <v>1216707.8400000001</v>
      </c>
      <c r="H36" s="62">
        <v>763430.28</v>
      </c>
      <c r="I36" s="62">
        <v>568736.86</v>
      </c>
      <c r="J36" s="62">
        <v>904240.62999999989</v>
      </c>
      <c r="K36" s="62"/>
      <c r="L36" s="62">
        <v>25278.8862324732</v>
      </c>
      <c r="M36" s="108"/>
      <c r="N36" s="107">
        <f t="shared" si="2"/>
        <v>9226549.506232474</v>
      </c>
      <c r="O36" s="31">
        <f t="shared" si="0"/>
        <v>16.5</v>
      </c>
      <c r="P36" s="33"/>
      <c r="Q36" s="50"/>
    </row>
    <row r="37" spans="1:17" x14ac:dyDescent="0.3">
      <c r="A37" s="83">
        <f t="shared" si="1"/>
        <v>17</v>
      </c>
      <c r="B37" s="107">
        <v>19940.38</v>
      </c>
      <c r="C37" s="62">
        <v>2143896.77</v>
      </c>
      <c r="D37" s="62">
        <v>539156.13</v>
      </c>
      <c r="E37" s="62"/>
      <c r="F37" s="62">
        <v>748742.77</v>
      </c>
      <c r="G37" s="62">
        <v>477508.78</v>
      </c>
      <c r="H37" s="62">
        <v>578146.05000000005</v>
      </c>
      <c r="I37" s="62">
        <v>344903.74</v>
      </c>
      <c r="J37" s="62">
        <v>439388.88</v>
      </c>
      <c r="K37" s="62"/>
      <c r="L37" s="62">
        <v>52243.031547111277</v>
      </c>
      <c r="M37" s="108"/>
      <c r="N37" s="107">
        <f t="shared" si="2"/>
        <v>5343926.5315471115</v>
      </c>
      <c r="O37" s="31">
        <f t="shared" si="0"/>
        <v>17</v>
      </c>
      <c r="P37" s="33"/>
      <c r="Q37" s="50"/>
    </row>
    <row r="38" spans="1:17" x14ac:dyDescent="0.3">
      <c r="A38" s="83">
        <f t="shared" si="1"/>
        <v>17.5</v>
      </c>
      <c r="B38" s="107">
        <v>29910.57</v>
      </c>
      <c r="C38" s="62">
        <v>846668.57</v>
      </c>
      <c r="D38" s="62">
        <v>249425.01</v>
      </c>
      <c r="E38" s="62"/>
      <c r="F38" s="62">
        <v>396067.93</v>
      </c>
      <c r="G38" s="62">
        <v>163210.65</v>
      </c>
      <c r="H38" s="62">
        <v>203176.78</v>
      </c>
      <c r="I38" s="62">
        <v>144902.51999999999</v>
      </c>
      <c r="J38" s="62">
        <v>342273.1</v>
      </c>
      <c r="K38" s="62"/>
      <c r="L38" s="62">
        <v>37075.699807627359</v>
      </c>
      <c r="M38" s="108"/>
      <c r="N38" s="107">
        <f t="shared" si="2"/>
        <v>2412710.829807627</v>
      </c>
      <c r="O38" s="31">
        <f t="shared" si="0"/>
        <v>17.5</v>
      </c>
      <c r="P38" s="33"/>
      <c r="Q38" s="50"/>
    </row>
    <row r="39" spans="1:17" x14ac:dyDescent="0.3">
      <c r="A39" s="83">
        <f t="shared" si="1"/>
        <v>18</v>
      </c>
      <c r="B39" s="107"/>
      <c r="C39" s="62">
        <v>222070.14</v>
      </c>
      <c r="D39" s="62">
        <v>31675.64</v>
      </c>
      <c r="E39" s="62"/>
      <c r="F39" s="62">
        <v>48513.74</v>
      </c>
      <c r="G39" s="62">
        <v>44533.279999999999</v>
      </c>
      <c r="H39" s="62">
        <v>61302.06</v>
      </c>
      <c r="I39" s="62">
        <v>73153.899999999994</v>
      </c>
      <c r="J39" s="62">
        <v>35022.47</v>
      </c>
      <c r="K39" s="62"/>
      <c r="L39" s="62">
        <v>23593.627150308319</v>
      </c>
      <c r="M39" s="108"/>
      <c r="N39" s="107">
        <f t="shared" si="2"/>
        <v>539864.85715030832</v>
      </c>
      <c r="O39" s="31">
        <f t="shared" si="0"/>
        <v>18</v>
      </c>
      <c r="P39" s="33"/>
      <c r="Q39" s="50"/>
    </row>
    <row r="40" spans="1:17" x14ac:dyDescent="0.3">
      <c r="A40" s="83">
        <f t="shared" si="1"/>
        <v>18.5</v>
      </c>
      <c r="B40" s="107"/>
      <c r="C40" s="62">
        <v>37022.01</v>
      </c>
      <c r="D40" s="62">
        <v>8022.96</v>
      </c>
      <c r="E40" s="62"/>
      <c r="F40" s="62">
        <v>21001.65</v>
      </c>
      <c r="G40" s="62">
        <v>11027.07</v>
      </c>
      <c r="H40" s="62"/>
      <c r="I40" s="62"/>
      <c r="J40" s="62"/>
      <c r="K40" s="62"/>
      <c r="L40" s="62">
        <v>6741.0363286595193</v>
      </c>
      <c r="M40" s="108"/>
      <c r="N40" s="107">
        <f t="shared" si="2"/>
        <v>83814.726328659526</v>
      </c>
      <c r="O40" s="31">
        <f t="shared" si="0"/>
        <v>18.5</v>
      </c>
      <c r="P40" s="33"/>
      <c r="Q40" s="50"/>
    </row>
    <row r="41" spans="1:17" x14ac:dyDescent="0.3">
      <c r="A41" s="83">
        <f t="shared" si="1"/>
        <v>19</v>
      </c>
      <c r="B41" s="107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108"/>
      <c r="N41" s="107" t="str">
        <f t="shared" si="2"/>
        <v xml:space="preserve"> </v>
      </c>
      <c r="O41" s="31">
        <f t="shared" si="0"/>
        <v>19</v>
      </c>
      <c r="P41" s="33"/>
      <c r="Q41" s="50"/>
    </row>
    <row r="42" spans="1:17" x14ac:dyDescent="0.3">
      <c r="A42" s="83">
        <f t="shared" si="1"/>
        <v>19.5</v>
      </c>
      <c r="B42" s="107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08"/>
      <c r="N42" s="107"/>
      <c r="O42" s="31">
        <f t="shared" si="0"/>
        <v>19.5</v>
      </c>
      <c r="P42" s="33"/>
    </row>
    <row r="43" spans="1:17" x14ac:dyDescent="0.3">
      <c r="A43" s="83">
        <f t="shared" si="1"/>
        <v>20</v>
      </c>
      <c r="B43" s="107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108"/>
      <c r="N43" s="107"/>
      <c r="O43" s="31">
        <f t="shared" si="0"/>
        <v>20</v>
      </c>
    </row>
    <row r="44" spans="1:17" x14ac:dyDescent="0.3">
      <c r="A44" s="83">
        <f t="shared" si="1"/>
        <v>20.5</v>
      </c>
      <c r="B44" s="107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108"/>
      <c r="N44" s="107"/>
      <c r="O44" s="31">
        <f t="shared" si="0"/>
        <v>20.5</v>
      </c>
    </row>
    <row r="45" spans="1:17" x14ac:dyDescent="0.3">
      <c r="A45" s="85" t="s">
        <v>13</v>
      </c>
      <c r="B45" s="111">
        <f>IF(SUM(B11:B44)&gt;0,SUM(B11:B44)," ")</f>
        <v>199403.78000000003</v>
      </c>
      <c r="C45" s="66">
        <f t="shared" ref="C45:M45" si="3">IF(SUM(C11:C44)&gt;0,SUM(C11:C44)," ")</f>
        <v>13879644.4</v>
      </c>
      <c r="D45" s="66">
        <f t="shared" si="3"/>
        <v>4769552.0799999991</v>
      </c>
      <c r="E45" s="66" t="str">
        <f t="shared" si="3"/>
        <v xml:space="preserve"> </v>
      </c>
      <c r="F45" s="66">
        <f t="shared" si="3"/>
        <v>6747821.9700000007</v>
      </c>
      <c r="G45" s="66">
        <f t="shared" si="3"/>
        <v>5742724.8600000013</v>
      </c>
      <c r="H45" s="66">
        <f t="shared" si="3"/>
        <v>8732288.5099999998</v>
      </c>
      <c r="I45" s="66">
        <f t="shared" si="3"/>
        <v>2848331.6499999994</v>
      </c>
      <c r="J45" s="66">
        <f t="shared" si="3"/>
        <v>3903523.7800000003</v>
      </c>
      <c r="K45" s="66" t="str">
        <f t="shared" si="3"/>
        <v xml:space="preserve"> </v>
      </c>
      <c r="L45" s="66">
        <f t="shared" si="3"/>
        <v>1012840.7083810929</v>
      </c>
      <c r="M45" s="112">
        <f t="shared" si="3"/>
        <v>752437.14893138641</v>
      </c>
      <c r="N45" s="111">
        <f>SUM(N11:N44)</f>
        <v>48588568.887312479</v>
      </c>
    </row>
    <row r="46" spans="1:17" x14ac:dyDescent="0.3">
      <c r="A46" s="86" t="s">
        <v>24</v>
      </c>
      <c r="B46" s="107">
        <v>4.2</v>
      </c>
      <c r="C46" s="62">
        <v>430.98</v>
      </c>
      <c r="D46" s="62">
        <v>140.80000000000001</v>
      </c>
      <c r="E46" s="62"/>
      <c r="F46" s="62">
        <v>183.6</v>
      </c>
      <c r="G46" s="62">
        <v>147.94999999999999</v>
      </c>
      <c r="H46" s="62">
        <v>121.24</v>
      </c>
      <c r="I46" s="62">
        <v>62.35</v>
      </c>
      <c r="J46" s="62">
        <v>103.6</v>
      </c>
      <c r="K46" s="73"/>
      <c r="L46" s="62">
        <v>13.471</v>
      </c>
      <c r="M46" s="108">
        <v>2.4769999999999999</v>
      </c>
      <c r="N46" s="126">
        <f>SUM(B46:M46)</f>
        <v>1210.6679999999999</v>
      </c>
    </row>
    <row r="47" spans="1:17" x14ac:dyDescent="0.3">
      <c r="A47" s="86" t="s">
        <v>17</v>
      </c>
      <c r="B47" s="107">
        <v>5.7161</v>
      </c>
      <c r="C47" s="62">
        <v>430.98</v>
      </c>
      <c r="D47" s="62">
        <v>141.70599999999999</v>
      </c>
      <c r="E47" s="62"/>
      <c r="F47" s="62">
        <v>184.8</v>
      </c>
      <c r="G47" s="62">
        <v>150.65</v>
      </c>
      <c r="H47" s="62">
        <v>121.24</v>
      </c>
      <c r="I47" s="62">
        <v>67.150000000000006</v>
      </c>
      <c r="J47" s="62">
        <v>106.6</v>
      </c>
      <c r="K47" s="73"/>
      <c r="L47" s="62">
        <v>18.018000000000001</v>
      </c>
      <c r="M47" s="108">
        <v>12.8725</v>
      </c>
      <c r="N47" s="126">
        <f>SUM(B47:M47)</f>
        <v>1239.7325999999998</v>
      </c>
      <c r="O47" s="36"/>
    </row>
    <row r="48" spans="1:17" ht="14" x14ac:dyDescent="0.3">
      <c r="A48" s="87" t="s">
        <v>21</v>
      </c>
      <c r="B48" s="114">
        <f>SUM(B9:B26)*100/B45</f>
        <v>0</v>
      </c>
      <c r="C48" s="67">
        <f>SUM(C9:C26)*100/C45</f>
        <v>0</v>
      </c>
      <c r="D48" s="67">
        <f>SUM(D9:D26)*100/D45</f>
        <v>0</v>
      </c>
      <c r="E48" s="67"/>
      <c r="F48" s="67">
        <f>SUM(F9:F26)*100/F45</f>
        <v>0</v>
      </c>
      <c r="G48" s="67">
        <f>SUM(G9:G26)*100/G45</f>
        <v>0</v>
      </c>
      <c r="H48" s="67">
        <f>SUM(H9:H26)*100/H45</f>
        <v>45.093408967084166</v>
      </c>
      <c r="I48" s="67">
        <f>SUM(I9:I26)*100/I45</f>
        <v>0</v>
      </c>
      <c r="J48" s="67">
        <f>SUM(J9:J26)*100/J45</f>
        <v>0</v>
      </c>
      <c r="K48" s="67"/>
      <c r="L48" s="67">
        <f t="shared" ref="L48:M48" si="4">SUM(L9:L26)*100/L45</f>
        <v>8.4858569051580695</v>
      </c>
      <c r="M48" s="67">
        <f t="shared" si="4"/>
        <v>0</v>
      </c>
      <c r="N48" s="114">
        <f>SUM(N11:N26)*100/N45</f>
        <v>8.2810316815918128</v>
      </c>
    </row>
    <row r="49" spans="1:15" x14ac:dyDescent="0.3">
      <c r="A49" s="88" t="s">
        <v>19</v>
      </c>
      <c r="B49" s="116">
        <v>16</v>
      </c>
      <c r="C49" s="69">
        <v>16.5</v>
      </c>
      <c r="D49" s="69">
        <v>16</v>
      </c>
      <c r="E49" s="74"/>
      <c r="F49" s="69">
        <v>16</v>
      </c>
      <c r="G49" s="69">
        <v>16</v>
      </c>
      <c r="H49" s="59">
        <v>10.5</v>
      </c>
      <c r="I49" s="69">
        <v>16</v>
      </c>
      <c r="J49" s="69">
        <v>16</v>
      </c>
      <c r="K49" s="69"/>
      <c r="L49" s="69">
        <v>13</v>
      </c>
      <c r="M49" s="117">
        <v>13.5</v>
      </c>
      <c r="N49" s="116">
        <v>16</v>
      </c>
    </row>
    <row r="50" spans="1:15" x14ac:dyDescent="0.3">
      <c r="A50" s="37" t="s">
        <v>14</v>
      </c>
      <c r="J50" s="38"/>
    </row>
    <row r="51" spans="1:15" s="39" customFormat="1" ht="14" x14ac:dyDescent="0.3">
      <c r="A51" s="39" t="s">
        <v>30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1:15" s="39" customFormat="1" ht="14" x14ac:dyDescent="0.3">
      <c r="A52" s="41" t="s">
        <v>31</v>
      </c>
      <c r="B52" s="42"/>
      <c r="C52" s="42"/>
      <c r="D52" s="42"/>
      <c r="E52" s="42"/>
      <c r="F52" s="42"/>
      <c r="G52" s="42"/>
      <c r="H52" s="42"/>
      <c r="I52" s="42"/>
      <c r="J52" s="40"/>
      <c r="K52" s="42"/>
      <c r="L52" s="42"/>
      <c r="M52" s="42"/>
      <c r="N52" s="42"/>
    </row>
    <row r="53" spans="1:15" x14ac:dyDescent="0.3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5" spans="1:15" x14ac:dyDescent="0.3">
      <c r="A55" s="44"/>
      <c r="B55" s="27">
        <v>0</v>
      </c>
      <c r="C55" s="27">
        <v>1</v>
      </c>
      <c r="D55" s="27">
        <v>2</v>
      </c>
      <c r="E55" s="27">
        <v>3</v>
      </c>
      <c r="F55" s="27">
        <v>4</v>
      </c>
      <c r="G55" s="27">
        <v>5</v>
      </c>
      <c r="H55" s="27">
        <v>6</v>
      </c>
      <c r="I55" s="27">
        <v>7</v>
      </c>
      <c r="J55" s="27">
        <v>8</v>
      </c>
      <c r="K55" s="27">
        <v>9</v>
      </c>
      <c r="L55" s="27">
        <v>10</v>
      </c>
      <c r="M55" s="27">
        <v>11</v>
      </c>
      <c r="N55" s="27">
        <v>12</v>
      </c>
      <c r="O55" s="45" t="e">
        <f>+N55*100/#REF!</f>
        <v>#REF!</v>
      </c>
    </row>
    <row r="56" spans="1:15" x14ac:dyDescent="0.3">
      <c r="A56" s="46">
        <v>14</v>
      </c>
      <c r="B56" s="47">
        <f>+VLOOKUP(MAX(B9:B44),B9:$O$44,14,0)</f>
        <v>16</v>
      </c>
      <c r="C56" s="48">
        <f>+VLOOKUP(MAX(C9:C44),C9:$O$44,+$A$56-C55,0)</f>
        <v>16.5</v>
      </c>
      <c r="D56" s="48">
        <f>+VLOOKUP(MAX(D9:D44),D9:$O$44,+$A$56-D55,0)</f>
        <v>16</v>
      </c>
      <c r="E56" s="48" t="e">
        <f>+VLOOKUP(MAX(E9:E44),E9:$O$44,+$A$56-E55,0)</f>
        <v>#N/A</v>
      </c>
      <c r="F56" s="48">
        <f>+VLOOKUP(MAX(F9:F44),F9:$O$44,+$A$56-F55,0)</f>
        <v>16</v>
      </c>
      <c r="G56" s="48">
        <f>+VLOOKUP(MAX(G9:G44),G9:$O$44,+$A$56-G55,0)</f>
        <v>16</v>
      </c>
      <c r="H56" s="48">
        <f>+VLOOKUP(MAX(H9:H44),H9:$O$44,+$A$56-H55,0)</f>
        <v>10.5</v>
      </c>
      <c r="I56" s="48">
        <f>+VLOOKUP(MAX(I9:I44),I9:$O$44,+$A$56-I55,0)</f>
        <v>16</v>
      </c>
      <c r="J56" s="48">
        <f>+VLOOKUP(MAX(J9:J44),J9:$O$44,+$A$56-J55,0)</f>
        <v>16</v>
      </c>
      <c r="K56" s="48" t="e">
        <f>+VLOOKUP(MAX(K9:K44),K9:$O$44,+$A$56-K55,0)</f>
        <v>#N/A</v>
      </c>
      <c r="L56" s="48">
        <f>+VLOOKUP(MAX(L9:L44),L9:$O$44,+$A$56-L55,0)</f>
        <v>13</v>
      </c>
      <c r="M56" s="48">
        <f>+VLOOKUP(MAX(M9:M44),M9:$O$44,+$A$56-M55,0)</f>
        <v>13.5</v>
      </c>
      <c r="N56" s="48">
        <f>+VLOOKUP(MAX(N9:N44),N9:$O$44,+$A$56-N55,0)</f>
        <v>16</v>
      </c>
    </row>
    <row r="59" spans="1:15" ht="14" x14ac:dyDescent="0.3">
      <c r="B59" s="49"/>
    </row>
    <row r="60" spans="1:15" x14ac:dyDescent="0.3">
      <c r="A60" s="24" t="s">
        <v>22</v>
      </c>
      <c r="B60" s="32">
        <f>-SUM(B9:B26)</f>
        <v>0</v>
      </c>
      <c r="C60" s="32">
        <f t="shared" ref="C60:N60" si="5">-SUM(C9:C26)</f>
        <v>0</v>
      </c>
      <c r="D60" s="32">
        <f t="shared" si="5"/>
        <v>0</v>
      </c>
      <c r="E60" s="32">
        <f t="shared" si="5"/>
        <v>0</v>
      </c>
      <c r="F60" s="32">
        <f t="shared" si="5"/>
        <v>0</v>
      </c>
      <c r="G60" s="32">
        <f t="shared" si="5"/>
        <v>0</v>
      </c>
      <c r="H60" s="32">
        <f t="shared" si="5"/>
        <v>-3937686.57</v>
      </c>
      <c r="I60" s="32">
        <f t="shared" si="5"/>
        <v>0</v>
      </c>
      <c r="J60" s="32">
        <f t="shared" si="5"/>
        <v>0</v>
      </c>
      <c r="K60" s="32">
        <f t="shared" si="5"/>
        <v>0</v>
      </c>
      <c r="L60" s="32">
        <f t="shared" si="5"/>
        <v>-85948.213190408875</v>
      </c>
      <c r="M60" s="32">
        <f t="shared" si="5"/>
        <v>0</v>
      </c>
      <c r="N60" s="32">
        <f t="shared" si="5"/>
        <v>-4023634.7831904087</v>
      </c>
    </row>
    <row r="61" spans="1:15" x14ac:dyDescent="0.3">
      <c r="A61" s="24" t="s">
        <v>23</v>
      </c>
      <c r="B61" s="32">
        <f t="shared" ref="B61:M61" si="6">SUM(B27:B44)</f>
        <v>199403.78000000003</v>
      </c>
      <c r="C61" s="32">
        <f t="shared" si="6"/>
        <v>13879644.4</v>
      </c>
      <c r="D61" s="32">
        <f t="shared" si="6"/>
        <v>4769552.0799999991</v>
      </c>
      <c r="E61" s="32">
        <f t="shared" si="6"/>
        <v>0</v>
      </c>
      <c r="F61" s="32">
        <f t="shared" si="6"/>
        <v>6747821.9700000007</v>
      </c>
      <c r="G61" s="32">
        <f t="shared" si="6"/>
        <v>5742724.8600000013</v>
      </c>
      <c r="H61" s="32">
        <f t="shared" si="6"/>
        <v>4794601.9399999995</v>
      </c>
      <c r="I61" s="32">
        <f t="shared" si="6"/>
        <v>2848331.6499999994</v>
      </c>
      <c r="J61" s="32">
        <f t="shared" si="6"/>
        <v>3903523.7800000003</v>
      </c>
      <c r="K61" s="32">
        <f t="shared" si="6"/>
        <v>0</v>
      </c>
      <c r="L61" s="32">
        <f t="shared" si="6"/>
        <v>926892.49519068399</v>
      </c>
      <c r="M61" s="32">
        <f t="shared" si="6"/>
        <v>752437.14893138641</v>
      </c>
      <c r="N61" s="32">
        <f>SUM(N27:N44)</f>
        <v>44564934.104122065</v>
      </c>
    </row>
    <row r="62" spans="1:15" ht="14" x14ac:dyDescent="0.3">
      <c r="B62" s="49"/>
    </row>
    <row r="63" spans="1:15" ht="14" x14ac:dyDescent="0.3">
      <c r="B63" s="49"/>
    </row>
    <row r="64" spans="1:15" ht="15.75" customHeight="1" x14ac:dyDescent="0.3">
      <c r="B64" s="49"/>
    </row>
    <row r="65" spans="2:2" ht="14" x14ac:dyDescent="0.3">
      <c r="B65" s="49"/>
    </row>
    <row r="66" spans="2:2" ht="14" x14ac:dyDescent="0.3">
      <c r="B66" s="49"/>
    </row>
    <row r="67" spans="2:2" ht="14" x14ac:dyDescent="0.3">
      <c r="B67" s="49"/>
    </row>
    <row r="68" spans="2:2" ht="14" x14ac:dyDescent="0.3">
      <c r="B68" s="49"/>
    </row>
    <row r="69" spans="2:2" ht="14" x14ac:dyDescent="0.3">
      <c r="B69" s="49"/>
    </row>
    <row r="70" spans="2:2" ht="14" x14ac:dyDescent="0.3">
      <c r="B70" s="49"/>
    </row>
  </sheetData>
  <mergeCells count="5">
    <mergeCell ref="B7:M7"/>
    <mergeCell ref="A1:N1"/>
    <mergeCell ref="A3:N3"/>
    <mergeCell ref="A4:N4"/>
    <mergeCell ref="A5:N5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3C</oddFooter>
  </headerFooter>
  <ignoredErrors>
    <ignoredError sqref="N19:N41 B48 D48 F48 H48:J48 C48 G48 E48 L48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8">
    <tabColor theme="4" tint="-0.499984740745262"/>
  </sheetPr>
  <dimension ref="A1:Q70"/>
  <sheetViews>
    <sheetView topLeftCell="A25" zoomScale="70" zoomScaleNormal="70" zoomScalePageLayoutView="70" workbookViewId="0">
      <selection activeCell="N46" sqref="N46:N47"/>
    </sheetView>
  </sheetViews>
  <sheetFormatPr baseColWidth="10" defaultRowHeight="13" x14ac:dyDescent="0.3"/>
  <cols>
    <col min="1" max="1" width="20.1796875" style="24" customWidth="1"/>
    <col min="2" max="7" width="14.1796875" style="27" customWidth="1"/>
    <col min="8" max="13" width="12.36328125" style="27" customWidth="1"/>
    <col min="14" max="14" width="14.26953125" style="27" customWidth="1"/>
    <col min="15" max="16384" width="10.90625" style="24"/>
  </cols>
  <sheetData>
    <row r="1" spans="1:17" ht="20" x14ac:dyDescent="0.4">
      <c r="A1" s="135" t="s">
        <v>29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7" ht="20" x14ac:dyDescent="0.4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7" ht="20" x14ac:dyDescent="0.4">
      <c r="A3" s="135" t="s">
        <v>20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7" ht="20" x14ac:dyDescent="0.4">
      <c r="A4" s="136" t="s">
        <v>38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7" s="28" customFormat="1" ht="19.149999999999999" customHeight="1" x14ac:dyDescent="0.4">
      <c r="A5" s="136" t="s">
        <v>33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</row>
    <row r="6" spans="1:17" s="28" customFormat="1" ht="19.149999999999999" customHeight="1" x14ac:dyDescent="0.3">
      <c r="A6" s="24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7" ht="13.5" thickBot="1" x14ac:dyDescent="0.35">
      <c r="A7" s="28"/>
      <c r="B7" s="134" t="s">
        <v>12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61"/>
    </row>
    <row r="8" spans="1:17" ht="13.5" thickBot="1" x14ac:dyDescent="0.35">
      <c r="A8" s="81" t="s">
        <v>18</v>
      </c>
      <c r="B8" s="101" t="s">
        <v>0</v>
      </c>
      <c r="C8" s="64" t="s">
        <v>1</v>
      </c>
      <c r="D8" s="64" t="s">
        <v>2</v>
      </c>
      <c r="E8" s="64" t="s">
        <v>3</v>
      </c>
      <c r="F8" s="64" t="s">
        <v>4</v>
      </c>
      <c r="G8" s="64" t="s">
        <v>5</v>
      </c>
      <c r="H8" s="64" t="s">
        <v>6</v>
      </c>
      <c r="I8" s="64" t="s">
        <v>7</v>
      </c>
      <c r="J8" s="64" t="s">
        <v>27</v>
      </c>
      <c r="K8" s="64" t="s">
        <v>9</v>
      </c>
      <c r="L8" s="64" t="s">
        <v>10</v>
      </c>
      <c r="M8" s="102" t="s">
        <v>11</v>
      </c>
      <c r="N8" s="123" t="s">
        <v>13</v>
      </c>
      <c r="O8" s="29" t="s">
        <v>18</v>
      </c>
    </row>
    <row r="9" spans="1:17" x14ac:dyDescent="0.3">
      <c r="A9" s="82">
        <v>3</v>
      </c>
      <c r="B9" s="103"/>
      <c r="C9" s="72"/>
      <c r="D9" s="72"/>
      <c r="E9" s="72"/>
      <c r="F9" s="72"/>
      <c r="G9" s="72"/>
      <c r="H9" s="72"/>
      <c r="I9" s="72"/>
      <c r="J9" s="72"/>
      <c r="K9" s="72"/>
      <c r="L9" s="72"/>
      <c r="M9" s="104"/>
      <c r="N9" s="124"/>
      <c r="O9" s="30">
        <f>+A9</f>
        <v>3</v>
      </c>
    </row>
    <row r="10" spans="1:17" x14ac:dyDescent="0.3">
      <c r="A10" s="83">
        <f>+A9+0.5</f>
        <v>3.5</v>
      </c>
      <c r="B10" s="105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106"/>
      <c r="N10" s="125"/>
      <c r="O10" s="31">
        <f t="shared" ref="O10:O44" si="0">+A10</f>
        <v>3.5</v>
      </c>
    </row>
    <row r="11" spans="1:17" x14ac:dyDescent="0.3">
      <c r="A11" s="83">
        <f t="shared" ref="A11:A44" si="1">+A10+0.5</f>
        <v>4</v>
      </c>
      <c r="B11" s="107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108"/>
      <c r="N11" s="107"/>
      <c r="O11" s="31">
        <f t="shared" si="0"/>
        <v>4</v>
      </c>
    </row>
    <row r="12" spans="1:17" x14ac:dyDescent="0.3">
      <c r="A12" s="83">
        <f t="shared" si="1"/>
        <v>4.5</v>
      </c>
      <c r="B12" s="107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08"/>
      <c r="N12" s="107"/>
      <c r="O12" s="31">
        <f t="shared" si="0"/>
        <v>4.5</v>
      </c>
    </row>
    <row r="13" spans="1:17" x14ac:dyDescent="0.3">
      <c r="A13" s="83">
        <f t="shared" si="1"/>
        <v>5</v>
      </c>
      <c r="B13" s="107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108"/>
      <c r="N13" s="107"/>
      <c r="O13" s="31">
        <f t="shared" si="0"/>
        <v>5</v>
      </c>
    </row>
    <row r="14" spans="1:17" x14ac:dyDescent="0.3">
      <c r="A14" s="83">
        <f t="shared" si="1"/>
        <v>5.5</v>
      </c>
      <c r="B14" s="107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108"/>
      <c r="N14" s="107"/>
      <c r="O14" s="31">
        <f t="shared" si="0"/>
        <v>5.5</v>
      </c>
    </row>
    <row r="15" spans="1:17" x14ac:dyDescent="0.3">
      <c r="A15" s="83">
        <f t="shared" si="1"/>
        <v>6</v>
      </c>
      <c r="B15" s="10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108"/>
      <c r="N15" s="107" t="str">
        <f t="shared" ref="N15:N43" si="2">IF(SUM(B15:M15)&gt;0,SUM(B15:M15)," ")</f>
        <v xml:space="preserve"> </v>
      </c>
      <c r="O15" s="31">
        <f t="shared" si="0"/>
        <v>6</v>
      </c>
      <c r="P15" s="33"/>
      <c r="Q15" s="34"/>
    </row>
    <row r="16" spans="1:17" x14ac:dyDescent="0.3">
      <c r="A16" s="83">
        <f t="shared" si="1"/>
        <v>6.5</v>
      </c>
      <c r="B16" s="107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108"/>
      <c r="N16" s="107" t="str">
        <f t="shared" si="2"/>
        <v xml:space="preserve"> </v>
      </c>
      <c r="O16" s="31">
        <f t="shared" si="0"/>
        <v>6.5</v>
      </c>
      <c r="P16" s="33"/>
      <c r="Q16" s="34"/>
    </row>
    <row r="17" spans="1:17" x14ac:dyDescent="0.3">
      <c r="A17" s="83">
        <f t="shared" si="1"/>
        <v>7</v>
      </c>
      <c r="B17" s="107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108"/>
      <c r="N17" s="107" t="str">
        <f t="shared" si="2"/>
        <v xml:space="preserve"> </v>
      </c>
      <c r="O17" s="31">
        <f t="shared" si="0"/>
        <v>7</v>
      </c>
      <c r="P17" s="33"/>
      <c r="Q17" s="34"/>
    </row>
    <row r="18" spans="1:17" x14ac:dyDescent="0.3">
      <c r="A18" s="83">
        <f t="shared" si="1"/>
        <v>7.5</v>
      </c>
      <c r="B18" s="107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108"/>
      <c r="N18" s="107" t="str">
        <f t="shared" si="2"/>
        <v xml:space="preserve"> </v>
      </c>
      <c r="O18" s="31">
        <f t="shared" si="0"/>
        <v>7.5</v>
      </c>
      <c r="P18" s="33"/>
      <c r="Q18" s="34"/>
    </row>
    <row r="19" spans="1:17" x14ac:dyDescent="0.3">
      <c r="A19" s="83">
        <f t="shared" si="1"/>
        <v>8</v>
      </c>
      <c r="B19" s="10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108"/>
      <c r="N19" s="107" t="str">
        <f t="shared" si="2"/>
        <v xml:space="preserve"> </v>
      </c>
      <c r="O19" s="31">
        <f t="shared" si="0"/>
        <v>8</v>
      </c>
      <c r="P19" s="33"/>
      <c r="Q19" s="34"/>
    </row>
    <row r="20" spans="1:17" x14ac:dyDescent="0.3">
      <c r="A20" s="83">
        <f t="shared" si="1"/>
        <v>8.5</v>
      </c>
      <c r="B20" s="107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108"/>
      <c r="N20" s="107" t="str">
        <f t="shared" si="2"/>
        <v xml:space="preserve"> </v>
      </c>
      <c r="O20" s="31">
        <f t="shared" si="0"/>
        <v>8.5</v>
      </c>
      <c r="P20" s="33"/>
      <c r="Q20" s="34"/>
    </row>
    <row r="21" spans="1:17" x14ac:dyDescent="0.3">
      <c r="A21" s="83">
        <f t="shared" si="1"/>
        <v>9</v>
      </c>
      <c r="B21" s="107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108"/>
      <c r="N21" s="107" t="str">
        <f t="shared" si="2"/>
        <v xml:space="preserve"> </v>
      </c>
      <c r="O21" s="31">
        <f t="shared" si="0"/>
        <v>9</v>
      </c>
      <c r="P21" s="33"/>
      <c r="Q21" s="34"/>
    </row>
    <row r="22" spans="1:17" x14ac:dyDescent="0.3">
      <c r="A22" s="83">
        <f t="shared" si="1"/>
        <v>9.5</v>
      </c>
      <c r="B22" s="107"/>
      <c r="C22" s="62"/>
      <c r="D22" s="62"/>
      <c r="E22" s="62"/>
      <c r="F22" s="62"/>
      <c r="G22" s="62"/>
      <c r="H22" s="62"/>
      <c r="I22" s="62"/>
      <c r="J22" s="62"/>
      <c r="K22" s="62">
        <v>13.58</v>
      </c>
      <c r="L22" s="62"/>
      <c r="M22" s="108"/>
      <c r="N22" s="107">
        <f t="shared" si="2"/>
        <v>13.58</v>
      </c>
      <c r="O22" s="31">
        <f t="shared" si="0"/>
        <v>9.5</v>
      </c>
      <c r="P22" s="33"/>
      <c r="Q22" s="34"/>
    </row>
    <row r="23" spans="1:17" x14ac:dyDescent="0.3">
      <c r="A23" s="83">
        <f t="shared" si="1"/>
        <v>10</v>
      </c>
      <c r="B23" s="107"/>
      <c r="C23" s="62"/>
      <c r="D23" s="62"/>
      <c r="E23" s="62"/>
      <c r="F23" s="62"/>
      <c r="G23" s="62"/>
      <c r="H23" s="62"/>
      <c r="I23" s="62"/>
      <c r="J23" s="62"/>
      <c r="K23" s="62">
        <v>167.62</v>
      </c>
      <c r="L23" s="62"/>
      <c r="M23" s="108"/>
      <c r="N23" s="107">
        <f t="shared" si="2"/>
        <v>167.62</v>
      </c>
      <c r="O23" s="31">
        <f t="shared" si="0"/>
        <v>10</v>
      </c>
      <c r="P23" s="33"/>
      <c r="Q23" s="34"/>
    </row>
    <row r="24" spans="1:17" x14ac:dyDescent="0.3">
      <c r="A24" s="83">
        <f t="shared" si="1"/>
        <v>10.5</v>
      </c>
      <c r="B24" s="107"/>
      <c r="C24" s="62"/>
      <c r="D24" s="62"/>
      <c r="E24" s="62"/>
      <c r="F24" s="62"/>
      <c r="G24" s="62"/>
      <c r="H24" s="62"/>
      <c r="I24" s="62"/>
      <c r="J24" s="62"/>
      <c r="K24" s="62">
        <v>410.93</v>
      </c>
      <c r="L24" s="62">
        <v>27.54</v>
      </c>
      <c r="M24" s="108"/>
      <c r="N24" s="107">
        <f t="shared" si="2"/>
        <v>438.47</v>
      </c>
      <c r="O24" s="31">
        <f t="shared" si="0"/>
        <v>10.5</v>
      </c>
      <c r="P24" s="33"/>
      <c r="Q24" s="34"/>
    </row>
    <row r="25" spans="1:17" x14ac:dyDescent="0.3">
      <c r="A25" s="83">
        <f t="shared" si="1"/>
        <v>11</v>
      </c>
      <c r="B25" s="107"/>
      <c r="C25" s="62"/>
      <c r="D25" s="62"/>
      <c r="E25" s="62"/>
      <c r="F25" s="62"/>
      <c r="G25" s="62"/>
      <c r="H25" s="62"/>
      <c r="I25" s="62"/>
      <c r="J25" s="62"/>
      <c r="K25" s="62">
        <v>806.95</v>
      </c>
      <c r="L25" s="62">
        <v>234.48</v>
      </c>
      <c r="M25" s="108"/>
      <c r="N25" s="107">
        <f t="shared" si="2"/>
        <v>1041.43</v>
      </c>
      <c r="O25" s="31">
        <f t="shared" si="0"/>
        <v>11</v>
      </c>
      <c r="P25" s="33"/>
      <c r="Q25" s="34"/>
    </row>
    <row r="26" spans="1:17" x14ac:dyDescent="0.3">
      <c r="A26" s="84">
        <f t="shared" si="1"/>
        <v>11.5</v>
      </c>
      <c r="B26" s="109"/>
      <c r="C26" s="35"/>
      <c r="D26" s="35"/>
      <c r="E26" s="35"/>
      <c r="F26" s="35"/>
      <c r="G26" s="35"/>
      <c r="H26" s="35"/>
      <c r="I26" s="35"/>
      <c r="J26" s="35"/>
      <c r="K26" s="35">
        <v>707.86</v>
      </c>
      <c r="L26" s="35">
        <v>373.98</v>
      </c>
      <c r="M26" s="110"/>
      <c r="N26" s="109">
        <f t="shared" si="2"/>
        <v>1081.8400000000001</v>
      </c>
      <c r="O26" s="31">
        <f t="shared" si="0"/>
        <v>11.5</v>
      </c>
      <c r="P26" s="33"/>
      <c r="Q26" s="34"/>
    </row>
    <row r="27" spans="1:17" x14ac:dyDescent="0.3">
      <c r="A27" s="83">
        <f t="shared" si="1"/>
        <v>12</v>
      </c>
      <c r="B27" s="107"/>
      <c r="C27" s="62"/>
      <c r="D27" s="62"/>
      <c r="E27" s="62"/>
      <c r="F27" s="62"/>
      <c r="G27" s="62"/>
      <c r="H27" s="62"/>
      <c r="I27" s="62"/>
      <c r="J27" s="62"/>
      <c r="K27" s="62">
        <v>456.39</v>
      </c>
      <c r="L27" s="62">
        <v>653.05999999999995</v>
      </c>
      <c r="M27" s="108"/>
      <c r="N27" s="107">
        <f t="shared" si="2"/>
        <v>1109.4499999999998</v>
      </c>
      <c r="O27" s="31">
        <f t="shared" si="0"/>
        <v>12</v>
      </c>
      <c r="P27" s="33"/>
      <c r="Q27" s="34"/>
    </row>
    <row r="28" spans="1:17" x14ac:dyDescent="0.3">
      <c r="A28" s="83">
        <f t="shared" si="1"/>
        <v>12.5</v>
      </c>
      <c r="B28" s="107"/>
      <c r="C28" s="62"/>
      <c r="D28" s="62"/>
      <c r="E28" s="62"/>
      <c r="F28" s="62"/>
      <c r="G28" s="62"/>
      <c r="H28" s="62"/>
      <c r="I28" s="62"/>
      <c r="J28" s="62"/>
      <c r="K28" s="62">
        <v>363.93</v>
      </c>
      <c r="L28" s="62">
        <v>1157.78</v>
      </c>
      <c r="M28" s="108"/>
      <c r="N28" s="107">
        <f t="shared" si="2"/>
        <v>1521.71</v>
      </c>
      <c r="O28" s="31">
        <f t="shared" si="0"/>
        <v>12.5</v>
      </c>
      <c r="P28" s="33"/>
      <c r="Q28" s="34"/>
    </row>
    <row r="29" spans="1:17" x14ac:dyDescent="0.3">
      <c r="A29" s="83">
        <f t="shared" si="1"/>
        <v>13</v>
      </c>
      <c r="B29" s="107"/>
      <c r="C29" s="62"/>
      <c r="D29" s="62"/>
      <c r="E29" s="62"/>
      <c r="F29" s="62"/>
      <c r="G29" s="62"/>
      <c r="H29" s="62"/>
      <c r="I29" s="62"/>
      <c r="J29" s="62"/>
      <c r="K29" s="62">
        <v>758.92</v>
      </c>
      <c r="L29" s="62">
        <v>1384.01</v>
      </c>
      <c r="M29" s="108"/>
      <c r="N29" s="107">
        <f t="shared" si="2"/>
        <v>2142.9299999999998</v>
      </c>
      <c r="O29" s="31">
        <f t="shared" si="0"/>
        <v>13</v>
      </c>
      <c r="P29" s="33"/>
      <c r="Q29" s="34"/>
    </row>
    <row r="30" spans="1:17" x14ac:dyDescent="0.3">
      <c r="A30" s="83">
        <f t="shared" si="1"/>
        <v>13.5</v>
      </c>
      <c r="B30" s="107"/>
      <c r="C30" s="62"/>
      <c r="D30" s="62"/>
      <c r="E30" s="62"/>
      <c r="F30" s="62"/>
      <c r="G30" s="62"/>
      <c r="H30" s="62"/>
      <c r="I30" s="62"/>
      <c r="J30" s="62"/>
      <c r="K30" s="62">
        <v>706.91</v>
      </c>
      <c r="L30" s="62">
        <v>962.86</v>
      </c>
      <c r="M30" s="108"/>
      <c r="N30" s="107">
        <f t="shared" si="2"/>
        <v>1669.77</v>
      </c>
      <c r="O30" s="31">
        <f t="shared" si="0"/>
        <v>13.5</v>
      </c>
      <c r="P30" s="33"/>
      <c r="Q30" s="34"/>
    </row>
    <row r="31" spans="1:17" x14ac:dyDescent="0.3">
      <c r="A31" s="83">
        <f t="shared" si="1"/>
        <v>14</v>
      </c>
      <c r="B31" s="107"/>
      <c r="C31" s="62"/>
      <c r="D31" s="62"/>
      <c r="E31" s="62"/>
      <c r="F31" s="62"/>
      <c r="G31" s="62"/>
      <c r="H31" s="62"/>
      <c r="I31" s="62"/>
      <c r="J31" s="62"/>
      <c r="K31" s="62">
        <v>752.4</v>
      </c>
      <c r="L31" s="62">
        <v>347.14</v>
      </c>
      <c r="M31" s="108"/>
      <c r="N31" s="107">
        <f t="shared" si="2"/>
        <v>1099.54</v>
      </c>
      <c r="O31" s="31">
        <f t="shared" si="0"/>
        <v>14</v>
      </c>
      <c r="P31" s="33"/>
      <c r="Q31" s="34"/>
    </row>
    <row r="32" spans="1:17" x14ac:dyDescent="0.3">
      <c r="A32" s="83">
        <f t="shared" si="1"/>
        <v>14.5</v>
      </c>
      <c r="B32" s="107"/>
      <c r="C32" s="62"/>
      <c r="D32" s="62"/>
      <c r="E32" s="62"/>
      <c r="F32" s="62"/>
      <c r="G32" s="62"/>
      <c r="H32" s="62"/>
      <c r="I32" s="62"/>
      <c r="J32" s="62"/>
      <c r="K32" s="62">
        <v>473.47</v>
      </c>
      <c r="L32" s="62">
        <v>228.58</v>
      </c>
      <c r="M32" s="108"/>
      <c r="N32" s="107">
        <f t="shared" si="2"/>
        <v>702.05000000000007</v>
      </c>
      <c r="O32" s="31">
        <f t="shared" si="0"/>
        <v>14.5</v>
      </c>
      <c r="P32" s="33"/>
      <c r="Q32" s="34"/>
    </row>
    <row r="33" spans="1:17" x14ac:dyDescent="0.3">
      <c r="A33" s="83">
        <f t="shared" si="1"/>
        <v>15</v>
      </c>
      <c r="B33" s="107"/>
      <c r="C33" s="62"/>
      <c r="D33" s="62"/>
      <c r="E33" s="62"/>
      <c r="F33" s="62"/>
      <c r="G33" s="62"/>
      <c r="H33" s="62"/>
      <c r="I33" s="62"/>
      <c r="J33" s="62"/>
      <c r="K33" s="62">
        <v>619.85</v>
      </c>
      <c r="L33" s="62">
        <v>145.94</v>
      </c>
      <c r="M33" s="108"/>
      <c r="N33" s="107">
        <f t="shared" si="2"/>
        <v>765.79</v>
      </c>
      <c r="O33" s="31">
        <f t="shared" si="0"/>
        <v>15</v>
      </c>
      <c r="P33" s="33"/>
      <c r="Q33" s="34"/>
    </row>
    <row r="34" spans="1:17" x14ac:dyDescent="0.3">
      <c r="A34" s="83">
        <f t="shared" si="1"/>
        <v>15.5</v>
      </c>
      <c r="B34" s="107"/>
      <c r="C34" s="62"/>
      <c r="D34" s="62"/>
      <c r="E34" s="62"/>
      <c r="F34" s="62"/>
      <c r="G34" s="62"/>
      <c r="H34" s="62"/>
      <c r="I34" s="62"/>
      <c r="J34" s="62"/>
      <c r="K34" s="62">
        <v>489.65</v>
      </c>
      <c r="L34" s="62">
        <v>127.83</v>
      </c>
      <c r="M34" s="108"/>
      <c r="N34" s="107">
        <f t="shared" si="2"/>
        <v>617.48</v>
      </c>
      <c r="O34" s="31">
        <f t="shared" si="0"/>
        <v>15.5</v>
      </c>
      <c r="P34" s="33"/>
      <c r="Q34" s="34"/>
    </row>
    <row r="35" spans="1:17" x14ac:dyDescent="0.3">
      <c r="A35" s="83">
        <f t="shared" si="1"/>
        <v>16</v>
      </c>
      <c r="B35" s="107"/>
      <c r="C35" s="62"/>
      <c r="D35" s="62"/>
      <c r="E35" s="62"/>
      <c r="F35" s="62"/>
      <c r="G35" s="62"/>
      <c r="H35" s="62"/>
      <c r="I35" s="62"/>
      <c r="J35" s="62"/>
      <c r="K35" s="62">
        <v>180.06</v>
      </c>
      <c r="L35" s="62">
        <v>220.97</v>
      </c>
      <c r="M35" s="108"/>
      <c r="N35" s="107">
        <f t="shared" si="2"/>
        <v>401.03</v>
      </c>
      <c r="O35" s="31">
        <f t="shared" si="0"/>
        <v>16</v>
      </c>
      <c r="P35" s="33"/>
      <c r="Q35" s="34"/>
    </row>
    <row r="36" spans="1:17" x14ac:dyDescent="0.3">
      <c r="A36" s="83">
        <f t="shared" si="1"/>
        <v>16.5</v>
      </c>
      <c r="B36" s="107"/>
      <c r="C36" s="62"/>
      <c r="D36" s="62"/>
      <c r="E36" s="62"/>
      <c r="F36" s="62"/>
      <c r="G36" s="62"/>
      <c r="H36" s="62"/>
      <c r="I36" s="62"/>
      <c r="J36" s="62"/>
      <c r="K36" s="62">
        <v>237.55</v>
      </c>
      <c r="L36" s="62">
        <v>173.91</v>
      </c>
      <c r="M36" s="108"/>
      <c r="N36" s="107">
        <f t="shared" si="2"/>
        <v>411.46000000000004</v>
      </c>
      <c r="O36" s="31">
        <f t="shared" si="0"/>
        <v>16.5</v>
      </c>
      <c r="P36" s="33"/>
      <c r="Q36" s="34"/>
    </row>
    <row r="37" spans="1:17" x14ac:dyDescent="0.3">
      <c r="A37" s="83">
        <f t="shared" si="1"/>
        <v>17</v>
      </c>
      <c r="B37" s="107"/>
      <c r="C37" s="62"/>
      <c r="D37" s="62"/>
      <c r="E37" s="62"/>
      <c r="F37" s="62"/>
      <c r="G37" s="62"/>
      <c r="H37" s="62"/>
      <c r="I37" s="62"/>
      <c r="J37" s="62"/>
      <c r="K37" s="62">
        <v>503.09</v>
      </c>
      <c r="L37" s="62">
        <v>391.62</v>
      </c>
      <c r="M37" s="108"/>
      <c r="N37" s="107">
        <f t="shared" si="2"/>
        <v>894.71</v>
      </c>
      <c r="O37" s="31">
        <f t="shared" si="0"/>
        <v>17</v>
      </c>
      <c r="P37" s="33"/>
      <c r="Q37" s="34"/>
    </row>
    <row r="38" spans="1:17" x14ac:dyDescent="0.3">
      <c r="A38" s="83">
        <f t="shared" si="1"/>
        <v>17.5</v>
      </c>
      <c r="B38" s="107"/>
      <c r="C38" s="62"/>
      <c r="D38" s="62"/>
      <c r="E38" s="62"/>
      <c r="F38" s="62"/>
      <c r="G38" s="62"/>
      <c r="H38" s="62"/>
      <c r="I38" s="62"/>
      <c r="J38" s="62"/>
      <c r="K38" s="62">
        <v>514.76</v>
      </c>
      <c r="L38" s="62">
        <v>277.49</v>
      </c>
      <c r="M38" s="108"/>
      <c r="N38" s="107">
        <f t="shared" si="2"/>
        <v>792.25</v>
      </c>
      <c r="O38" s="31">
        <f t="shared" si="0"/>
        <v>17.5</v>
      </c>
      <c r="P38" s="33"/>
      <c r="Q38" s="34"/>
    </row>
    <row r="39" spans="1:17" x14ac:dyDescent="0.3">
      <c r="A39" s="83">
        <f t="shared" si="1"/>
        <v>18</v>
      </c>
      <c r="B39" s="107"/>
      <c r="C39" s="62"/>
      <c r="D39" s="62"/>
      <c r="E39" s="62"/>
      <c r="F39" s="62"/>
      <c r="G39" s="62"/>
      <c r="H39" s="62"/>
      <c r="I39" s="62"/>
      <c r="J39" s="62"/>
      <c r="K39" s="62">
        <v>395.33</v>
      </c>
      <c r="L39" s="62">
        <v>175.91</v>
      </c>
      <c r="M39" s="108"/>
      <c r="N39" s="107">
        <f t="shared" si="2"/>
        <v>571.24</v>
      </c>
      <c r="O39" s="31">
        <f t="shared" si="0"/>
        <v>18</v>
      </c>
    </row>
    <row r="40" spans="1:17" x14ac:dyDescent="0.3">
      <c r="A40" s="83">
        <f t="shared" si="1"/>
        <v>18.5</v>
      </c>
      <c r="B40" s="107"/>
      <c r="C40" s="62"/>
      <c r="D40" s="62"/>
      <c r="E40" s="62"/>
      <c r="F40" s="62"/>
      <c r="G40" s="62"/>
      <c r="H40" s="62"/>
      <c r="I40" s="62"/>
      <c r="J40" s="62"/>
      <c r="K40" s="62">
        <v>26.28</v>
      </c>
      <c r="L40" s="62">
        <v>50.26</v>
      </c>
      <c r="M40" s="108"/>
      <c r="N40" s="107">
        <f t="shared" si="2"/>
        <v>76.539999999999992</v>
      </c>
      <c r="O40" s="31">
        <f t="shared" si="0"/>
        <v>18.5</v>
      </c>
    </row>
    <row r="41" spans="1:17" x14ac:dyDescent="0.3">
      <c r="A41" s="83">
        <f t="shared" si="1"/>
        <v>19</v>
      </c>
      <c r="B41" s="107"/>
      <c r="C41" s="62"/>
      <c r="D41" s="62"/>
      <c r="E41" s="62"/>
      <c r="F41" s="62"/>
      <c r="G41" s="62"/>
      <c r="H41" s="62"/>
      <c r="I41" s="62"/>
      <c r="J41" s="62"/>
      <c r="K41" s="62">
        <v>26.28</v>
      </c>
      <c r="L41" s="62"/>
      <c r="M41" s="108"/>
      <c r="N41" s="107">
        <f t="shared" si="2"/>
        <v>26.28</v>
      </c>
      <c r="O41" s="31">
        <f t="shared" si="0"/>
        <v>19</v>
      </c>
    </row>
    <row r="42" spans="1:17" x14ac:dyDescent="0.3">
      <c r="A42" s="83">
        <f t="shared" si="1"/>
        <v>19.5</v>
      </c>
      <c r="B42" s="107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08"/>
      <c r="N42" s="107" t="str">
        <f t="shared" si="2"/>
        <v xml:space="preserve"> </v>
      </c>
      <c r="O42" s="31">
        <f t="shared" si="0"/>
        <v>19.5</v>
      </c>
    </row>
    <row r="43" spans="1:17" x14ac:dyDescent="0.3">
      <c r="A43" s="83">
        <f t="shared" si="1"/>
        <v>20</v>
      </c>
      <c r="B43" s="107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108"/>
      <c r="N43" s="107" t="str">
        <f t="shared" si="2"/>
        <v xml:space="preserve"> </v>
      </c>
      <c r="O43" s="31">
        <f t="shared" si="0"/>
        <v>20</v>
      </c>
    </row>
    <row r="44" spans="1:17" x14ac:dyDescent="0.3">
      <c r="A44" s="83">
        <f t="shared" si="1"/>
        <v>20.5</v>
      </c>
      <c r="B44" s="107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108"/>
      <c r="N44" s="107"/>
      <c r="O44" s="31">
        <f t="shared" si="0"/>
        <v>20.5</v>
      </c>
    </row>
    <row r="45" spans="1:17" x14ac:dyDescent="0.3">
      <c r="A45" s="85" t="s">
        <v>13</v>
      </c>
      <c r="B45" s="111" t="str">
        <f>IF(SUM(B11:B44)&gt;0,SUM(B11:B44)," ")</f>
        <v xml:space="preserve"> </v>
      </c>
      <c r="C45" s="66" t="str">
        <f t="shared" ref="C45" si="3">IF(SUM(C11:C44)&gt;0,SUM(C11:C44)," ")</f>
        <v xml:space="preserve"> </v>
      </c>
      <c r="D45" s="66"/>
      <c r="E45" s="66"/>
      <c r="F45" s="66"/>
      <c r="G45" s="66"/>
      <c r="H45" s="66"/>
      <c r="I45" s="66"/>
      <c r="J45" s="66"/>
      <c r="K45" s="66">
        <f t="shared" ref="K45:L45" si="4">IF(SUM(K11:K44)&gt;0,SUM(K11:K44)," ")</f>
        <v>8611.8100000000031</v>
      </c>
      <c r="L45" s="66">
        <f t="shared" si="4"/>
        <v>6933.36</v>
      </c>
      <c r="M45" s="112"/>
      <c r="N45" s="66">
        <f t="shared" ref="N45" si="5">IF(SUM(N11:N44)&gt;0,SUM(N11:N44)," ")</f>
        <v>15545.170000000002</v>
      </c>
    </row>
    <row r="46" spans="1:17" x14ac:dyDescent="0.3">
      <c r="A46" s="86" t="s">
        <v>24</v>
      </c>
      <c r="B46" s="107"/>
      <c r="C46" s="62"/>
      <c r="D46" s="73"/>
      <c r="E46" s="73"/>
      <c r="F46" s="73"/>
      <c r="G46" s="73"/>
      <c r="H46" s="73"/>
      <c r="I46" s="73"/>
      <c r="J46" s="73"/>
      <c r="K46" s="73">
        <v>0.17369999999999999</v>
      </c>
      <c r="L46" s="73">
        <v>0.12969999999999998</v>
      </c>
      <c r="M46" s="113"/>
      <c r="N46" s="73">
        <f>SUM(B46:M46)</f>
        <v>0.3034</v>
      </c>
    </row>
    <row r="47" spans="1:17" x14ac:dyDescent="0.3">
      <c r="A47" s="86" t="s">
        <v>17</v>
      </c>
      <c r="B47" s="107"/>
      <c r="C47" s="62"/>
      <c r="D47" s="73"/>
      <c r="E47" s="73"/>
      <c r="F47" s="73"/>
      <c r="G47" s="73"/>
      <c r="H47" s="73"/>
      <c r="I47" s="73"/>
      <c r="J47" s="73"/>
      <c r="K47" s="73">
        <v>0.17369999999999999</v>
      </c>
      <c r="L47" s="73">
        <v>0.12969999999999998</v>
      </c>
      <c r="M47" s="113"/>
      <c r="N47" s="73">
        <f>SUM(B47:M47)</f>
        <v>0.3034</v>
      </c>
      <c r="O47" s="36"/>
    </row>
    <row r="48" spans="1:17" ht="14" x14ac:dyDescent="0.3">
      <c r="A48" s="87" t="s">
        <v>21</v>
      </c>
      <c r="B48" s="114"/>
      <c r="C48" s="67"/>
      <c r="D48" s="67"/>
      <c r="E48" s="67"/>
      <c r="F48" s="67"/>
      <c r="G48" s="67"/>
      <c r="H48" s="67"/>
      <c r="I48" s="67"/>
      <c r="J48" s="67"/>
      <c r="K48" s="67">
        <f>SUM(K9:K26)*100/K45</f>
        <v>24.465704654422233</v>
      </c>
      <c r="L48" s="67">
        <f>SUM(L9:L26)*100/L45</f>
        <v>9.1730416421475311</v>
      </c>
      <c r="M48" s="115"/>
      <c r="N48" s="67">
        <f>SUM(N9:N26)*100/N45</f>
        <v>17.644966249967034</v>
      </c>
    </row>
    <row r="49" spans="1:15" x14ac:dyDescent="0.3">
      <c r="A49" s="88" t="s">
        <v>19</v>
      </c>
      <c r="B49" s="116"/>
      <c r="C49" s="69"/>
      <c r="D49" s="69"/>
      <c r="E49" s="74"/>
      <c r="F49" s="69"/>
      <c r="G49" s="69"/>
      <c r="H49" s="59"/>
      <c r="I49" s="69"/>
      <c r="J49" s="59"/>
      <c r="K49" s="69">
        <v>11</v>
      </c>
      <c r="L49" s="69">
        <v>13</v>
      </c>
      <c r="M49" s="117"/>
      <c r="N49" s="69">
        <v>13</v>
      </c>
    </row>
    <row r="50" spans="1:15" x14ac:dyDescent="0.3">
      <c r="A50" s="37" t="s">
        <v>14</v>
      </c>
      <c r="J50" s="38"/>
    </row>
    <row r="51" spans="1:15" s="39" customFormat="1" ht="14" x14ac:dyDescent="0.3">
      <c r="A51" s="39" t="s">
        <v>30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1:15" s="39" customFormat="1" ht="14" x14ac:dyDescent="0.3">
      <c r="A52" s="41" t="s">
        <v>31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</row>
    <row r="53" spans="1:15" x14ac:dyDescent="0.3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</row>
    <row r="55" spans="1:15" x14ac:dyDescent="0.3">
      <c r="A55" s="44"/>
      <c r="B55" s="27">
        <v>0</v>
      </c>
      <c r="C55" s="27">
        <v>1</v>
      </c>
      <c r="D55" s="27">
        <v>2</v>
      </c>
      <c r="E55" s="27">
        <v>3</v>
      </c>
      <c r="F55" s="27">
        <v>4</v>
      </c>
      <c r="G55" s="27">
        <v>5</v>
      </c>
      <c r="H55" s="27">
        <v>6</v>
      </c>
      <c r="I55" s="27">
        <v>7</v>
      </c>
      <c r="J55" s="27">
        <v>8</v>
      </c>
      <c r="K55" s="27">
        <v>9</v>
      </c>
      <c r="L55" s="27">
        <v>10</v>
      </c>
      <c r="M55" s="27">
        <v>11</v>
      </c>
      <c r="N55" s="27">
        <v>12</v>
      </c>
      <c r="O55" s="45" t="e">
        <f>+N55*100/#REF!</f>
        <v>#REF!</v>
      </c>
    </row>
    <row r="56" spans="1:15" x14ac:dyDescent="0.3">
      <c r="A56" s="46">
        <v>14</v>
      </c>
      <c r="B56" s="47" t="e">
        <f>+VLOOKUP(MAX(B9:B44),B9:$O$44,14,0)</f>
        <v>#N/A</v>
      </c>
      <c r="C56" s="48" t="e">
        <f>+VLOOKUP(MAX(C9:C44),C9:$O$44,+$A$56-C55,0)</f>
        <v>#N/A</v>
      </c>
      <c r="D56" s="48" t="e">
        <f>+VLOOKUP(MAX(D9:D44),D9:$O$44,+$A$56-D55,0)</f>
        <v>#N/A</v>
      </c>
      <c r="E56" s="48" t="e">
        <f>+VLOOKUP(MAX(E9:E44),E9:$O$44,+$A$56-E55,0)</f>
        <v>#N/A</v>
      </c>
      <c r="F56" s="48" t="e">
        <f>+VLOOKUP(MAX(F9:F44),F9:$O$44,+$A$56-F55,0)</f>
        <v>#N/A</v>
      </c>
      <c r="G56" s="48" t="e">
        <f>+VLOOKUP(MAX(G9:M44),G9:$O$44,+$A$56-G55,0)</f>
        <v>#N/A</v>
      </c>
      <c r="H56" s="48" t="e">
        <f>+VLOOKUP(MAX(H9:H42),H9:$O$42,+$A$56-H55,0)</f>
        <v>#N/A</v>
      </c>
      <c r="I56" s="48" t="e">
        <f>+VLOOKUP(MAX(I9:I42),I9:$O$42,+$A$56-I55,0)</f>
        <v>#N/A</v>
      </c>
      <c r="J56" s="48" t="e">
        <f>+VLOOKUP(MAX(J9:J42),J9:$O$42,+$A$56-J55,0)</f>
        <v>#N/A</v>
      </c>
      <c r="K56" s="48">
        <f>+VLOOKUP(MAX(K9:K42),K9:$O$42,+$A$56-K55,0)</f>
        <v>11</v>
      </c>
      <c r="L56" s="48">
        <f>+VLOOKUP(MAX(L9:L42),L9:$O$42,+$A$56-L55,0)</f>
        <v>13</v>
      </c>
      <c r="M56" s="48" t="e">
        <f>+VLOOKUP(MAX(M9:M42),M9:$O$42,+$A$56-M55,0)</f>
        <v>#N/A</v>
      </c>
      <c r="N56" s="48">
        <f>+VLOOKUP(MAX(N9:N44),N9:$O$44,+$A$56-N55,0)</f>
        <v>13</v>
      </c>
    </row>
    <row r="59" spans="1:15" ht="14" x14ac:dyDescent="0.3">
      <c r="B59" s="49"/>
    </row>
    <row r="60" spans="1:15" x14ac:dyDescent="0.3">
      <c r="A60" s="24" t="s">
        <v>22</v>
      </c>
      <c r="B60" s="32">
        <f>-SUM(B9:B26)</f>
        <v>0</v>
      </c>
      <c r="C60" s="32">
        <f t="shared" ref="C60:N60" si="6">-SUM(C9:C26)</f>
        <v>0</v>
      </c>
      <c r="D60" s="32">
        <f t="shared" si="6"/>
        <v>0</v>
      </c>
      <c r="E60" s="32">
        <f t="shared" si="6"/>
        <v>0</v>
      </c>
      <c r="F60" s="32">
        <f t="shared" si="6"/>
        <v>0</v>
      </c>
      <c r="G60" s="32">
        <f t="shared" si="6"/>
        <v>0</v>
      </c>
      <c r="H60" s="32">
        <f t="shared" si="6"/>
        <v>0</v>
      </c>
      <c r="I60" s="32">
        <f t="shared" si="6"/>
        <v>0</v>
      </c>
      <c r="J60" s="32">
        <f t="shared" si="6"/>
        <v>0</v>
      </c>
      <c r="K60" s="32">
        <f t="shared" si="6"/>
        <v>-2106.94</v>
      </c>
      <c r="L60" s="32">
        <f t="shared" si="6"/>
        <v>-636</v>
      </c>
      <c r="M60" s="32">
        <f t="shared" si="6"/>
        <v>0</v>
      </c>
      <c r="N60" s="32">
        <f t="shared" si="6"/>
        <v>-2742.9400000000005</v>
      </c>
    </row>
    <row r="61" spans="1:15" x14ac:dyDescent="0.3">
      <c r="A61" s="24" t="s">
        <v>23</v>
      </c>
      <c r="B61" s="32">
        <f t="shared" ref="B61:M61" si="7">SUM(B27:B44)</f>
        <v>0</v>
      </c>
      <c r="C61" s="32">
        <f t="shared" si="7"/>
        <v>0</v>
      </c>
      <c r="D61" s="32">
        <f t="shared" si="7"/>
        <v>0</v>
      </c>
      <c r="E61" s="32">
        <f t="shared" si="7"/>
        <v>0</v>
      </c>
      <c r="F61" s="32">
        <f t="shared" si="7"/>
        <v>0</v>
      </c>
      <c r="G61" s="32">
        <f t="shared" si="7"/>
        <v>0</v>
      </c>
      <c r="H61" s="32">
        <f t="shared" si="7"/>
        <v>0</v>
      </c>
      <c r="I61" s="32">
        <f t="shared" si="7"/>
        <v>0</v>
      </c>
      <c r="J61" s="32">
        <f t="shared" si="7"/>
        <v>0</v>
      </c>
      <c r="K61" s="32">
        <f t="shared" si="7"/>
        <v>6504.87</v>
      </c>
      <c r="L61" s="32">
        <f t="shared" si="7"/>
        <v>6297.36</v>
      </c>
      <c r="M61" s="32">
        <f t="shared" si="7"/>
        <v>0</v>
      </c>
      <c r="N61" s="32">
        <f>SUM(N27:N44)</f>
        <v>12802.230000000003</v>
      </c>
    </row>
    <row r="62" spans="1:15" ht="14" x14ac:dyDescent="0.3">
      <c r="B62" s="49"/>
    </row>
    <row r="63" spans="1:15" ht="14" x14ac:dyDescent="0.3">
      <c r="B63" s="49"/>
    </row>
    <row r="64" spans="1:15" ht="15.75" customHeight="1" x14ac:dyDescent="0.3">
      <c r="B64" s="49"/>
    </row>
    <row r="65" spans="2:2" ht="14" x14ac:dyDescent="0.3">
      <c r="B65" s="49"/>
    </row>
    <row r="66" spans="2:2" ht="14" x14ac:dyDescent="0.3">
      <c r="B66" s="49"/>
    </row>
    <row r="67" spans="2:2" ht="14" x14ac:dyDescent="0.3">
      <c r="B67" s="49"/>
    </row>
    <row r="68" spans="2:2" ht="14" x14ac:dyDescent="0.3">
      <c r="B68" s="49"/>
    </row>
    <row r="69" spans="2:2" ht="14" x14ac:dyDescent="0.3">
      <c r="B69" s="49"/>
    </row>
    <row r="70" spans="2:2" ht="14" x14ac:dyDescent="0.3">
      <c r="B70" s="49"/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2020: 
"PROGRAMA DE SEGUIMIENTO DE LAS PRINCIPALES PESQUERÍAS PELÁGICAS, REGIONES DE VALPARAÍSO Y AYSEN DEL GENERAL CARLOS IBAÑEZ DEL CAMPO, AÑO 2020".  ANEXO 3C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V-XIV R ART COMERCIAL</vt:lpstr>
      <vt:lpstr>V-XIV R ART (MONITOREOS)</vt:lpstr>
      <vt:lpstr>X R Art COMERCIAL</vt:lpstr>
      <vt:lpstr>X R Art MONITOREO</vt:lpstr>
      <vt:lpstr>'V-XIV R ART (MONITOREOS)'!Área_de_impresión</vt:lpstr>
      <vt:lpstr>'V-XIV R ART COMERCIAL'!Área_de_impresión</vt:lpstr>
      <vt:lpstr>'X R Art COMERCIAL'!Área_de_impresión</vt:lpstr>
      <vt:lpstr>'X R Art MONITOREO'!Área_de_impresión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Aranis</dc:creator>
  <cp:lastModifiedBy>Alejandra Gomez</cp:lastModifiedBy>
  <cp:lastPrinted>2020-08-24T14:59:30Z</cp:lastPrinted>
  <dcterms:created xsi:type="dcterms:W3CDTF">2004-05-18T15:05:04Z</dcterms:created>
  <dcterms:modified xsi:type="dcterms:W3CDTF">2021-01-29T23:50:05Z</dcterms:modified>
</cp:coreProperties>
</file>