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ALINA POSADA\ANGELOPLIS\"/>
    </mc:Choice>
  </mc:AlternateContent>
  <xr:revisionPtr revIDLastSave="0" documentId="13_ncr:1_{4E4C5F23-7DF0-462A-BEFE-65654FC1533A}" xr6:coauthVersionLast="36" xr6:coauthVersionMax="47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 s="1"/>
  <c r="P15" i="61" a="1"/>
  <c r="P15" i="61" s="1"/>
  <c r="P16" i="61" a="1"/>
  <c r="P16" i="61"/>
  <c r="P17" i="61" a="1"/>
  <c r="P17" i="61"/>
  <c r="P18" i="61" a="1"/>
  <c r="P18" i="61"/>
  <c r="P19" i="61" a="1"/>
  <c r="P19" i="61" s="1"/>
  <c r="P20" i="61" a="1"/>
  <c r="P20" i="61" s="1"/>
  <c r="P21" i="61" a="1"/>
  <c r="P21" i="61" s="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K22" i="61" s="1" a="1"/>
  <c r="K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a="1"/>
  <c r="H26" i="61" s="1"/>
  <c r="K26" i="61" s="1" a="1"/>
  <c r="K26" i="61" s="1"/>
  <c r="S25" i="43"/>
  <c r="H27" i="61" s="1" a="1"/>
  <c r="H27" i="61" s="1"/>
  <c r="S26" i="43"/>
  <c r="H28" i="61" s="1" a="1"/>
  <c r="H28" i="61" s="1"/>
  <c r="S27" i="43"/>
  <c r="H29" i="6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/>
  <c r="O23" i="43"/>
  <c r="G25" i="61" s="1"/>
  <c r="O24" i="43"/>
  <c r="G26" i="61" s="1"/>
  <c r="O25" i="43"/>
  <c r="G27" i="61" s="1"/>
  <c r="O26" i="43"/>
  <c r="G28" i="61"/>
  <c r="O27" i="43"/>
  <c r="G29" i="61" s="1"/>
  <c r="O28" i="43"/>
  <c r="G30" i="61"/>
  <c r="O29" i="43"/>
  <c r="G31" i="61" s="1"/>
  <c r="O30" i="43"/>
  <c r="G32" i="61" s="1"/>
  <c r="O31" i="43"/>
  <c r="B60" i="38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/>
  <c r="J1109" i="38"/>
  <c r="J660" i="38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G12" i="61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1" i="43" l="1"/>
  <c r="W18" i="43"/>
  <c r="W16" i="43"/>
  <c r="K14" i="61" a="1"/>
  <c r="K14" i="61" s="1"/>
  <c r="B14" i="61"/>
  <c r="O14" i="61"/>
  <c r="K18" i="61" a="1"/>
  <c r="K18" i="61" s="1"/>
  <c r="O18" i="61"/>
  <c r="K30" i="61" a="1"/>
  <c r="K30" i="61" s="1"/>
  <c r="B30" i="61"/>
  <c r="O26" i="61"/>
  <c r="O22" i="61"/>
  <c r="O27" i="61"/>
  <c r="K27" i="61" a="1"/>
  <c r="K27" i="61" s="1"/>
  <c r="B27" i="61"/>
  <c r="B25" i="61"/>
  <c r="K25" i="61" a="1"/>
  <c r="K25" i="61" s="1"/>
  <c r="O25" i="61"/>
  <c r="K31" i="61" a="1"/>
  <c r="K31" i="61" s="1"/>
  <c r="B31" i="61"/>
  <c r="O31" i="61"/>
  <c r="K29" i="61" a="1"/>
  <c r="K29" i="61" s="1"/>
  <c r="O29" i="61"/>
  <c r="B29" i="61"/>
  <c r="K20" i="61" a="1"/>
  <c r="K20" i="61" s="1"/>
  <c r="B20" i="61"/>
  <c r="O20" i="61"/>
  <c r="O15" i="61"/>
  <c r="K15" i="61" a="1"/>
  <c r="K15" i="61" s="1"/>
  <c r="B15" i="61"/>
  <c r="K13" i="61" a="1"/>
  <c r="K13" i="61" s="1"/>
  <c r="O13" i="61"/>
  <c r="B13" i="61"/>
  <c r="O24" i="61"/>
  <c r="K24" i="61" a="1"/>
  <c r="K24" i="61" s="1"/>
  <c r="B24" i="61"/>
  <c r="B19" i="61"/>
  <c r="O19" i="61"/>
  <c r="K19" i="61" a="1"/>
  <c r="K19" i="61" s="1"/>
  <c r="B17" i="61"/>
  <c r="K17" i="61" a="1"/>
  <c r="K17" i="61" s="1"/>
  <c r="O17" i="61"/>
  <c r="K32" i="61" a="1"/>
  <c r="K32" i="61" s="1"/>
  <c r="O32" i="61"/>
  <c r="B32" i="61"/>
  <c r="O16" i="61"/>
  <c r="K16" i="61" a="1"/>
  <c r="K16" i="61" s="1"/>
  <c r="B16" i="61"/>
  <c r="K28" i="61" a="1"/>
  <c r="K28" i="61" s="1"/>
  <c r="B28" i="61"/>
  <c r="O28" i="61"/>
  <c r="O23" i="61"/>
  <c r="K23" i="61" a="1"/>
  <c r="K23" i="61" s="1"/>
  <c r="B23" i="61"/>
  <c r="K21" i="61" a="1"/>
  <c r="K21" i="61" s="1"/>
  <c r="B21" i="61"/>
  <c r="O21" i="61"/>
  <c r="K12" i="61" a="1"/>
  <c r="K12" i="61" s="1"/>
  <c r="B12" i="61"/>
  <c r="O12" i="61"/>
  <c r="B22" i="61"/>
  <c r="B26" i="61"/>
  <c r="O30" i="61"/>
  <c r="B18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<sst xmlns="http://schemas.openxmlformats.org/spreadsheetml/2006/main" count="5026" uniqueCount="1394">
  <si>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</si>
  <si>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</si>
  <si>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</si>
  <si>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</si>
  <si>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</si>
  <si>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</si>
  <si>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</si>
  <si>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</si>
  <si>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</si>
  <si>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</si>
  <si>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</si>
  <si>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</si>
  <si>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</si>
  <si>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</si>
  <si>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</si>
  <si>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</si>
  <si>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</si>
  <si>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</si>
  <si>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</si>
  <si>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</si>
  <si>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</si>
  <si>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</si>
  <si>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</si>
  <si>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</si>
  <si>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</si>
  <si>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</si>
  <si>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</si>
  <si>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</si>
  <si>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</si>
  <si>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</si>
  <si>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</si>
  <si>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</si>
  <si>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</si>
  <si>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</si>
  <si>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</si>
  <si>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</si>
  <si>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</si>
  <si>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</si>
  <si>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</si>
  <si>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</si>
  <si>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</si>
  <si>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</si>
  <si>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</si>
  <si>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</si>
  <si>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</si>
  <si>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</si>
  <si>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</si>
  <si>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</si>
  <si>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</si>
  <si>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</si>
  <si>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</si>
  <si>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</si>
  <si>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</si>
  <si>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</si>
  <si>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</si>
  <si>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</si>
  <si>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</si>
  <si>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</si>
  <si>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</si>
  <si>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</si>
  <si>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</si>
  <si>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</si>
  <si>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</si>
  <si>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</si>
  <si>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</si>
  <si>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</si>
  <si>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</si>
  <si>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</si>
  <si>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</si>
  <si>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</si>
  <si>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</si>
  <si>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</si>
  <si>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</si>
  <si>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</si>
  <si>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</si>
  <si>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</si>
  <si>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</si>
  <si>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</si>
  <si>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</si>
  <si>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</si>
  <si>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</si>
  <si>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</si>
  <si>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</si>
  <si>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</si>
  <si>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</si>
  <si>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</si>
  <si>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</si>
  <si>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</si>
  <si>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</si>
  <si>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</si>
  <si>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</si>
  <si>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</si>
  <si>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</si>
  <si>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</si>
  <si>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</si>
  <si>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</si>
  <si>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</si>
  <si>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</si>
  <si>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</si>
  <si>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</si>
  <si>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</si>
  <si>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</si>
  <si>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</si>
  <si>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</si>
  <si>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</si>
  <si>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</si>
  <si>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</si>
  <si>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</si>
  <si>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</si>
  <si>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</si>
  <si>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</si>
  <si>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</si>
  <si>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</si>
  <si>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</si>
  <si>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</si>
  <si>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</si>
  <si>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</si>
  <si>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</si>
  <si>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</si>
  <si>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</si>
  <si>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</si>
  <si>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</si>
  <si>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</si>
  <si>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</si>
  <si>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</si>
  <si>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</si>
  <si>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</si>
  <si>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</si>
  <si>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</si>
  <si>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</si>
  <si>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</si>
  <si>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</si>
  <si>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</si>
  <si>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</si>
  <si>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</si>
  <si>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</si>
  <si>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</si>
  <si>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</si>
  <si>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</si>
  <si>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</si>
  <si>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</si>
  <si>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</si>
  <si>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</si>
  <si>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</si>
  <si>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</si>
  <si>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</si>
  <si>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</si>
  <si>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</si>
  <si>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</si>
  <si>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</si>
  <si>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</si>
  <si>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</si>
  <si>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</si>
  <si>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</si>
  <si>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</si>
  <si>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</si>
  <si>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</si>
  <si>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</si>
  <si>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</si>
  <si>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</si>
  <si>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</si>
  <si>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</si>
  <si>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</si>
  <si>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</si>
  <si>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</si>
  <si>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</si>
  <si>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</si>
  <si>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</si>
  <si>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</si>
  <si>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</si>
  <si>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</si>
  <si>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</si>
  <si>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</si>
  <si>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</si>
  <si>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</si>
  <si>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</si>
  <si>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</si>
  <si>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</si>
  <si>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</si>
  <si>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</si>
  <si>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</si>
  <si>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</si>
  <si>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</si>
  <si>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</si>
  <si>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</si>
  <si>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</si>
  <si>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</si>
  <si>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</si>
  <si>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</si>
  <si>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</si>
  <si>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</si>
  <si>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</si>
  <si>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</si>
  <si>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</si>
  <si>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</si>
  <si>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</si>
  <si>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</si>
  <si>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</si>
  <si>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</si>
  <si>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</si>
  <si>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</si>
  <si>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</si>
  <si>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</si>
  <si>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</si>
  <si>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</si>
  <si>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</si>
  <si>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</si>
  <si>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</si>
  <si>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</si>
  <si>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</si>
  <si>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</si>
  <si>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</si>
  <si>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</si>
  <si>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</si>
  <si>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</si>
  <si>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</si>
  <si>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</si>
  <si>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</si>
  <si>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</si>
  <si>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</si>
  <si>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</si>
  <si>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</si>
  <si>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</si>
  <si>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</si>
  <si>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</si>
  <si>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</si>
  <si>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</si>
  <si>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</si>
  <si>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</si>
  <si>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</si>
  <si>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</si>
  <si>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</si>
  <si>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</si>
  <si>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</si>
  <si>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</si>
  <si>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</si>
  <si>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</si>
  <si>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</si>
  <si>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</si>
  <si>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</si>
  <si>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</si>
  <si>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</si>
  <si>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</si>
  <si>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</si>
  <si>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</si>
  <si>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</si>
  <si>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</si>
  <si>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</si>
  <si>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</si>
  <si>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</si>
  <si>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</si>
  <si>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</si>
  <si>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</si>
  <si>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</si>
  <si>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</si>
  <si>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</si>
  <si>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</si>
  <si>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</si>
  <si>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</si>
  <si>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</si>
  <si>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</si>
  <si>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</si>
  <si>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</si>
  <si>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</si>
  <si>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</si>
  <si>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</si>
  <si>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</si>
  <si>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</si>
  <si>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</si>
  <si>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</si>
  <si>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</si>
  <si>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</si>
  <si>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</si>
  <si>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</si>
  <si>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</si>
  <si>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</si>
  <si>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</si>
  <si>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</si>
  <si>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</si>
  <si>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</si>
  <si>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</si>
  <si>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</si>
  <si>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</si>
  <si>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</si>
  <si>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</si>
  <si>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</si>
  <si>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</si>
  <si>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</si>
  <si>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</si>
  <si>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</si>
  <si>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</si>
  <si>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</si>
  <si>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</si>
  <si>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</si>
  <si>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</si>
  <si>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</si>
  <si>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</si>
  <si>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</si>
  <si>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</si>
  <si>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</si>
  <si>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</si>
  <si>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</si>
  <si>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</si>
  <si>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</si>
  <si>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</si>
  <si>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</si>
  <si>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</si>
  <si>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</si>
  <si>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</si>
  <si>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</si>
  <si>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</si>
  <si>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</si>
  <si>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</si>
  <si>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</si>
  <si>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</si>
  <si>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</si>
  <si>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</si>
  <si>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</si>
  <si>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</si>
  <si>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</si>
  <si>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</si>
  <si>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</si>
  <si>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</si>
  <si>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</si>
  <si>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</si>
  <si>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</si>
  <si>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</si>
  <si>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</si>
  <si>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</si>
  <si>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</si>
  <si>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</si>
  <si>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</si>
  <si>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</si>
  <si>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</si>
  <si>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</si>
  <si>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</si>
  <si>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</si>
  <si>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</si>
  <si>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</si>
  <si>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</si>
  <si>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</si>
  <si>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</si>
  <si>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</si>
  <si>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</si>
  <si>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</si>
  <si>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</si>
  <si>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</si>
  <si>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</si>
  <si>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</si>
  <si>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</si>
  <si>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</si>
  <si>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</si>
  <si>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</si>
  <si>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</si>
  <si>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</si>
  <si>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</si>
  <si>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</si>
  <si>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</si>
  <si>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</si>
  <si>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</si>
  <si>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</si>
  <si>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</si>
  <si>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</si>
  <si>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</si>
  <si>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</si>
  <si>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</si>
  <si>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</si>
  <si>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</si>
  <si>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</si>
  <si>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</si>
  <si>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</si>
  <si>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</si>
  <si>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</si>
  <si>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</si>
  <si>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</si>
  <si>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</si>
  <si>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</si>
  <si>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</si>
  <si>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</si>
  <si>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</si>
  <si>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</si>
  <si>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</si>
  <si>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</si>
  <si>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</si>
  <si>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</si>
  <si>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</si>
  <si>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</si>
  <si>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</si>
  <si>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</si>
  <si>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</si>
  <si>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</si>
  <si>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</si>
  <si>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</si>
  <si>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</si>
  <si>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</si>
  <si>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</si>
  <si>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</si>
  <si>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</si>
  <si>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</si>
  <si>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</si>
  <si>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</si>
  <si>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</si>
  <si>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</si>
  <si>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</si>
  <si>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</si>
  <si>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</si>
  <si>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</si>
  <si>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</si>
  <si>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</si>
  <si>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</si>
  <si>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</si>
  <si>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</si>
  <si>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</si>
  <si>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</si>
  <si>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</si>
  <si>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</si>
  <si>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</si>
  <si>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</si>
  <si>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</si>
  <si>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</si>
  <si>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</si>
  <si>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</si>
  <si>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</si>
  <si>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</si>
  <si>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</si>
  <si>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</si>
  <si>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</si>
  <si>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</si>
  <si>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</si>
  <si>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</si>
  <si>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</si>
  <si>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</si>
  <si>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</si>
  <si>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</si>
  <si>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</si>
  <si>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</si>
  <si>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</si>
  <si>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</si>
  <si>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</si>
  <si>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</si>
  <si>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</si>
  <si>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</si>
  <si>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</si>
  <si>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</si>
  <si>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</si>
  <si>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</si>
  <si>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</si>
  <si>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</si>
  <si>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</si>
  <si>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</si>
  <si>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</si>
  <si>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</si>
  <si>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</si>
  <si>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</si>
  <si>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</si>
  <si>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</si>
  <si>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</si>
  <si>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</si>
  <si>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</si>
  <si>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</si>
  <si>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</si>
  <si>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</si>
  <si>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</si>
  <si>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</si>
  <si>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</si>
  <si>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</si>
  <si>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</si>
  <si>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</si>
  <si>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</si>
  <si>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</si>
  <si>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</si>
  <si>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</si>
  <si>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</si>
  <si>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</si>
  <si>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</si>
  <si>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</si>
  <si>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</si>
  <si>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</si>
  <si>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</si>
  <si>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</si>
  <si>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</si>
  <si>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</si>
  <si>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</si>
  <si>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</si>
  <si>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</si>
  <si>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</si>
  <si>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</si>
  <si>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</si>
  <si>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</si>
  <si>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</si>
  <si>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</si>
  <si>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</si>
  <si>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</si>
  <si>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</si>
  <si>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</si>
  <si>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</si>
  <si>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</si>
  <si>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</si>
  <si>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</si>
  <si>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</si>
  <si>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</si>
  <si>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</si>
  <si>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</si>
  <si>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</si>
  <si>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</si>
  <si>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</si>
  <si>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</si>
  <si>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</si>
  <si>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</si>
  <si>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</si>
  <si>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</si>
  <si>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</si>
  <si>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</si>
  <si>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</si>
  <si>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</si>
  <si>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</si>
  <si>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</si>
  <si>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</si>
  <si>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</si>
  <si>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</si>
  <si>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</si>
  <si>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</si>
  <si>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</si>
  <si>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</si>
  <si>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</si>
  <si>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</si>
  <si>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</si>
  <si>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</si>
  <si>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</si>
  <si>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</si>
  <si>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</si>
  <si>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</si>
  <si>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</si>
  <si>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</si>
  <si>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</si>
  <si>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</si>
  <si>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</si>
  <si>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</si>
  <si>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</si>
  <si>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</si>
  <si>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</si>
  <si>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</si>
  <si>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</si>
  <si>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</si>
  <si>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</si>
  <si>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</si>
  <si>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</si>
  <si>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</si>
  <si>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</si>
  <si>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</si>
  <si>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</si>
  <si>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</si>
  <si>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</si>
  <si>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</si>
  <si>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</si>
  <si>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</si>
  <si>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</si>
  <si>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</si>
  <si>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</si>
  <si>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</si>
  <si>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</si>
  <si>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</si>
  <si>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</si>
  <si>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</si>
  <si>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</si>
  <si>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</si>
  <si>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</si>
  <si>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</si>
  <si>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</si>
  <si>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</si>
  <si>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</si>
  <si>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</si>
  <si>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</si>
  <si>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</si>
  <si>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</si>
  <si>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</si>
  <si>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</si>
  <si>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</si>
  <si>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</si>
  <si>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</si>
  <si>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</si>
  <si>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</si>
  <si>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</si>
  <si>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</si>
  <si>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</si>
  <si>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</si>
  <si>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</si>
  <si>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</si>
  <si>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</si>
  <si>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</si>
  <si>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</si>
  <si>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</si>
  <si>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</si>
  <si>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</si>
  <si>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</si>
  <si>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</si>
  <si>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</si>
  <si>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</si>
  <si>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</si>
  <si>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</si>
  <si>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</si>
  <si>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</si>
  <si>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</si>
  <si>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</si>
  <si>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</si>
  <si>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</si>
  <si>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</si>
  <si>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</si>
  <si>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</si>
  <si>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</si>
  <si>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</si>
  <si>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</si>
  <si>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</si>
  <si>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</si>
  <si>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</si>
  <si>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</si>
  <si>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</si>
  <si>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</si>
  <si>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</si>
  <si>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</si>
  <si>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</si>
  <si>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</si>
  <si>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</si>
  <si>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</si>
  <si>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</si>
  <si>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</si>
  <si>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</si>
  <si>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</si>
  <si>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</si>
  <si>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</si>
  <si>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</si>
  <si>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</si>
  <si>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</si>
  <si>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</si>
  <si>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</si>
  <si>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</si>
  <si>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</si>
  <si>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</si>
  <si>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</si>
  <si>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</si>
  <si>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</si>
  <si>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</si>
  <si>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</si>
  <si>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</si>
  <si>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</si>
  <si>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</si>
  <si>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</si>
  <si>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</si>
  <si>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</si>
  <si>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</si>
  <si>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</si>
  <si>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</si>
  <si>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</si>
  <si>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</si>
  <si>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</si>
  <si>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</si>
  <si>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</si>
  <si>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</si>
  <si>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</si>
  <si>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</si>
  <si>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</si>
  <si>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</si>
  <si>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</si>
  <si>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</si>
  <si>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</si>
  <si>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</si>
  <si>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</si>
  <si>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</si>
  <si>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</si>
  <si>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</si>
  <si>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</si>
  <si>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</si>
  <si>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</si>
  <si>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</si>
  <si>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</si>
  <si>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</si>
  <si>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</si>
  <si>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</si>
  <si>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</si>
  <si>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</si>
  <si>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</si>
  <si>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</si>
  <si>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</si>
  <si>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</si>
  <si>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</si>
  <si>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</si>
  <si>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</si>
  <si>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</si>
  <si>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</si>
  <si>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</si>
  <si>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</si>
  <si>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</si>
  <si>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</si>
  <si>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</si>
  <si>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</si>
  <si>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</si>
  <si>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</si>
  <si>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</si>
  <si>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</si>
  <si>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</si>
  <si>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</si>
  <si>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</si>
  <si>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</si>
  <si>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</si>
  <si>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</si>
  <si>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</si>
  <si>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</si>
  <si>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</si>
  <si>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</si>
  <si>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</si>
  <si>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</si>
  <si>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</si>
  <si>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</si>
  <si>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</si>
  <si>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</si>
  <si>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</si>
  <si>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</si>
  <si>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</si>
  <si>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</si>
  <si>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</si>
  <si>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</si>
  <si>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</si>
  <si>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</si>
  <si>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</si>
  <si>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</si>
  <si>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</si>
  <si>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</si>
  <si>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</si>
  <si>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</si>
  <si>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</si>
  <si>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</si>
  <si>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</si>
  <si>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</si>
  <si>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</si>
  <si>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</si>
  <si>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</si>
  <si>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</si>
  <si>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</si>
  <si>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</si>
  <si>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</si>
  <si>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</si>
  <si>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</si>
  <si>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</si>
  <si>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</si>
  <si>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</si>
  <si>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</si>
  <si>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</si>
  <si>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</si>
  <si>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</si>
  <si>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</si>
  <si>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</si>
  <si>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</si>
  <si>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</si>
  <si>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</si>
  <si>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</si>
  <si>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</si>
  <si>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</si>
  <si>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</si>
  <si>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</si>
  <si>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</si>
  <si>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</si>
  <si>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</si>
  <si>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</si>
  <si>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</si>
  <si>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</si>
  <si>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</si>
  <si>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</si>
  <si>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</si>
  <si>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</si>
  <si>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</si>
  <si>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</si>
  <si>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</si>
  <si>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</si>
  <si>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</si>
  <si>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</si>
  <si>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</si>
  <si>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</si>
  <si>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</si>
  <si>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</si>
  <si>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</si>
  <si>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</si>
  <si>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</si>
  <si>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</si>
  <si>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</si>
  <si>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</si>
  <si>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</si>
  <si>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</si>
  <si>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</si>
  <si>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</si>
  <si>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</si>
  <si>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</si>
  <si>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</si>
  <si>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</si>
  <si>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</si>
  <si>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</si>
  <si>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</si>
  <si>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</si>
  <si>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</si>
  <si>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</si>
  <si>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</si>
  <si>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</si>
  <si>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</si>
  <si>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</si>
  <si>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</si>
  <si>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</si>
  <si>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</si>
  <si>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</si>
  <si>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</si>
  <si>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</si>
  <si>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</si>
  <si>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</si>
  <si>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</si>
  <si>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</si>
  <si>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</si>
  <si>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</si>
  <si>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</si>
  <si>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</si>
  <si>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</si>
  <si>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</si>
  <si>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</si>
  <si>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</si>
  <si>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</si>
  <si>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</si>
  <si>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</si>
  <si>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</si>
  <si>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</si>
  <si>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</si>
  <si>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</si>
  <si>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</si>
  <si>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</si>
  <si>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</si>
  <si>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</si>
  <si>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</si>
  <si>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</si>
  <si>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</si>
  <si>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</si>
  <si>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</si>
  <si>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</si>
  <si>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</si>
  <si>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</si>
  <si>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</si>
  <si>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</si>
  <si>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</si>
  <si>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</si>
  <si>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</si>
  <si>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</si>
  <si>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</si>
  <si>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</si>
  <si>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</si>
  <si>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</si>
  <si>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</si>
  <si>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</si>
  <si>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</si>
  <si>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</si>
  <si>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</si>
  <si>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</si>
  <si>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</si>
  <si>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</si>
  <si>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</si>
  <si>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</si>
  <si>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</si>
  <si>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</si>
  <si>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</si>
  <si>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</si>
  <si>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</si>
  <si>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</si>
  <si>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</si>
  <si>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</si>
  <si>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</si>
  <si>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</si>
  <si>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</si>
  <si>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</si>
  <si>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</si>
  <si>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</si>
  <si>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</si>
  <si>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</si>
  <si>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</si>
  <si>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</si>
  <si>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</si>
  <si>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</si>
  <si>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</si>
  <si>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</si>
  <si>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</si>
  <si>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</si>
  <si>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</si>
  <si>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</si>
  <si>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</si>
  <si>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</si>
  <si>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</si>
  <si>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</si>
  <si>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</si>
  <si>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</si>
  <si>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</si>
  <si>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</si>
  <si>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</si>
  <si>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</si>
  <si>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</si>
  <si>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</si>
  <si>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</si>
  <si>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</si>
  <si>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</si>
  <si>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</si>
  <si>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</si>
  <si>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</si>
  <si>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</si>
  <si>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</si>
  <si>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</si>
  <si>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</si>
  <si>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</si>
  <si>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</si>
  <si>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</si>
  <si>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</si>
  <si>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</si>
  <si>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</si>
  <si>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</si>
  <si>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</si>
  <si>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</si>
  <si>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</si>
  <si>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</si>
  <si>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</si>
  <si>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</si>
  <si>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</si>
  <si>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</si>
  <si>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</si>
  <si>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</si>
  <si>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</si>
  <si>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</si>
  <si>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</si>
  <si>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</si>
  <si>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</si>
  <si>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</si>
  <si>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</si>
  <si>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</si>
  <si>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</si>
  <si>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</si>
  <si>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</si>
  <si>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</si>
  <si>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</si>
  <si>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</si>
  <si>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</si>
  <si>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</si>
  <si>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</si>
  <si>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</si>
  <si>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</si>
  <si>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</si>
  <si>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</si>
  <si>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</si>
  <si>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</si>
  <si>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</si>
  <si>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</si>
  <si>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</si>
  <si>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</si>
  <si>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</si>
  <si>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</si>
  <si>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</si>
  <si>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</si>
  <si>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</si>
  <si>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</si>
  <si>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</si>
  <si>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</si>
  <si>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</si>
  <si>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</si>
  <si>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</si>
  <si>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</si>
  <si>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</si>
  <si>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</si>
  <si>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</si>
  <si>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</si>
  <si>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</si>
  <si>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</si>
  <si>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</si>
  <si>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</si>
  <si>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</si>
  <si>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</si>
  <si>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</si>
  <si>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</si>
  <si>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</si>
  <si>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</si>
  <si>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</si>
  <si>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</si>
  <si>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</si>
  <si>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</si>
  <si>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</si>
  <si>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</si>
  <si>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</si>
  <si>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</si>
  <si>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</si>
  <si>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</si>
  <si>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</si>
  <si>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</si>
  <si>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</si>
  <si>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</si>
  <si>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</si>
  <si>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</si>
  <si>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</si>
  <si>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</si>
  <si>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</si>
  <si>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</si>
  <si>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</si>
  <si>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</si>
  <si>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</si>
  <si>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</si>
  <si>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</si>
  <si>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</si>
  <si>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</si>
  <si>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</si>
  <si>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</si>
  <si>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</si>
  <si>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</si>
  <si>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</si>
  <si>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</si>
  <si>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</si>
  <si>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</si>
  <si>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</si>
  <si>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</si>
  <si>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</si>
  <si>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</si>
  <si>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</si>
  <si>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</si>
  <si>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</si>
  <si>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</si>
  <si>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</si>
  <si>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</si>
  <si>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</si>
  <si>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</si>
  <si>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</si>
  <si>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</si>
  <si>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</si>
  <si>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</si>
  <si>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</si>
  <si>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</si>
  <si>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</si>
  <si>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</si>
  <si>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</si>
  <si>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</si>
  <si>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</si>
  <si>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</si>
  <si>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</si>
  <si>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</si>
  <si>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</si>
  <si>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</si>
  <si>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</si>
  <si>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</si>
  <si>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</si>
  <si>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</si>
  <si>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</si>
  <si>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</si>
  <si>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</si>
  <si>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</si>
  <si>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</si>
  <si>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</si>
  <si>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</si>
  <si>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</si>
  <si>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</si>
  <si>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</si>
  <si>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</si>
  <si>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</si>
  <si>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</si>
  <si>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</si>
  <si>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</si>
  <si>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</si>
  <si>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</si>
  <si>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</si>
  <si>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</si>
  <si>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</si>
  <si>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</si>
  <si>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</si>
  <si>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</si>
  <si>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</si>
  <si>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</si>
  <si>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</si>
  <si>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</si>
  <si>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</si>
  <si>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</si>
  <si>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</si>
  <si>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</si>
  <si>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</si>
  <si>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</si>
  <si>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</si>
  <si>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</si>
  <si>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</si>
  <si>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</si>
  <si>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</si>
  <si>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</si>
  <si>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</si>
  <si>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</si>
  <si>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</si>
  <si>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</si>
  <si>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</si>
  <si>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</si>
  <si>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</si>
  <si>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</si>
  <si>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</si>
  <si>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</si>
  <si>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</si>
  <si>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</si>
  <si>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</si>
  <si>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</si>
  <si>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</si>
  <si>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</si>
  <si>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</si>
  <si>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</si>
  <si>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</si>
  <si>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</si>
  <si>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</si>
  <si>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</si>
  <si>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</si>
  <si>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</si>
  <si>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</si>
  <si>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</si>
  <si>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</si>
  <si>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</si>
  <si>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</si>
  <si>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</si>
  <si>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</si>
  <si>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</si>
  <si>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</si>
  <si>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</si>
  <si>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</si>
  <si>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</si>
  <si>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</si>
  <si>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</si>
  <si>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</si>
  <si>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</si>
  <si>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</si>
  <si>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</si>
  <si>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</si>
  <si>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</si>
  <si>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</si>
  <si>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</si>
  <si>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</si>
  <si>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</si>
  <si>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</si>
  <si>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</si>
  <si>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</si>
  <si>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</si>
  <si>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</si>
  <si>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</si>
  <si>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</si>
  <si>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</si>
  <si>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</si>
  <si>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</si>
  <si>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</si>
  <si>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</si>
  <si>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</si>
  <si>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</si>
  <si>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</si>
  <si>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</si>
  <si>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</si>
  <si>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</si>
  <si>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</si>
  <si>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</si>
  <si>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</si>
  <si>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</si>
  <si>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</si>
  <si>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</si>
  <si>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</si>
  <si>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</si>
  <si>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</si>
  <si>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</si>
  <si>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</si>
  <si>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</si>
  <si>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</si>
  <si>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</si>
  <si>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</si>
  <si>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</si>
  <si>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</si>
  <si>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</si>
  <si>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</si>
  <si>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</si>
  <si>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</si>
  <si>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</si>
  <si>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</si>
  <si>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</si>
  <si>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</si>
  <si>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</si>
  <si>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</si>
  <si>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</si>
  <si>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</si>
  <si>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</si>
  <si>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</si>
  <si>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</si>
  <si>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</si>
  <si>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</si>
  <si>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</si>
  <si>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</si>
  <si>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</si>
  <si>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</si>
  <si>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</si>
  <si>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</si>
  <si>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</si>
  <si>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</si>
  <si>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</si>
  <si>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</si>
  <si>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</si>
  <si>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</si>
  <si>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</si>
  <si>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</si>
  <si>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</si>
  <si>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</si>
  <si>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</si>
  <si>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</si>
  <si>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</si>
  <si>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</si>
  <si>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</si>
  <si>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</si>
  <si>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</si>
  <si>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</si>
  <si>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</si>
  <si>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</si>
  <si>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</si>
  <si>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</si>
  <si>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</si>
  <si>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</si>
  <si>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</si>
  <si>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</si>
  <si>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</si>
  <si>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</si>
  <si>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</si>
  <si>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</si>
  <si>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</si>
  <si>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</si>
  <si>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</si>
  <si>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</si>
  <si>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</si>
  <si>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</si>
  <si>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</si>
  <si>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</si>
  <si>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</si>
  <si>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</si>
  <si>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</si>
  <si>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</si>
  <si>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</si>
  <si>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</si>
  <si>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</si>
  <si>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</si>
  <si>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</si>
  <si>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</si>
  <si>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</si>
  <si>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</si>
  <si>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</si>
  <si>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</si>
  <si>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</si>
  <si>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</si>
  <si>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</si>
  <si>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</si>
  <si>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</si>
  <si>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</si>
  <si>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</si>
  <si>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</si>
  <si>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</si>
  <si>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</si>
  <si>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</si>
  <si>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</si>
  <si>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</si>
  <si>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</si>
  <si>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</si>
  <si>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</si>
  <si>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</si>
  <si>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</si>
  <si>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</si>
  <si>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</si>
  <si>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</si>
  <si>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</si>
  <si>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</si>
  <si>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</si>
  <si>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</si>
  <si>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</si>
  <si>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</si>
  <si>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</si>
  <si>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</si>
  <si>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</si>
  <si>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</si>
  <si>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</si>
  <si>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</si>
  <si>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</si>
  <si>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</si>
  <si>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</si>
  <si>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</si>
  <si>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</si>
  <si>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</si>
  <si>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</si>
  <si>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</si>
  <si>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</si>
  <si>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</si>
  <si>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</si>
  <si>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</si>
  <si>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</si>
  <si>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</si>
  <si>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</si>
  <si>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</si>
  <si>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</si>
  <si>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</si>
  <si>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</si>
  <si>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</si>
  <si>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</si>
  <si>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</si>
  <si>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</si>
  <si>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</si>
  <si>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</si>
  <si>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</si>
  <si>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</si>
  <si>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</si>
  <si>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</si>
  <si>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</si>
  <si>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</si>
  <si>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</si>
  <si>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</si>
  <si>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</si>
  <si>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</si>
  <si>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</si>
  <si>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</si>
  <si>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</si>
  <si>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</si>
  <si>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</si>
  <si>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</si>
  <si>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</si>
  <si>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</si>
  <si>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</si>
  <si>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</si>
  <si>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</si>
  <si>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</si>
  <si>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</si>
  <si>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</si>
  <si>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</si>
  <si>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</si>
  <si>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</si>
  <si>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</si>
  <si>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</si>
  <si>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</si>
  <si>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</si>
  <si>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</si>
  <si>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</si>
  <si>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</si>
  <si>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</si>
  <si>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</si>
  <si>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</si>
  <si>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</si>
  <si>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</si>
  <si>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</si>
  <si>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</si>
  <si>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</si>
  <si>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</si>
  <si>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</si>
  <si>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</si>
  <si>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</si>
  <si>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</si>
  <si>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</si>
  <si>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</si>
  <si>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</si>
  <si>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</si>
  <si>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</si>
  <si>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</si>
  <si>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</si>
  <si>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</si>
  <si>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</si>
  <si>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</si>
  <si>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</si>
  <si>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</si>
  <si>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</si>
  <si>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</si>
  <si>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</si>
  <si>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</si>
  <si>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</si>
  <si>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</si>
  <si>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</si>
  <si>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</si>
  <si>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</si>
  <si>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</si>
  <si>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</si>
  <si>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</si>
  <si>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</si>
  <si>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</si>
  <si>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</si>
  <si>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</si>
  <si>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</si>
  <si>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</si>
  <si>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</si>
  <si>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</si>
  <si>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</si>
  <si>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</si>
  <si>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</si>
  <si>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</si>
  <si>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</si>
  <si>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</si>
  <si>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</si>
  <si>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</si>
  <si>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</si>
  <si>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angelopolis</t>
  </si>
  <si>
    <t>CAMPESENA</t>
  </si>
  <si>
    <t>6 mts y medio</t>
  </si>
  <si>
    <t>11 mts</t>
  </si>
  <si>
    <t>una hoja de Odena 0,5 mm</t>
  </si>
  <si>
    <t>No llevó Retal de cuero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</si>
</sst>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7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1</xdr:row>
      <xdr:rowOff>19425</xdr:rowOff>
    </xdr:from>
    <xdr:to>
      <xdr:col>29</xdr:col>
      <xdr:colOff>371475</xdr:colOff>
      <xdr:row>7</xdr:row>
      <xdr:rowOff>155934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400425"/>
          <a:ext cx="2019300" cy="1831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95250</xdr:colOff>
      <xdr:row>3</xdr:row>
      <xdr:rowOff>144531</xdr:rowOff>
    </xdr:from>
    <xdr:to>
      <xdr:col>21</xdr:col>
      <xdr:colOff>514350</xdr:colOff>
      <xdr:row>6</xdr:row>
      <xdr:rowOff>238124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16C25F1-497E-271A-2A6D-F00730305A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10" t="20118" r="11242" b="14794"/>
        <a:stretch>
          <a:fillRect/>
        </a:stretch>
      </xdr:blipFill>
      <xdr:spPr>
        <a:xfrm>
          <a:off x="7972425" y="1135131"/>
          <a:ext cx="914400" cy="874643"/>
        </a:xfrm>
        <a:prstGeom prst="rect">
          <a:avLst/>
        </a:prstGeom>
      </xdr:spPr>
    </xdr:pic>
    <xdr:clientData/>
  </xdr:twoCellAnchor>
  <xdr:twoCellAnchor editAs="oneCell">
    <xdr:from>
      <xdr:col>22</xdr:col>
      <xdr:colOff>9526</xdr:colOff>
      <xdr:row>0</xdr:row>
      <xdr:rowOff>95250</xdr:rowOff>
    </xdr:from>
    <xdr:to>
      <xdr:col>24</xdr:col>
      <xdr:colOff>481127</xdr:colOff>
      <xdr:row>6</xdr:row>
      <xdr:rowOff>133350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512EC0A-09A1-BB74-AC3A-4FC34D5A6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72551" y="95250"/>
          <a:ext cx="1128826" cy="1809750"/>
        </a:xfrm>
        <a:prstGeom prst="rect">
          <a:avLst/>
        </a:prstGeom>
      </xdr:spPr>
    </xdr:pic>
    <xdr:clientData/>
  </xdr:twoCellAnchor>
  <xdr:twoCellAnchor editAs="oneCell">
    <xdr:from>
      <xdr:col>20</xdr:col>
      <xdr:colOff>57150</xdr:colOff>
      <xdr:row>0</xdr:row>
      <xdr:rowOff>58216</xdr:rowOff>
    </xdr:from>
    <xdr:to>
      <xdr:col>22</xdr:col>
      <xdr:colOff>9525</xdr:colOff>
      <xdr:row>3</xdr:row>
      <xdr:rowOff>209549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CE99F82-EC82-1B35-10AB-123F0DE11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34325" y="58216"/>
          <a:ext cx="1038225" cy="11419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D10" sqref="D10:N10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AP1208-1</v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>
        <v>45881</v>
      </c>
      <c r="P1" s="350"/>
      <c r="Q1" s="350"/>
      <c r="R1" s="351"/>
      <c r="S1" s="395" t="s">
        <v>3</v>
      </c>
      <c r="T1" s="396"/>
      <c r="U1" s="401"/>
      <c r="V1" s="402"/>
      <c r="W1" s="402"/>
      <c r="X1" s="402"/>
      <c r="Y1" s="403"/>
      <c r="Z1" s="296" t="s">
        <v>4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5</v>
      </c>
      <c r="D2" s="365"/>
      <c r="E2" s="366" t="s">
        <v>1317</v>
      </c>
      <c r="F2" s="367"/>
      <c r="G2" s="367"/>
      <c r="H2" s="367"/>
      <c r="I2" s="367"/>
      <c r="J2" s="367"/>
      <c r="K2" s="368"/>
      <c r="L2" s="319" t="s">
        <v>6</v>
      </c>
      <c r="M2" s="320"/>
      <c r="N2" s="321"/>
      <c r="O2" s="322">
        <f>IF(E2="","",INDEX(Listas!H2:I30,MATCH('Soli_citud '!E2,Intructores,0),2))</f>
        <v>43687423</v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7</v>
      </c>
      <c r="D3" s="381"/>
      <c r="E3" s="382" t="s">
        <v>1316</v>
      </c>
      <c r="F3" s="383"/>
      <c r="G3" s="383"/>
      <c r="H3" s="383"/>
      <c r="I3" s="383"/>
      <c r="J3" s="383"/>
      <c r="K3" s="384"/>
      <c r="L3" s="319" t="s">
        <v>9</v>
      </c>
      <c r="M3" s="320"/>
      <c r="N3" s="321"/>
      <c r="O3" s="306" t="s">
        <v>1388</v>
      </c>
      <c r="P3" s="324"/>
      <c r="Q3" s="324"/>
      <c r="R3" s="324"/>
      <c r="S3" s="397" t="s">
        <v>10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11</v>
      </c>
      <c r="B4" s="357"/>
      <c r="C4" s="357"/>
      <c r="D4" s="352" t="s">
        <v>1389</v>
      </c>
      <c r="E4" s="353"/>
      <c r="F4" s="353"/>
      <c r="G4" s="353"/>
      <c r="H4" s="353"/>
      <c r="I4" s="353"/>
      <c r="J4" s="353"/>
      <c r="K4" s="353"/>
      <c r="L4" s="354" t="s">
        <v>12</v>
      </c>
      <c r="M4" s="354"/>
      <c r="N4" s="354"/>
      <c r="O4" s="355" t="s">
        <v>13</v>
      </c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14</v>
      </c>
      <c r="B5" s="385"/>
      <c r="C5" s="385"/>
      <c r="D5" s="386">
        <f>IF(K5="","",(SUM(W10:Y28)-(SUMIF(U10:V28,"Restar_Pedido",W10:Y28)))/$K$5)</f>
        <v>15661.703442504873</v>
      </c>
      <c r="E5" s="387"/>
      <c r="F5" s="388"/>
      <c r="G5" s="364" t="s">
        <v>15</v>
      </c>
      <c r="H5" s="389"/>
      <c r="I5" s="389"/>
      <c r="J5" s="365"/>
      <c r="K5" s="328">
        <v>54</v>
      </c>
      <c r="L5" s="328"/>
      <c r="M5" s="329" t="s">
        <v>16</v>
      </c>
      <c r="N5" s="329"/>
      <c r="O5" s="325">
        <f>IFERROR(IF(K5=0,"",D5*K5),"")</f>
        <v>845731.98589526315</v>
      </c>
      <c r="P5" s="326"/>
      <c r="Q5" s="326"/>
      <c r="R5" s="326"/>
      <c r="S5" s="399" t="s">
        <v>17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18</v>
      </c>
      <c r="B7" s="369"/>
      <c r="C7" s="370"/>
      <c r="D7" s="371" t="s">
        <v>19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20</v>
      </c>
      <c r="P7" s="313"/>
      <c r="Q7" s="378" t="s">
        <v>21</v>
      </c>
      <c r="R7" s="379"/>
      <c r="S7" s="397"/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22</v>
      </c>
      <c r="T8" s="315"/>
      <c r="U8" s="316"/>
      <c r="V8" s="317">
        <f>IF(K5="","",1/K5)</f>
        <v>1.8518518518518517E-2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23</v>
      </c>
      <c r="T9" s="314"/>
      <c r="U9" s="313" t="s">
        <v>24</v>
      </c>
      <c r="V9" s="313"/>
      <c r="W9" s="313" t="s">
        <v>25</v>
      </c>
      <c r="X9" s="313"/>
      <c r="Y9" s="313"/>
    </row>
    <row r="10" spans="1:31" ht="17.25" customHeight="1">
      <c r="A10" s="299" t="s">
        <v>232</v>
      </c>
      <c r="B10" s="299"/>
      <c r="C10" s="300"/>
      <c r="D10" s="390" t="s">
        <v>316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cm</v>
      </c>
      <c r="P10" s="305"/>
      <c r="Q10" s="306">
        <v>14</v>
      </c>
      <c r="R10" s="307"/>
      <c r="S10" s="308">
        <f>IFERROR(IF(Q10="Unidad","1",(Q10*$K$5)),"")</f>
        <v>756</v>
      </c>
      <c r="T10" s="309"/>
      <c r="U10" s="310"/>
      <c r="V10" s="393"/>
      <c r="W10" s="311">
        <f>IFERROR(IF(D10="","",INDEX(Tabla_Completa,MATCH('Soli_citud '!D10,Materiales,0),7)*S10),"")</f>
        <v>7132.8600000000006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40</v>
      </c>
      <c r="B11" s="299"/>
      <c r="C11" s="300"/>
      <c r="D11" s="390" t="s">
        <v>708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U</v>
      </c>
      <c r="P11" s="305"/>
      <c r="Q11" s="306">
        <v>1</v>
      </c>
      <c r="R11" s="307"/>
      <c r="S11" s="308">
        <f t="shared" ref="S11:S31" si="1">IFERROR(IF(Q11="Unidad","1",(Q11*$K$5)),"")</f>
        <v>54</v>
      </c>
      <c r="T11" s="309"/>
      <c r="U11" s="310"/>
      <c r="V11" s="310"/>
      <c r="W11" s="311">
        <f>IFERROR(IF(D11="","",INDEX(Tabla_Completa,MATCH('Soli_citud '!D11,Materiales,0),7)*S11),"")</f>
        <v>68400</v>
      </c>
      <c r="X11" s="311"/>
      <c r="Y11" s="311"/>
    </row>
    <row r="12" spans="1:31" ht="15.75" customHeight="1">
      <c r="A12" s="298" t="s">
        <v>50</v>
      </c>
      <c r="B12" s="299"/>
      <c r="C12" s="300"/>
      <c r="D12" s="394" t="s">
        <v>937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cm2</v>
      </c>
      <c r="P12" s="305"/>
      <c r="Q12" s="306">
        <v>1900</v>
      </c>
      <c r="R12" s="307"/>
      <c r="S12" s="308">
        <f t="shared" si="1"/>
        <v>102600</v>
      </c>
      <c r="T12" s="309"/>
      <c r="U12" s="310"/>
      <c r="V12" s="310"/>
      <c r="W12" s="311">
        <f>IFERROR(IF(D12="","",INDEX(Tabla_Completa,MATCH('Soli_citud '!D12,Materiales,0),7)*S12),"")</f>
        <v>51084.466714285714</v>
      </c>
      <c r="X12" s="311"/>
      <c r="Y12" s="311"/>
    </row>
    <row r="13" spans="1:31" ht="15.75" customHeight="1">
      <c r="A13" s="298" t="s">
        <v>50</v>
      </c>
      <c r="B13" s="299"/>
      <c r="C13" s="300"/>
      <c r="D13" s="390" t="s">
        <v>943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cm2</v>
      </c>
      <c r="P13" s="305"/>
      <c r="Q13" s="306">
        <v>2800</v>
      </c>
      <c r="R13" s="307"/>
      <c r="S13" s="308">
        <f t="shared" si="1"/>
        <v>151200</v>
      </c>
      <c r="T13" s="309"/>
      <c r="U13" s="310" t="s">
        <v>1343</v>
      </c>
      <c r="V13" s="310"/>
      <c r="W13" s="311">
        <f>IFERROR(IF(D13="","",INDEX(Tabla_Completa,MATCH('Soli_citud '!D13,Materiales,0),7)*S13),"")</f>
        <v>422280</v>
      </c>
      <c r="X13" s="311"/>
      <c r="Y13" s="311"/>
    </row>
    <row r="14" spans="1:31" ht="17.25" customHeight="1">
      <c r="A14" s="298" t="s">
        <v>32</v>
      </c>
      <c r="B14" s="299"/>
      <c r="C14" s="300"/>
      <c r="D14" s="390" t="s">
        <v>110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ml</v>
      </c>
      <c r="P14" s="305"/>
      <c r="Q14" s="306">
        <v>78.3</v>
      </c>
      <c r="R14" s="307"/>
      <c r="S14" s="308">
        <f t="shared" si="1"/>
        <v>4228.2</v>
      </c>
      <c r="T14" s="309"/>
      <c r="U14" s="310"/>
      <c r="V14" s="310"/>
      <c r="W14" s="311">
        <f>IFERROR(IF(D14="","",INDEX(Tabla_Completa,MATCH('Soli_citud '!D14,Materiales,0),7)*S14),"")</f>
        <v>31725.463672391019</v>
      </c>
      <c r="X14" s="311"/>
      <c r="Y14" s="311"/>
    </row>
    <row r="15" spans="1:31" ht="15.75" customHeight="1">
      <c r="A15" s="298" t="s">
        <v>26</v>
      </c>
      <c r="B15" s="299"/>
      <c r="C15" s="300"/>
      <c r="D15" s="390" t="s">
        <v>27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kg</v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>
        <f>IFERROR(IF(D15="","",INDEX(Tabla_Completa,MATCH('Soli_citud '!D15,Materiales,0),7)*S15),"")</f>
        <v>0</v>
      </c>
      <c r="X15" s="311"/>
      <c r="Y15" s="311"/>
    </row>
    <row r="16" spans="1:31" ht="15.75" customHeight="1">
      <c r="A16" s="298" t="s">
        <v>32</v>
      </c>
      <c r="B16" s="299"/>
      <c r="C16" s="300"/>
      <c r="D16" s="390" t="s">
        <v>107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ml</v>
      </c>
      <c r="P16" s="305"/>
      <c r="Q16" s="306">
        <v>80</v>
      </c>
      <c r="R16" s="307"/>
      <c r="S16" s="308">
        <f t="shared" si="1"/>
        <v>4320</v>
      </c>
      <c r="T16" s="309"/>
      <c r="U16" s="310"/>
      <c r="V16" s="310"/>
      <c r="W16" s="311">
        <f>IFERROR(IF(D16="","",INDEX(Tabla_Completa,MATCH('Soli_citud '!D16,Materiales,0),7)*S16),"")</f>
        <v>75452.195508586519</v>
      </c>
      <c r="X16" s="311"/>
      <c r="Y16" s="311"/>
    </row>
    <row r="17" spans="1:25" ht="15.75" customHeight="1">
      <c r="A17" s="298" t="s">
        <v>40</v>
      </c>
      <c r="B17" s="299"/>
      <c r="C17" s="300"/>
      <c r="D17" s="390" t="s">
        <v>825</v>
      </c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>U</v>
      </c>
      <c r="P17" s="305"/>
      <c r="Q17" s="306">
        <v>1</v>
      </c>
      <c r="R17" s="307"/>
      <c r="S17" s="308">
        <f t="shared" si="1"/>
        <v>54</v>
      </c>
      <c r="T17" s="309"/>
      <c r="U17" s="310"/>
      <c r="V17" s="310"/>
      <c r="W17" s="311">
        <f>IFERROR(IF(D17="","",INDEX(Tabla_Completa,MATCH('Soli_citud '!D17,Materiales,0),7)*S17),"")</f>
        <v>150417</v>
      </c>
      <c r="X17" s="311"/>
      <c r="Y17" s="311"/>
    </row>
    <row r="18" spans="1:25" ht="15.75" customHeight="1">
      <c r="A18" s="298" t="s">
        <v>232</v>
      </c>
      <c r="B18" s="299"/>
      <c r="C18" s="300"/>
      <c r="D18" s="390" t="s">
        <v>347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>Cono</v>
      </c>
      <c r="P18" s="305"/>
      <c r="Q18" s="306">
        <v>0.1</v>
      </c>
      <c r="R18" s="307"/>
      <c r="S18" s="308">
        <f t="shared" si="1"/>
        <v>5.4</v>
      </c>
      <c r="T18" s="309"/>
      <c r="U18" s="310"/>
      <c r="V18" s="310"/>
      <c r="W18" s="311">
        <f>IFERROR(IF(D18="","",INDEX(Tabla_Completa,MATCH('Soli_citud '!D18,Materiales,0),7)*S18),"")</f>
        <v>39240.000000000007</v>
      </c>
      <c r="X18" s="311"/>
      <c r="Y18" s="311"/>
    </row>
    <row r="19" spans="1:25" ht="15.75">
      <c r="A19" s="298" t="s">
        <v>232</v>
      </c>
      <c r="B19" s="299"/>
      <c r="C19" s="300"/>
      <c r="D19" s="301" t="s">
        <v>380</v>
      </c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>cm2</v>
      </c>
      <c r="P19" s="305"/>
      <c r="Q19" s="306">
        <v>315</v>
      </c>
      <c r="R19" s="307"/>
      <c r="S19" s="308">
        <f t="shared" si="1"/>
        <v>17010</v>
      </c>
      <c r="T19" s="309"/>
      <c r="U19" s="310" t="s">
        <v>1313</v>
      </c>
      <c r="V19" s="310"/>
      <c r="W19" s="311">
        <f>IFERROR(IF(D19="","",INDEX(Tabla_Completa,MATCH('Soli_citud '!D19,Materiales,0),7)*S19),"")</f>
        <v>9072</v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28</v>
      </c>
      <c r="B39" s="336"/>
      <c r="C39" s="336"/>
      <c r="D39" s="337" t="s">
        <v>29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30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31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32</v>
      </c>
      <c r="O44" s="345"/>
      <c r="P44" s="345"/>
      <c r="Q44" s="345"/>
      <c r="R44" s="342" t="s">
        <v>33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34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35</v>
      </c>
      <c r="O45" s="345"/>
      <c r="P45" s="345"/>
      <c r="Q45" s="345"/>
      <c r="R45" s="343" t="s">
        <v>36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37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26</v>
      </c>
      <c r="O46" s="345"/>
      <c r="P46" s="345"/>
      <c r="Q46" s="345"/>
      <c r="R46" s="344" t="s">
        <v>38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40</v>
      </c>
      <c r="O47" s="345"/>
      <c r="P47" s="345"/>
      <c r="Q47" s="345"/>
      <c r="R47" s="344" t="s">
        <v>41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43</v>
      </c>
      <c r="O48" s="345"/>
      <c r="P48" s="345"/>
      <c r="Q48" s="345"/>
      <c r="R48" s="344" t="s">
        <v>44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45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46</v>
      </c>
      <c r="O49" s="346"/>
      <c r="P49" s="346"/>
      <c r="Q49" s="346"/>
      <c r="R49" s="343" t="s">
        <v>47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48</v>
      </c>
      <c r="O50" s="345"/>
      <c r="P50" s="345"/>
      <c r="Q50" s="345"/>
      <c r="R50" s="344" t="s">
        <v>49</v>
      </c>
      <c r="S50" s="344"/>
      <c r="T50" s="344"/>
      <c r="U50" s="344"/>
      <c r="V50" s="344"/>
      <c r="W50" s="344"/>
      <c r="X50" s="344"/>
    </row>
    <row r="51" spans="1:24" ht="15.75">
      <c r="N51" s="345" t="s">
        <v>50</v>
      </c>
      <c r="O51" s="345"/>
      <c r="P51" s="345"/>
      <c r="Q51" s="345"/>
      <c r="R51" s="344" t="s">
        <v>51</v>
      </c>
      <c r="S51" s="344"/>
      <c r="T51" s="344"/>
      <c r="U51" s="344"/>
      <c r="V51" s="344"/>
      <c r="W51" s="344"/>
      <c r="X51" s="344"/>
    </row>
    <row r="52" spans="1:24" ht="15.75">
      <c r="N52" s="345" t="s">
        <v>52</v>
      </c>
      <c r="O52" s="345"/>
      <c r="P52" s="345"/>
      <c r="Q52" s="345"/>
      <c r="R52" s="344" t="s">
        <v>41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L18" sqref="L18:M18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53</v>
      </c>
      <c r="E1" s="457"/>
      <c r="F1" s="457"/>
      <c r="G1" s="457"/>
      <c r="H1" s="457"/>
      <c r="I1" s="458"/>
      <c r="J1" s="485" t="s">
        <v>54</v>
      </c>
      <c r="K1" s="486"/>
      <c r="L1" s="486"/>
      <c r="M1" s="487"/>
      <c r="N1" s="488">
        <f>IF('Soli_citud '!O1="","",'Soli_citud '!O1)</f>
        <v>45881</v>
      </c>
      <c r="O1" s="489"/>
      <c r="P1" s="427" t="s">
        <v>55</v>
      </c>
      <c r="Q1" s="428"/>
      <c r="R1" s="433" t="str">
        <f>IF('Soli_citud '!D4="","",'Soli_citud '!D4)</f>
        <v>CAMPESENA</v>
      </c>
      <c r="S1" s="434"/>
      <c r="Z1" t="s">
        <v>56</v>
      </c>
      <c r="AA1" s="241" t="s">
        <v>56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57</v>
      </c>
      <c r="K2" s="491"/>
      <c r="L2" s="491"/>
      <c r="M2" s="492"/>
      <c r="N2" s="493" t="str">
        <f>'Soli_citud '!F1</f>
        <v>AP1208-1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58</v>
      </c>
      <c r="K3" s="494"/>
      <c r="L3" s="494"/>
      <c r="M3" s="494"/>
      <c r="N3" s="495" t="str">
        <f>IF('Soli_citud '!O3="","",'Soli_citud '!O3)</f>
        <v>angelopolis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59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60</v>
      </c>
      <c r="C6" s="446"/>
      <c r="D6" s="447"/>
      <c r="E6" s="451" t="s">
        <v>61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15661.703442504873</v>
      </c>
      <c r="C8" s="420"/>
      <c r="D8" s="421"/>
      <c r="E8" s="422" t="s">
        <v>62</v>
      </c>
      <c r="F8" s="423"/>
      <c r="G8" s="423"/>
      <c r="H8" s="423"/>
      <c r="I8" s="424"/>
      <c r="J8" s="425" t="str">
        <f>IF('Soli_citud '!E2="","",'Soli_citud '!E2)</f>
        <v>Alina Posada Villada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63</v>
      </c>
      <c r="C9" s="466"/>
      <c r="D9" s="469"/>
      <c r="E9" s="470" t="s">
        <v>64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65</v>
      </c>
      <c r="K10" s="477"/>
      <c r="L10" s="478"/>
      <c r="M10" s="250">
        <f>'[1]Soli_citud '!K5</f>
        <v>1</v>
      </c>
      <c r="N10" s="440" t="s">
        <v>66</v>
      </c>
      <c r="O10" s="441"/>
      <c r="P10" s="431"/>
      <c r="Q10" s="432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0" t="s">
        <v>70</v>
      </c>
      <c r="D11" s="411"/>
      <c r="E11" s="411"/>
      <c r="F11" s="41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13" t="s">
        <v>24</v>
      </c>
      <c r="M11" s="414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AP1208-1</v>
      </c>
      <c r="C12" s="407" t="str">
        <f>IFERROR(IF('Soli_citud '!D10="","",'Soli_citud '!D10),"")</f>
        <v>CREMALLERA POLIÉSTER #3</v>
      </c>
      <c r="D12" s="407"/>
      <c r="E12" s="407"/>
      <c r="F12" s="407"/>
      <c r="G12" s="213" t="str">
        <f>IF('Soli_citud '!O10="","",'Soli_citud '!O10)</f>
        <v>cm</v>
      </c>
      <c r="H12" s="213" cm="1">
        <f t="array" ref="H12">_xlfn.IFS('Soli_citud '!S10="","",'Soli_citud '!S10&lt;=0,"",'Soli_citud '!S10&gt;0,'Soli_citud '!S10)</f>
        <v>756</v>
      </c>
      <c r="I12" s="214">
        <v>45888</v>
      </c>
      <c r="J12" s="215">
        <v>644</v>
      </c>
      <c r="K12" s="197" cm="1">
        <f t="array" ref="K12">IFERROR(_xlfn.IFS(H12="","",J12=H12,"Cumplido",J12&lt;H12,H12-J12,J12&gt;H12,"Revisar"),"")</f>
        <v>112</v>
      </c>
      <c r="L12" s="408" t="s">
        <v>1390</v>
      </c>
      <c r="M12" s="409"/>
      <c r="N12" s="215">
        <v>100</v>
      </c>
      <c r="O12" s="198">
        <f t="shared" ref="O12" si="0">IFERROR(H12/N12,"")</f>
        <v>7.56</v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AP1208-1</v>
      </c>
      <c r="C13" s="407" t="str">
        <f>IFERROR(IF('Soli_citud '!D11="","",'Soli_citud '!D11),"")</f>
        <v>LLAVE METÁLICA DE LUJO DESLIZADOR   #3 PARA CREMALLERA - PAVÓN</v>
      </c>
      <c r="D13" s="407"/>
      <c r="E13" s="407"/>
      <c r="F13" s="407"/>
      <c r="G13" s="213" t="str">
        <f>IF('Soli_citud '!O11="","",'Soli_citud '!O11)</f>
        <v>U</v>
      </c>
      <c r="H13" s="213" cm="1">
        <f t="array" ref="H13">_xlfn.IFS('Soli_citud '!S11="","",'Soli_citud '!S11&lt;=0,"",'Soli_citud '!S11&gt;0,'Soli_citud '!S11)</f>
        <v>54</v>
      </c>
      <c r="I13" s="214">
        <v>45888</v>
      </c>
      <c r="J13" s="216">
        <v>46</v>
      </c>
      <c r="K13" s="197" cm="1">
        <f t="array" ref="K13">IFERROR(_xlfn.IFS(H13="","",J13=H13,"Cumplido",J13&lt;H13,H13-J13,J13&gt;H13,"Revisar"),"")</f>
        <v>8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AP1208-1</v>
      </c>
      <c r="C14" s="407" t="str">
        <f>IFERROR(IF('Soli_citud '!D12="","",'Soli_citud '!D12),"")</f>
        <v>SEDA TAFETA 100% POLIESTER</v>
      </c>
      <c r="D14" s="407"/>
      <c r="E14" s="407"/>
      <c r="F14" s="407"/>
      <c r="G14" s="213" t="str">
        <f>IF('Soli_citud '!O12="","",'Soli_citud '!O12)</f>
        <v>cm2</v>
      </c>
      <c r="H14" s="213" cm="1">
        <f t="array" ref="H14">_xlfn.IFS('Soli_citud '!S12="","",'Soli_citud '!S12&lt;=0,"",'Soli_citud '!S12&gt;0,'Soli_citud '!S12)</f>
        <v>102600</v>
      </c>
      <c r="I14" s="214">
        <v>45888</v>
      </c>
      <c r="J14" s="216">
        <v>87400</v>
      </c>
      <c r="K14" s="197" cm="1">
        <f t="array" ref="K14">IFERROR(_xlfn.IFS(H14="","",J14=H14,"Cumplido",J14&lt;H14,H14-J14,J14&gt;H14,"Revisar"),"")</f>
        <v>15200</v>
      </c>
      <c r="L14" s="408">
        <v>87400</v>
      </c>
      <c r="M14" s="409"/>
      <c r="N14" s="215">
        <v>140</v>
      </c>
      <c r="O14" s="198">
        <f t="shared" si="2"/>
        <v>732.85714285714289</v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AP1208-1</v>
      </c>
      <c r="C15" s="407" t="str">
        <f>IFERROR(IF('Soli_citud '!D13="","",'Soli_citud '!D13),"")</f>
        <v>SINTETICO PVC</v>
      </c>
      <c r="D15" s="407"/>
      <c r="E15" s="407"/>
      <c r="F15" s="407"/>
      <c r="G15" s="213" t="str">
        <f>IF('Soli_citud '!O13="","",'Soli_citud '!O13)</f>
        <v>cm2</v>
      </c>
      <c r="H15" s="213" cm="1">
        <f t="array" ref="H15">_xlfn.IFS('Soli_citud '!S13="","",'Soli_citud '!S13&lt;=0,"",'Soli_citud '!S13&gt;0,'Soli_citud '!S13)</f>
        <v>151200</v>
      </c>
      <c r="I15" s="214">
        <v>45888</v>
      </c>
      <c r="J15" s="216">
        <v>151200</v>
      </c>
      <c r="K15" s="197" t="str" cm="1">
        <f t="array" ref="K15">IFERROR(_xlfn.IFS(H15="","",J15=H15,"Cumplido",J15&lt;H15,H15-J15,J15&gt;H15,"Revisar"),"")</f>
        <v>Cumplido</v>
      </c>
      <c r="L15" s="408" t="s">
        <v>1391</v>
      </c>
      <c r="M15" s="409"/>
      <c r="N15" s="215">
        <v>140</v>
      </c>
      <c r="O15" s="198">
        <f t="shared" si="2"/>
        <v>1080</v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AP1208-1</v>
      </c>
      <c r="C16" s="407" t="str">
        <f>IFERROR(IF('Soli_citud '!D14="","",'Soli_citud '!D14),"")</f>
        <v>SOLUCIÓN DE CAUCHO</v>
      </c>
      <c r="D16" s="407"/>
      <c r="E16" s="407"/>
      <c r="F16" s="407"/>
      <c r="G16" s="213" t="str">
        <f>IF('Soli_citud '!O14="","",'Soli_citud '!O14)</f>
        <v>ml</v>
      </c>
      <c r="H16" s="213" cm="1">
        <f t="array" ref="H16">_xlfn.IFS('Soli_citud '!S14="","",'Soli_citud '!S14&lt;=0,"",'Soli_citud '!S14&gt;0,'Soli_citud '!S14)</f>
        <v>4228.2</v>
      </c>
      <c r="I16" s="214">
        <v>45888</v>
      </c>
      <c r="J16" s="216">
        <v>3600</v>
      </c>
      <c r="K16" s="197" cm="1">
        <f t="array" ref="K16">IFERROR(_xlfn.IFS(H16="","",J16=H16,"Cumplido",J16&lt;H16,H16-J16,J16&gt;H16,"Revisar"),"")</f>
        <v>628.19999999999982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IFERROR(IF('Soli_citud '!D15="","",'Soli_citud '!D15),"")</f>
        <v>Retal</v>
      </c>
      <c r="D17" s="407"/>
      <c r="E17" s="407"/>
      <c r="F17" s="407"/>
      <c r="G17" s="213" t="str">
        <f>IF('Soli_citud '!O15="","",'Soli_citud '!O15)</f>
        <v>kg</v>
      </c>
      <c r="H17" s="213" t="str" cm="1">
        <f t="array" ref="H17">_xlfn.IFS('Soli_citud '!S15="","",'Soli_citud '!S15&lt;=0,"",'Soli_citud '!S15&gt;0,'Soli_citud '!S15)</f>
        <v/>
      </c>
      <c r="I17" s="214">
        <v>45888</v>
      </c>
      <c r="J17" s="216"/>
      <c r="K17" s="197" t="str" cm="1">
        <f t="array" ref="K17">IFERROR(_xlfn.IFS(H17="","",J17=H17,"Cumplido",J17&lt;H17,H17-J17,J17&gt;H17,"Revisar"),"")</f>
        <v/>
      </c>
      <c r="L17" s="408" t="s">
        <v>1393</v>
      </c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AP1208-1</v>
      </c>
      <c r="C18" s="407" t="str">
        <f>IFERROR(IF('Soli_citud '!D16="","",'Soli_citud '!D16),"")</f>
        <v xml:space="preserve">PEGANTE CEMENTO DE CONTACTO BASE CLOROPRENO
</v>
      </c>
      <c r="D18" s="407"/>
      <c r="E18" s="407"/>
      <c r="F18" s="407"/>
      <c r="G18" s="213" t="str">
        <f>IF('Soli_citud '!O16="","",'Soli_citud '!O16)</f>
        <v>ml</v>
      </c>
      <c r="H18" s="213" cm="1">
        <f t="array" ref="H18">_xlfn.IFS('Soli_citud '!S16="","",'Soli_citud '!S16&lt;=0,"",'Soli_citud '!S16&gt;0,'Soli_citud '!S16)</f>
        <v>4320</v>
      </c>
      <c r="I18" s="214">
        <v>45888</v>
      </c>
      <c r="J18" s="216">
        <v>1500</v>
      </c>
      <c r="K18" s="197" cm="1">
        <f t="array" ref="K18">IFERROR(_xlfn.IFS(H18="","",J18=H18,"Cumplido",J18&lt;H18,H18-J18,J18&gt;H18,"Revisar"),"")</f>
        <v>2820</v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AP1208-1</v>
      </c>
      <c r="C19" s="407" t="str">
        <f>IFERROR(IF('Soli_citud '!D17="","",'Soli_citud '!D17),"")</f>
        <v>PIRIGALLO REMACHE PIOLÍN  CON TORNILLO Y ARANDELA ZAMAK NÍQUEL</v>
      </c>
      <c r="D19" s="407"/>
      <c r="E19" s="407"/>
      <c r="F19" s="407"/>
      <c r="G19" s="213" t="str">
        <f>IF('Soli_citud '!O17="","",'Soli_citud '!O17)</f>
        <v>U</v>
      </c>
      <c r="H19" s="213" cm="1">
        <f t="array" ref="H19">_xlfn.IFS('Soli_citud '!S17="","",'Soli_citud '!S17&lt;=0,"",'Soli_citud '!S17&gt;0,'Soli_citud '!S17)</f>
        <v>54</v>
      </c>
      <c r="I19" s="214">
        <v>45888</v>
      </c>
      <c r="J19" s="216">
        <v>46</v>
      </c>
      <c r="K19" s="197" cm="1">
        <f t="array" ref="K19">IFERROR(_xlfn.IFS(H19="","",J19=H19,"Cumplido",J19&lt;H19,H19-J19,J19&gt;H19,"Revisar"),"")</f>
        <v>8</v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AP1208-1</v>
      </c>
      <c r="C20" s="407" t="str">
        <f>IFERROR(IF('Soli_citud '!D18="","",'Soli_citud '!D18),"")</f>
        <v xml:space="preserve">HILO NYLON #20
</v>
      </c>
      <c r="D20" s="407"/>
      <c r="E20" s="407"/>
      <c r="F20" s="407"/>
      <c r="G20" s="213" t="str">
        <f>IF('Soli_citud '!O18="","",'Soli_citud '!O18)</f>
        <v>Cono</v>
      </c>
      <c r="H20" s="213" cm="1">
        <f t="array" ref="H20">_xlfn.IFS('Soli_citud '!S18="","",'Soli_citud '!S18&lt;=0,"",'Soli_citud '!S18&gt;0,'Soli_citud '!S18)</f>
        <v>5.4</v>
      </c>
      <c r="I20" s="214">
        <v>45888</v>
      </c>
      <c r="J20" s="216">
        <v>5.4</v>
      </c>
      <c r="K20" s="197" t="str" cm="1">
        <f t="array" ref="K20">IFERROR(_xlfn.IFS(H20="","",J20=H20,"Cumplido",J20&lt;H20,H20-J20,J20&gt;H20,"Revisar"),"")</f>
        <v>Cumplido</v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AP1208-1</v>
      </c>
      <c r="C21" s="407" t="str">
        <f>IFERROR(IF('Soli_citud '!D19="","",'Soli_citud '!D19),"")</f>
        <v>ODENA 0,5 mm</v>
      </c>
      <c r="D21" s="407"/>
      <c r="E21" s="407"/>
      <c r="F21" s="407"/>
      <c r="G21" s="213" t="str">
        <f>IF('Soli_citud '!O19="","",'Soli_citud '!O19)</f>
        <v>cm2</v>
      </c>
      <c r="H21" s="213" cm="1">
        <f t="array" ref="H21">_xlfn.IFS('Soli_citud '!S19="","",'Soli_citud '!S19&lt;=0,"",'Soli_citud '!S19&gt;0,'Soli_citud '!S19)</f>
        <v>17010</v>
      </c>
      <c r="I21" s="214">
        <v>45888</v>
      </c>
      <c r="J21" s="216">
        <v>17010</v>
      </c>
      <c r="K21" s="197" t="str" cm="1">
        <f t="array" ref="K21">IFERROR(_xlfn.IFS(H21="","",J21=H21,"Cumplido",J21&lt;H21,H21-J21,J21&gt;H21,"Revisar"),"")</f>
        <v>Cumplido</v>
      </c>
      <c r="L21" s="408" t="s">
        <v>1392</v>
      </c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82</v>
      </c>
      <c r="F1" s="505"/>
      <c r="H1" s="278" t="s">
        <v>83</v>
      </c>
      <c r="Z1" s="241" t="s">
        <v>84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32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32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32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32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32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32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32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32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32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32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32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32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32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26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26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26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26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26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26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26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26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26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26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26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26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26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26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26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26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26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26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26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26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26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26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26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27</v>
      </c>
      <c r="C637" s="205" t="s">
        <v>26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26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479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900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50</v>
      </c>
      <c r="D1120" s="143" t="s">
        <v>234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50</v>
      </c>
      <c r="D1121" s="143" t="s">
        <v>234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50</v>
      </c>
      <c r="D1122" s="143" t="s">
        <v>234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50</v>
      </c>
      <c r="D1123" s="143" t="s">
        <v>234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50</v>
      </c>
      <c r="D1124" s="143" t="s">
        <v>234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50</v>
      </c>
      <c r="D1125" s="143" t="s">
        <v>234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50</v>
      </c>
      <c r="D1141" s="48" t="s">
        <v>234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950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1055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104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456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211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1128</v>
      </c>
      <c r="C1418" s="205" t="s">
        <v>48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48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48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48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48</v>
      </c>
      <c r="D1447" s="48" t="s">
        <v>1089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48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48</v>
      </c>
      <c r="D1478" s="48" t="s">
        <v>1089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48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48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48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32</v>
      </c>
    </row>
    <row r="3" spans="1:26" outlineLevel="1">
      <c r="A3" s="3" t="s">
        <v>1314</v>
      </c>
      <c r="B3" s="5" t="s">
        <v>211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26</v>
      </c>
    </row>
    <row r="4" spans="1:26" outlineLevel="1">
      <c r="A4" s="2" t="s">
        <v>1319</v>
      </c>
      <c r="B4" s="5" t="s">
        <v>235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40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338</v>
      </c>
      <c r="B6" s="5" t="s">
        <v>338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232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50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52</v>
      </c>
    </row>
    <row r="10" spans="1:26" outlineLevel="1">
      <c r="A10" s="2" t="s">
        <v>1348</v>
      </c>
      <c r="B10" s="5" t="s">
        <v>98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117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48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456</v>
      </c>
      <c r="B13" s="5" t="s">
        <v>456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237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442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234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99</v>
      </c>
      <c r="H21" s="22" t="s">
        <v>1375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203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169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104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2025-08-19T18:57:14Z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2025-08-12T15:02:43Z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0d31a2f7-96a7-488f-8c34-a912b3f355cb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