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tabRatio="769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12_19" sheetId="16" r:id="rId10"/>
    <sheet name="Methane Standard Curve" sheetId="6" r:id="rId11"/>
    <sheet name="Compilation" sheetId="8" r:id="rId12"/>
    <sheet name="12_01_Summary of Results" sheetId="10" r:id="rId13"/>
    <sheet name="11_5" sheetId="4" r:id="rId14"/>
  </sheets>
  <calcPr calcId="145621"/>
</workbook>
</file>

<file path=xl/calcChain.xml><?xml version="1.0" encoding="utf-8"?>
<calcChain xmlns="http://schemas.openxmlformats.org/spreadsheetml/2006/main">
  <c r="F30" i="15" l="1"/>
  <c r="F30" i="16"/>
  <c r="I10" i="14"/>
  <c r="H10" i="14"/>
  <c r="G10" i="14"/>
  <c r="F10" i="14"/>
  <c r="E10" i="16"/>
  <c r="C5" i="16"/>
  <c r="D5" i="16"/>
  <c r="E5" i="16" s="1"/>
  <c r="C6" i="16"/>
  <c r="D6" i="16" s="1"/>
  <c r="E6" i="16" s="1"/>
  <c r="A6" i="16"/>
  <c r="A5" i="16"/>
  <c r="F4" i="16" l="1"/>
  <c r="F21" i="16"/>
  <c r="F24" i="16" s="1"/>
  <c r="F20" i="16"/>
  <c r="F23" i="16" s="1"/>
  <c r="B18" i="16"/>
  <c r="B17" i="16"/>
  <c r="B16" i="16"/>
  <c r="B15" i="16"/>
  <c r="B14" i="16"/>
  <c r="C4" i="16"/>
  <c r="D4" i="16" s="1"/>
  <c r="E4" i="16" s="1"/>
  <c r="E9" i="16" s="1"/>
  <c r="B20" i="16" l="1"/>
  <c r="B21" i="16" s="1"/>
  <c r="F9" i="16"/>
  <c r="B19" i="16"/>
  <c r="B25" i="16" s="1"/>
  <c r="B26" i="16" s="1"/>
  <c r="B27" i="16" s="1"/>
  <c r="F22" i="16"/>
  <c r="F25" i="16" s="1"/>
  <c r="F34" i="15"/>
  <c r="F28" i="2"/>
  <c r="F31" i="2" s="1"/>
  <c r="F29" i="2"/>
  <c r="F31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31" i="5" s="1"/>
  <c r="F23" i="5"/>
  <c r="F22" i="5"/>
  <c r="F26" i="3"/>
  <c r="F32" i="3" s="1"/>
  <c r="F24" i="3"/>
  <c r="F23" i="3"/>
  <c r="F22" i="2"/>
  <c r="F23" i="2"/>
  <c r="F25" i="2"/>
  <c r="F32" i="1"/>
  <c r="F47" i="1"/>
  <c r="F46" i="1"/>
  <c r="F45" i="1"/>
  <c r="F38" i="1"/>
  <c r="F39" i="1"/>
  <c r="E36" i="1"/>
  <c r="F36" i="1"/>
  <c r="F31" i="1"/>
  <c r="F29" i="1"/>
  <c r="F28" i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C28" i="16" l="1"/>
  <c r="B28" i="16"/>
  <c r="B30" i="16" s="1"/>
  <c r="F27" i="16"/>
  <c r="F33" i="11"/>
  <c r="F31" i="7"/>
  <c r="F34" i="12"/>
  <c r="F34" i="11"/>
  <c r="F32" i="7"/>
  <c r="F32" i="5"/>
  <c r="F33" i="3"/>
  <c r="F32" i="2"/>
  <c r="G9" i="14"/>
  <c r="H9" i="14" s="1"/>
  <c r="F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F28" i="16" l="1"/>
  <c r="F31" i="16" s="1"/>
  <c r="F33" i="16"/>
  <c r="B20" i="15"/>
  <c r="E9" i="15"/>
  <c r="F9" i="15" s="1"/>
  <c r="B25" i="15"/>
  <c r="I15" i="14"/>
  <c r="H15" i="14"/>
  <c r="F34" i="16" l="1"/>
  <c r="B26" i="15"/>
  <c r="B27" i="15" s="1"/>
  <c r="I16" i="14"/>
  <c r="F2" i="14"/>
  <c r="G2" i="14"/>
  <c r="H2" i="14"/>
  <c r="I2" i="14"/>
  <c r="J2" i="14" s="1"/>
  <c r="J3" i="14"/>
  <c r="J4" i="14"/>
  <c r="J5" i="14"/>
  <c r="J6" i="14"/>
  <c r="J7" i="14"/>
  <c r="J8" i="14"/>
  <c r="I3" i="14"/>
  <c r="I4" i="14"/>
  <c r="I5" i="14"/>
  <c r="I6" i="14"/>
  <c r="I7" i="14"/>
  <c r="I8" i="14"/>
  <c r="I9" i="14"/>
  <c r="J9" i="14" s="1"/>
  <c r="C28" i="15" l="1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<sst xmlns="http://schemas.openxmlformats.org/spreadsheetml/2006/main" count="437" uniqueCount="102">
  <si>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</si>
  <si>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</si>
  <si>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</si>
  <si>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</si>
  <si>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</si>
  <si>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</si>
  <si>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</si>
  <si>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</si>
  <si>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</si>
  <si>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</si>
  <si>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</si>
  <si>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</si>
  <si>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</si>
  <si>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</si>
  <si>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</si>
  <si>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</si>
  <si>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</si>
  <si>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</si>
  <si>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</si>
  <si>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</si>
  <si>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</si>
  <si>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</si>
  <si>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</si>
  <si>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</si>
  <si>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</si>
  <si>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</si>
  <si>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</si>
  <si>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</si>
  <si>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</si>
  <si>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</si>
  <si>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</si>
  <si>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</si>
  <si>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</si>
  <si>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</si>
  <si>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</si>
  <si>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</si>
  <si>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</si>
  <si>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</si>
  <si>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</si>
  <si>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</si>
  <si>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</si>
  <si>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</si>
  <si>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</si>
  <si>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</si>
  <si>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</si>
  <si>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</si>
  <si>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</si>
  <si>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</si>
  <si>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</si>
  <si>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</si>
  <si>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</si>
  <si>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</si>
  <si>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</si>
  <si>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</si>
  <si>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</si>
  <si>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</si>
  <si>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</si>
  <si>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</si>
  <si>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</si>
  <si>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</si>
  <si>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</si>
  <si>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</si>
  <si>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</si>
  <si>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</si>
  <si>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</si>
  <si>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</si>
  <si>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</si>
  <si>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</si>
  <si>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</si>
  <si>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</si>
  <si>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</si>
  <si>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</si>
  <si>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</si>
  <si>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</si>
  <si>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</si>
  <si>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</si>
  <si>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</si>
  <si>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</si>
  <si>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</si>
  <si>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</si>
  <si>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</si>
  <si>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</si>
  <si>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</si>
  <si>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</si>
  <si>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</si>
  <si>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</si>
  <si>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Model Values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</si>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</sst>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Compilation'!$I$3:$I$9</c:f>
              <c:numCache>
                <c:formatCode>0.00</c:formatCode>
                <c:ptCount val="7"/>
                <c:pt idx="0">
                  <c:v>48.340161938759181</c:v>
                </c:pt>
                <c:pt idx="1">
                  <c:v>44.105816683252677</c:v>
                </c:pt>
                <c:pt idx="2">
                  <c:v>28.395384527843461</c:v>
                </c:pt>
                <c:pt idx="3">
                  <c:v>41.132831366988491</c:v>
                </c:pt>
                <c:pt idx="4">
                  <c:v>28.116969705221639</c:v>
                </c:pt>
                <c:pt idx="5">
                  <c:v>34.869502561398797</c:v>
                </c:pt>
                <c:pt idx="6">
                  <c:v>36.309778137512282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9760"/>
        <c:axId val="153768320"/>
      </c:scatterChart>
      <c:valAx>
        <c:axId val="1537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3768320"/>
        <c:crosses val="autoZero"/>
        <c:crossBetween val="midCat"/>
      </c:valAx>
      <c:valAx>
        <c:axId val="1537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74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2.6932851089400507</c:v>
                </c:pt>
                <c:pt idx="1">
                  <c:v>2.9181809328892121</c:v>
                </c:pt>
                <c:pt idx="2">
                  <c:v>2.3642889846525779</c:v>
                </c:pt>
                <c:pt idx="3">
                  <c:v>2.4722779764312817</c:v>
                </c:pt>
                <c:pt idx="4">
                  <c:v>2.3484803688734086</c:v>
                </c:pt>
                <c:pt idx="5">
                  <c:v>2.4921283100919336</c:v>
                </c:pt>
                <c:pt idx="6">
                  <c:v>2.3341342382412682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97376"/>
        <c:axId val="153798912"/>
      </c:scatterChart>
      <c:valAx>
        <c:axId val="15379737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53798912"/>
        <c:crosses val="autoZero"/>
        <c:crossBetween val="midCat"/>
      </c:valAx>
      <c:valAx>
        <c:axId val="153798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379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0816"/>
        <c:axId val="154372352"/>
      </c:scatterChart>
      <c:valAx>
        <c:axId val="1543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372352"/>
        <c:crosses val="autoZero"/>
        <c:crossBetween val="midCat"/>
      </c:valAx>
      <c:valAx>
        <c:axId val="154372352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37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9504"/>
        <c:axId val="154411776"/>
      </c:scatterChart>
      <c:valAx>
        <c:axId val="1543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11776"/>
        <c:crosses val="autoZero"/>
        <c:crossBetween val="midCat"/>
      </c:valAx>
      <c:valAx>
        <c:axId val="1544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5584"/>
        <c:axId val="154437120"/>
      </c:scatterChart>
      <c:valAx>
        <c:axId val="1544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37120"/>
        <c:crosses val="autoZero"/>
        <c:crossBetween val="midCat"/>
      </c:valAx>
      <c:valAx>
        <c:axId val="1544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3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5328"/>
        <c:axId val="154521600"/>
      </c:scatterChart>
      <c:valAx>
        <c:axId val="1545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21600"/>
        <c:crosses val="autoZero"/>
        <c:crossBetween val="midCat"/>
      </c:valAx>
      <c:valAx>
        <c:axId val="15452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1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4368"/>
        <c:axId val="154556288"/>
      </c:scatterChart>
      <c:valAx>
        <c:axId val="1545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56288"/>
        <c:crosses val="autoZero"/>
        <c:crossBetween val="midCat"/>
      </c:valAx>
      <c:valAx>
        <c:axId val="1545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5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4" sqref="E14"/>
    </sheetView>
  </sheetViews>
  <sheetFormatPr defaultColWidth="9.109375" defaultRowHeight="14.4" x14ac:dyDescent="0.3"/>
  <cols>
    <col min="1" max="1" width="12.5546875" style="16" bestFit="1" customWidth="1"/>
    <col min="2" max="2" width="9.109375" style="16"/>
    <col min="3" max="3" width="19" style="16" customWidth="1"/>
    <col min="4" max="4" width="18.6640625" style="16" bestFit="1" customWidth="1"/>
    <col min="5" max="5" width="9.5546875" style="16" bestFit="1" customWidth="1"/>
    <col min="6" max="6" width="11" style="16" bestFit="1" customWidth="1"/>
    <col min="7" max="7" width="22.109375" style="16" customWidth="1"/>
    <col min="8" max="8" width="9.109375" style="16"/>
    <col min="9" max="9" width="24" style="16" bestFit="1" customWidth="1"/>
    <col min="10" max="10" width="12" style="16" bestFit="1" customWidth="1"/>
    <col min="11" max="16384" width="9.109375" style="16"/>
  </cols>
  <sheetData>
    <row r="1" spans="1:11" ht="15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83</v>
      </c>
      <c r="H1" s="16" t="s">
        <v>43</v>
      </c>
      <c r="I1" s="16" t="s">
        <v>84</v>
      </c>
      <c r="J1" s="16" t="s">
        <v>85</v>
      </c>
    </row>
    <row r="2" spans="1:11" s="39" customFormat="1" x14ac:dyDescent="0.3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2.2700352806044126</v>
      </c>
      <c r="I2" s="42">
        <f>G2*60/22.4/B2/$B$18</f>
        <v>51.727234197410638</v>
      </c>
      <c r="J2" s="41">
        <f>C2*1000/I2</f>
        <v>1.5734685545225526</v>
      </c>
      <c r="K2" s="43" t="s">
        <v>88</v>
      </c>
    </row>
    <row r="3" spans="1:11" ht="15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10" si="0">F3*D3</f>
        <v>5.9303865354987968</v>
      </c>
      <c r="H3" s="27">
        <f t="shared" ref="H3:H10" si="1">B3/G3*$B$18*C3/LN(2)*22400/60</f>
        <v>2.6932851089400507</v>
      </c>
      <c r="I3" s="28">
        <f t="shared" ref="I3:I10" si="2">G3*60/22.4/B3/$B$18</f>
        <v>48.340161938759181</v>
      </c>
      <c r="J3" s="27">
        <f t="shared" ref="J3:J8" si="3">C3*1000/I3</f>
        <v>1.8668429797058812</v>
      </c>
    </row>
    <row r="4" spans="1:11" ht="15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48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2.9181809328892121</v>
      </c>
      <c r="I4" s="28">
        <f t="shared" si="2"/>
        <v>44.105816683252677</v>
      </c>
      <c r="J4" s="27">
        <f t="shared" si="3"/>
        <v>2.022728885995948</v>
      </c>
    </row>
    <row r="5" spans="1:11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48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2.3642889846525779</v>
      </c>
      <c r="I5" s="28">
        <f t="shared" si="2"/>
        <v>28.395384527843461</v>
      </c>
      <c r="J5" s="27">
        <f t="shared" si="3"/>
        <v>1.6388002437408702</v>
      </c>
    </row>
    <row r="6" spans="1:11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49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2.4722779764312817</v>
      </c>
      <c r="I6" s="28">
        <f t="shared" si="2"/>
        <v>41.132831366988491</v>
      </c>
      <c r="J6" s="27">
        <f t="shared" si="3"/>
        <v>1.7136525089237895</v>
      </c>
    </row>
    <row r="7" spans="1:11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49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2.3484803688734086</v>
      </c>
      <c r="I7" s="28">
        <f t="shared" si="2"/>
        <v>28.116969705221639</v>
      </c>
      <c r="J7" s="27">
        <f t="shared" si="3"/>
        <v>1.6278425462849835</v>
      </c>
    </row>
    <row r="8" spans="1:11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49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2.4921283100919336</v>
      </c>
      <c r="I8" s="28">
        <f t="shared" si="2"/>
        <v>34.869502561398797</v>
      </c>
      <c r="J8" s="27">
        <f t="shared" si="3"/>
        <v>1.7274117117338446</v>
      </c>
    </row>
    <row r="9" spans="1:11" x14ac:dyDescent="0.3">
      <c r="A9" s="29">
        <v>42349</v>
      </c>
      <c r="B9" s="30">
        <v>0.85</v>
      </c>
      <c r="C9" s="31">
        <v>5.8745537990821016E-2</v>
      </c>
      <c r="D9" s="32">
        <v>246.67193413123064</v>
      </c>
      <c r="E9" s="49">
        <v>13217</v>
      </c>
      <c r="F9" s="33">
        <f>E9*'Methane Standard Curve'!$B$13+'Methane Standard Curve'!$C$13</f>
        <v>2.2841699247669878E-2</v>
      </c>
      <c r="G9" s="34">
        <f t="shared" si="0"/>
        <v>5.634406132266605</v>
      </c>
      <c r="H9" s="27">
        <f t="shared" si="1"/>
        <v>2.3341342382412682</v>
      </c>
      <c r="I9" s="28">
        <f t="shared" si="2"/>
        <v>36.309778137512282</v>
      </c>
      <c r="J9" s="27">
        <f>C9*1000/I9</f>
        <v>1.6178985662853707</v>
      </c>
    </row>
    <row r="10" spans="1:11" x14ac:dyDescent="0.3">
      <c r="A10" s="29">
        <v>42357</v>
      </c>
      <c r="B10" s="30">
        <v>0.79200000000000004</v>
      </c>
      <c r="C10" s="31">
        <v>0.12726841839229042</v>
      </c>
      <c r="D10" s="32">
        <v>243.4311472889091</v>
      </c>
      <c r="E10" s="49">
        <v>22776.833333333332</v>
      </c>
      <c r="F10" s="33">
        <f>E10*'Methane Standard Curve'!$B$13+'Methane Standard Curve'!$C$13</f>
        <v>3.8589589759426501E-2</v>
      </c>
      <c r="G10" s="34">
        <f t="shared" si="0"/>
        <v>9.3939081085455314</v>
      </c>
      <c r="H10" s="27">
        <f t="shared" si="1"/>
        <v>2.826048995915547</v>
      </c>
      <c r="I10" s="28">
        <f t="shared" si="2"/>
        <v>64.970393769431354</v>
      </c>
    </row>
    <row r="11" spans="1:11" x14ac:dyDescent="0.3">
      <c r="D11" s="30"/>
      <c r="E11" s="30"/>
      <c r="F11" s="30"/>
      <c r="G11" s="30"/>
    </row>
    <row r="12" spans="1:11" x14ac:dyDescent="0.3">
      <c r="D12" s="30"/>
      <c r="E12" s="30"/>
      <c r="F12" s="30"/>
      <c r="G12" s="30"/>
    </row>
    <row r="14" spans="1:11" ht="15" x14ac:dyDescent="0.25">
      <c r="I14" s="16" t="s">
        <v>72</v>
      </c>
    </row>
    <row r="15" spans="1:11" ht="15" x14ac:dyDescent="0.25">
      <c r="A15" s="16" t="s">
        <v>79</v>
      </c>
      <c r="B15" s="16">
        <v>0.68</v>
      </c>
      <c r="C15" s="16">
        <v>8.3000000000000004E-2</v>
      </c>
      <c r="D15" s="16" t="s">
        <v>76</v>
      </c>
      <c r="E15" s="16" t="s">
        <v>76</v>
      </c>
      <c r="F15" s="16" t="s">
        <v>76</v>
      </c>
      <c r="G15" s="16" t="s">
        <v>81</v>
      </c>
      <c r="H15" s="28">
        <f>2.86*B18/0.34</f>
        <v>4.11335294117647</v>
      </c>
      <c r="I15" s="28">
        <f>0.58*B18/0.34</f>
        <v>0.83417647058823519</v>
      </c>
      <c r="J15" s="16" t="s">
        <v>87</v>
      </c>
    </row>
    <row r="16" spans="1:11" ht="15" x14ac:dyDescent="0.25">
      <c r="A16" s="16" t="s">
        <v>86</v>
      </c>
      <c r="C16" s="16">
        <v>8.3000000000000004E-2</v>
      </c>
      <c r="G16" s="16" t="s">
        <v>82</v>
      </c>
      <c r="H16" s="28">
        <v>2.5950000000000002</v>
      </c>
      <c r="I16" s="28">
        <f>C16*SLOPE(I2:I8,C2:C8)+INTERCEPT(I2:I8,C2:C8)</f>
        <v>45.951016882770382</v>
      </c>
    </row>
    <row r="18" spans="1:2" x14ac:dyDescent="0.3">
      <c r="A18" s="16" t="s">
        <v>80</v>
      </c>
      <c r="B18" s="16">
        <v>0.48899999999999999</v>
      </c>
    </row>
    <row r="19" spans="1:2" x14ac:dyDescent="0.3">
      <c r="A19" s="44" t="s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B2" sqref="B2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0.79200000000000004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3</v>
      </c>
    </row>
    <row r="4" spans="1:6" x14ac:dyDescent="0.3">
      <c r="A4" s="6">
        <v>22</v>
      </c>
      <c r="B4" s="6">
        <v>7.4</v>
      </c>
      <c r="C4" s="6">
        <f>B4/2.65</f>
        <v>2.7924528301886795</v>
      </c>
      <c r="D4" s="6">
        <f>A4/C4</f>
        <v>7.8783783783783772</v>
      </c>
      <c r="E4" s="6">
        <f>1/D4</f>
        <v>0.12692967409948544</v>
      </c>
      <c r="F4">
        <f>1/E4</f>
        <v>7.8783783783783772</v>
      </c>
    </row>
    <row r="5" spans="1:6" x14ac:dyDescent="0.3">
      <c r="A5">
        <f>18+45/60</f>
        <v>18.75</v>
      </c>
      <c r="B5">
        <v>6.55</v>
      </c>
      <c r="C5" s="6">
        <f t="shared" ref="C5:C6" si="0">B5/2.65</f>
        <v>2.4716981132075473</v>
      </c>
      <c r="D5" s="6">
        <f t="shared" ref="D5:D6" si="1">A5/C5</f>
        <v>7.5858778625954191</v>
      </c>
      <c r="E5" s="6">
        <f t="shared" ref="E5:E6" si="2">1/D5</f>
        <v>0.1318238993710692</v>
      </c>
    </row>
    <row r="6" spans="1:6" x14ac:dyDescent="0.3">
      <c r="A6">
        <f>9+12/60</f>
        <v>9.1999999999999993</v>
      </c>
      <c r="B6">
        <v>3</v>
      </c>
      <c r="C6" s="6">
        <f t="shared" si="0"/>
        <v>1.1320754716981132</v>
      </c>
      <c r="D6" s="6">
        <f t="shared" si="1"/>
        <v>8.1266666666666669</v>
      </c>
      <c r="E6" s="6">
        <f t="shared" si="2"/>
        <v>0.12305168170631665</v>
      </c>
      <c r="F6" t="s">
        <v>49</v>
      </c>
    </row>
    <row r="7" spans="1:6" x14ac:dyDescent="0.3">
      <c r="C7" s="6"/>
      <c r="D7" s="6"/>
      <c r="E7" s="6"/>
    </row>
    <row r="8" spans="1:6" ht="15" thickBot="1" x14ac:dyDescent="0.35"/>
    <row r="9" spans="1:6" x14ac:dyDescent="0.3">
      <c r="D9" s="2" t="s">
        <v>5</v>
      </c>
      <c r="E9" s="3">
        <f>AVERAGE(E4:E8)</f>
        <v>0.12726841839229042</v>
      </c>
      <c r="F9">
        <f>60*LN(2)/E9</f>
        <v>326.78044843304235</v>
      </c>
    </row>
    <row r="10" spans="1:6" ht="15" thickBot="1" x14ac:dyDescent="0.35">
      <c r="D10" s="4" t="s">
        <v>17</v>
      </c>
      <c r="E10" s="5">
        <f>STDEV(E4:E7)</f>
        <v>4.3959084910152645E-3</v>
      </c>
    </row>
    <row r="11" spans="1:6" x14ac:dyDescent="0.3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12.28</v>
      </c>
      <c r="B14">
        <f>50/A14*60</f>
        <v>244.29967426710098</v>
      </c>
      <c r="F14">
        <v>21951</v>
      </c>
    </row>
    <row r="15" spans="1:6" x14ac:dyDescent="0.3">
      <c r="A15">
        <v>12.24</v>
      </c>
      <c r="B15">
        <f t="shared" ref="B15:B18" si="3">50/A15*60</f>
        <v>245.09803921568624</v>
      </c>
      <c r="F15">
        <v>22085</v>
      </c>
    </row>
    <row r="16" spans="1:6" x14ac:dyDescent="0.3">
      <c r="A16">
        <v>12.09</v>
      </c>
      <c r="B16">
        <f t="shared" si="3"/>
        <v>248.13895781637717</v>
      </c>
      <c r="F16">
        <v>23109</v>
      </c>
    </row>
    <row r="17" spans="1:6" x14ac:dyDescent="0.3">
      <c r="A17">
        <v>12.54</v>
      </c>
      <c r="B17">
        <f t="shared" si="3"/>
        <v>239.23444976076556</v>
      </c>
      <c r="F17">
        <v>22721</v>
      </c>
    </row>
    <row r="18" spans="1:6" ht="15" thickBot="1" x14ac:dyDescent="0.35">
      <c r="A18">
        <v>12.48</v>
      </c>
      <c r="B18">
        <f t="shared" si="3"/>
        <v>240.38461538461539</v>
      </c>
      <c r="F18">
        <v>23847</v>
      </c>
    </row>
    <row r="19" spans="1:6" ht="15" thickBot="1" x14ac:dyDescent="0.35">
      <c r="A19" s="2" t="s">
        <v>13</v>
      </c>
      <c r="B19" s="3">
        <f>AVERAGE(B14:B18)</f>
        <v>243.4311472889091</v>
      </c>
      <c r="F19">
        <v>22948</v>
      </c>
    </row>
    <row r="20" spans="1:6" ht="15" thickBot="1" x14ac:dyDescent="0.35">
      <c r="A20" s="4" t="s">
        <v>14</v>
      </c>
      <c r="B20" s="5">
        <f>STDEV(B14:B18)</f>
        <v>3.6259472747320367</v>
      </c>
      <c r="E20" s="2" t="s">
        <v>13</v>
      </c>
      <c r="F20" s="3">
        <f>AVERAGE(F14:F19)</f>
        <v>22776.833333333332</v>
      </c>
    </row>
    <row r="21" spans="1:6" ht="15" thickBot="1" x14ac:dyDescent="0.35">
      <c r="A21" t="s">
        <v>89</v>
      </c>
      <c r="B21">
        <f>0.95*B20/SQRT(COUNT(B14:B18))</f>
        <v>1.5404942719348784</v>
      </c>
      <c r="E21" s="4" t="s">
        <v>15</v>
      </c>
      <c r="F21" s="5">
        <f>STDEV(F14:F19)</f>
        <v>699.80580639679363</v>
      </c>
    </row>
    <row r="22" spans="1:6" x14ac:dyDescent="0.3">
      <c r="E22" t="s">
        <v>89</v>
      </c>
      <c r="F22">
        <f>0.95*F21/SQRT(COUNT(F14:F19))</f>
        <v>271.40979791226732</v>
      </c>
    </row>
    <row r="23" spans="1:6" x14ac:dyDescent="0.3">
      <c r="E23" t="s">
        <v>29</v>
      </c>
      <c r="F23" s="15">
        <f>F20*'Methane Standard Curve'!B13+'Methane Standard Curve'!C13</f>
        <v>3.8589589759426501E-2</v>
      </c>
    </row>
    <row r="24" spans="1:6" x14ac:dyDescent="0.3">
      <c r="E24" t="s">
        <v>15</v>
      </c>
      <c r="F24">
        <f>F21*'Methane Standard Curve'!$B$13+'Methane Standard Curve'!$C$13</f>
        <v>2.2221552867996725E-3</v>
      </c>
    </row>
    <row r="25" spans="1:6" x14ac:dyDescent="0.3">
      <c r="A25" t="s">
        <v>33</v>
      </c>
      <c r="B25">
        <f>B19*F23</f>
        <v>9.3939081085455314</v>
      </c>
      <c r="E25" t="s">
        <v>89</v>
      </c>
      <c r="F25">
        <f>F22*'Methane Standard Curve'!$B$13+'Methane Standard Curve'!$C$13</f>
        <v>1.5164595699334914E-3</v>
      </c>
    </row>
    <row r="26" spans="1:6" x14ac:dyDescent="0.3">
      <c r="A26" t="s">
        <v>34</v>
      </c>
      <c r="B26">
        <f>B25/22.4</f>
        <v>0.41937089770292552</v>
      </c>
    </row>
    <row r="27" spans="1:6" ht="15" thickBot="1" x14ac:dyDescent="0.35">
      <c r="A27" t="s">
        <v>35</v>
      </c>
      <c r="B27">
        <f>B26*60</f>
        <v>25.162253862175533</v>
      </c>
      <c r="C27" t="s">
        <v>44</v>
      </c>
      <c r="E27" t="s">
        <v>91</v>
      </c>
      <c r="F27">
        <f>F23*B19</f>
        <v>9.3939081085455314</v>
      </c>
    </row>
    <row r="28" spans="1:6" ht="15" thickBot="1" x14ac:dyDescent="0.35">
      <c r="A28" t="s">
        <v>36</v>
      </c>
      <c r="B28" s="10">
        <f>B27/(B1*0.66)</f>
        <v>48.137155383715047</v>
      </c>
      <c r="C28">
        <f>B27/(B1*0.34)</f>
        <v>93.442713391917451</v>
      </c>
      <c r="E28" t="s">
        <v>92</v>
      </c>
      <c r="F28">
        <f>F27*SQRT((B21/B19)^2+(F25/F23)^2)</f>
        <v>0.37390941702481617</v>
      </c>
    </row>
    <row r="30" spans="1:6" x14ac:dyDescent="0.3">
      <c r="A30" t="s">
        <v>63</v>
      </c>
      <c r="B30">
        <f>B28*0.66/0.34</f>
        <v>93.442713391917437</v>
      </c>
      <c r="E30" s="16" t="s">
        <v>84</v>
      </c>
      <c r="F30">
        <f>F27*60/22.4/B1/'Neatened Compilation'!$B$18</f>
        <v>64.970393769431354</v>
      </c>
    </row>
    <row r="31" spans="1:6" x14ac:dyDescent="0.3">
      <c r="E31" t="s">
        <v>92</v>
      </c>
      <c r="F31">
        <f>F28*60/22.4/B1/'Neatened Compilation'!$B$18</f>
        <v>2.5860421219259879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2.8260489959155461</v>
      </c>
    </row>
    <row r="34" spans="5:6" ht="15" thickBot="1" x14ac:dyDescent="0.35">
      <c r="E34" s="4" t="s">
        <v>92</v>
      </c>
      <c r="F34" s="5">
        <f>F33*SQRT((E11/E9)^2+(F31/F30)^2)</f>
        <v>0.11248633905467881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ht="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5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5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5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5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5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5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5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5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ht="15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5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4.4" x14ac:dyDescent="0.3"/>
  <cols>
    <col min="2" max="2" width="12" bestFit="1" customWidth="1"/>
    <col min="6" max="6" width="14.6640625" bestFit="1" customWidth="1"/>
    <col min="7" max="7" width="18.44140625" bestFit="1" customWidth="1"/>
    <col min="8" max="8" width="26.332031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ht="15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ht="15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ht="15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ht="15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ht="15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ht="15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ht="15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ht="15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ht="15" x14ac:dyDescent="0.25">
      <c r="B13">
        <v>4.5769999558765734E-2</v>
      </c>
      <c r="C13">
        <v>20.832118463414211</v>
      </c>
    </row>
    <row r="14" spans="1:10" ht="15" x14ac:dyDescent="0.25">
      <c r="I14" t="s">
        <v>72</v>
      </c>
    </row>
    <row r="15" spans="1:10" ht="15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ht="15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ht="15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ht="15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ht="15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ht="15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ht="15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ht="15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ht="15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ht="15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ht="15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ht="15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ht="15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ht="15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ht="15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ht="15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ht="15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ht="15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ht="15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3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3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3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3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3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3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3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3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3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3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3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3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3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3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3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3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3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3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3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3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3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3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3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3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3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3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3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3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3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3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3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3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3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3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3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3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3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3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3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3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3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3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3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4.4" x14ac:dyDescent="0.3"/>
  <cols>
    <col min="2" max="2" width="17.88671875" bestFit="1" customWidth="1"/>
    <col min="3" max="3" width="20.33203125" bestFit="1" customWidth="1"/>
    <col min="4" max="4" width="16.6640625" bestFit="1" customWidth="1"/>
    <col min="5" max="5" width="12.5546875" customWidth="1"/>
  </cols>
  <sheetData>
    <row r="1" spans="1:5" x14ac:dyDescent="0.25">
      <c r="A1" s="45" t="s">
        <v>61</v>
      </c>
      <c r="B1" s="46"/>
      <c r="C1" s="46"/>
      <c r="D1" s="47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5" t="s">
        <v>56</v>
      </c>
      <c r="B9" s="46"/>
      <c r="C9" s="46"/>
      <c r="D9" s="46"/>
      <c r="E9" s="47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0.67200000000000004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5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5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12.48</v>
      </c>
      <c r="B12">
        <f>50/A12*60</f>
        <v>240.38461538461539</v>
      </c>
      <c r="F12">
        <v>13870</v>
      </c>
    </row>
    <row r="13" spans="1:6" ht="15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ht="15" x14ac:dyDescent="0.25">
      <c r="A14">
        <v>12.59</v>
      </c>
      <c r="B14">
        <f t="shared" si="3"/>
        <v>238.28435266084193</v>
      </c>
      <c r="F14">
        <v>14742</v>
      </c>
    </row>
    <row r="15" spans="1:6" ht="15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" thickBot="1" x14ac:dyDescent="0.35">
      <c r="A17" s="2" t="s">
        <v>13</v>
      </c>
      <c r="B17" s="3">
        <f>AVERAGE(B12:B16)</f>
        <v>240.20295091119186</v>
      </c>
    </row>
    <row r="18" spans="1:7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" thickBot="1" x14ac:dyDescent="0.35">
      <c r="E19" s="4" t="s">
        <v>15</v>
      </c>
      <c r="F19" s="5">
        <f>STDEV(F12:F16)</f>
        <v>547.65074028374454</v>
      </c>
    </row>
    <row r="21" spans="1:7" x14ac:dyDescent="0.3">
      <c r="E21" t="s">
        <v>29</v>
      </c>
      <c r="F21" s="15">
        <f>F18*'Methane Standard Curve'!B13+'Methane Standard Curve'!C13</f>
        <v>2.4950789275587283E-2</v>
      </c>
    </row>
    <row r="23" spans="1:7" x14ac:dyDescent="0.3">
      <c r="A23" t="s">
        <v>30</v>
      </c>
      <c r="B23">
        <f>B17*F21</f>
        <v>5.9932532115593844</v>
      </c>
    </row>
    <row r="24" spans="1:7" x14ac:dyDescent="0.3">
      <c r="A24" t="s">
        <v>31</v>
      </c>
      <c r="B24">
        <f>B23/22.4</f>
        <v>0.26755594694461537</v>
      </c>
    </row>
    <row r="25" spans="1:7" ht="15" thickBot="1" x14ac:dyDescent="0.35">
      <c r="A25" t="s">
        <v>32</v>
      </c>
      <c r="B25">
        <f>B24*60</f>
        <v>16.053356816676924</v>
      </c>
    </row>
    <row r="26" spans="1:7" ht="15" thickBot="1" x14ac:dyDescent="0.35">
      <c r="A26" t="s">
        <v>36</v>
      </c>
      <c r="B26" s="10">
        <f>B25/(B1*0.66)</f>
        <v>36.195339142940391</v>
      </c>
    </row>
    <row r="28" spans="1:7" x14ac:dyDescent="0.3">
      <c r="A28" t="s">
        <v>63</v>
      </c>
      <c r="B28">
        <f>B26*0.66/0.34</f>
        <v>70.261540689237222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workbookViewId="0">
      <selection activeCell="E22" sqref="E22:F32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ht="15" x14ac:dyDescent="0.25">
      <c r="A1" t="s">
        <v>18</v>
      </c>
      <c r="B1">
        <v>0.626</v>
      </c>
    </row>
    <row r="2" spans="1:7" ht="15" x14ac:dyDescent="0.25">
      <c r="A2" t="s">
        <v>7</v>
      </c>
    </row>
    <row r="3" spans="1:7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5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ht="15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5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ht="15" x14ac:dyDescent="0.25">
      <c r="D9" t="s">
        <v>90</v>
      </c>
      <c r="E9">
        <f>0.95*E8/SQRT(COUNT(E4:E6))</f>
        <v>1.0240027914060459E-3</v>
      </c>
    </row>
    <row r="10" spans="1:7" ht="15" x14ac:dyDescent="0.25">
      <c r="A10" t="s">
        <v>8</v>
      </c>
      <c r="F10" t="s">
        <v>11</v>
      </c>
    </row>
    <row r="11" spans="1:7" ht="15" x14ac:dyDescent="0.25">
      <c r="A11" t="s">
        <v>9</v>
      </c>
      <c r="B11" t="s">
        <v>10</v>
      </c>
      <c r="F11" t="s">
        <v>12</v>
      </c>
    </row>
    <row r="12" spans="1:7" ht="15" x14ac:dyDescent="0.25">
      <c r="A12">
        <v>12.84</v>
      </c>
      <c r="B12">
        <f>50/A12*60</f>
        <v>233.64485981308411</v>
      </c>
      <c r="F12">
        <v>14540</v>
      </c>
    </row>
    <row r="13" spans="1:7" ht="15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ht="15" x14ac:dyDescent="0.25">
      <c r="A14">
        <v>12.55</v>
      </c>
      <c r="B14">
        <f t="shared" si="3"/>
        <v>239.04382470119521</v>
      </c>
      <c r="F14">
        <v>14693</v>
      </c>
    </row>
    <row r="15" spans="1:7" ht="15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A19" t="s">
        <v>89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x14ac:dyDescent="0.3">
      <c r="E20" t="s">
        <v>89</v>
      </c>
      <c r="F20">
        <f>0.95*F19/SQRT(COUNT(F12:F17))</f>
        <v>109.53050944828112</v>
      </c>
    </row>
    <row r="21" spans="1:6" x14ac:dyDescent="0.3">
      <c r="E21" t="s">
        <v>29</v>
      </c>
      <c r="F21" s="15">
        <f>F18*'Methane Standard Curve'!B13+'Methane Standard Curve'!C13</f>
        <v>2.4971655045194385E-2</v>
      </c>
    </row>
    <row r="22" spans="1:6" x14ac:dyDescent="0.3">
      <c r="E22" t="s">
        <v>15</v>
      </c>
      <c r="F22">
        <f>F19*'Methane Standard Curve'!B13+'Methane Standard Curve'!C13</f>
        <v>1.3983276962358229E-3</v>
      </c>
    </row>
    <row r="23" spans="1:6" x14ac:dyDescent="0.3">
      <c r="A23" t="s">
        <v>30</v>
      </c>
      <c r="B23">
        <f>B17*F21</f>
        <v>5.9115207457996322</v>
      </c>
      <c r="E23" t="s">
        <v>89</v>
      </c>
      <c r="F23">
        <f>F20*'Methane Standard Curve'!B13+'Methane Standard Curve'!C13</f>
        <v>1.2497962064663541E-3</v>
      </c>
    </row>
    <row r="24" spans="1:6" x14ac:dyDescent="0.3">
      <c r="A24" t="s">
        <v>31</v>
      </c>
      <c r="B24">
        <f>B23/22.4</f>
        <v>0.26390717615176928</v>
      </c>
    </row>
    <row r="25" spans="1:6" ht="15" thickBot="1" x14ac:dyDescent="0.35">
      <c r="A25" t="s">
        <v>32</v>
      </c>
      <c r="B25">
        <f>B24*60</f>
        <v>15.834430569106157</v>
      </c>
      <c r="E25" t="s">
        <v>91</v>
      </c>
      <c r="F25">
        <f>F21*B17</f>
        <v>5.9115207457996322</v>
      </c>
    </row>
    <row r="26" spans="1:6" ht="15" thickBot="1" x14ac:dyDescent="0.35">
      <c r="A26" t="s">
        <v>36</v>
      </c>
      <c r="B26" s="10">
        <f>B25/(B1*0.66)</f>
        <v>38.325178064445147</v>
      </c>
      <c r="E26" t="s">
        <v>92</v>
      </c>
      <c r="F26">
        <f>F25*SQRT((B19/B17)^2+(F23/F21)^2)</f>
        <v>0.29932359955532473</v>
      </c>
    </row>
    <row r="28" spans="1:6" x14ac:dyDescent="0.3">
      <c r="A28" t="s">
        <v>63</v>
      </c>
      <c r="B28">
        <f>B26*0.66/0.34</f>
        <v>74.395933889805278</v>
      </c>
      <c r="E28" s="16" t="s">
        <v>84</v>
      </c>
      <c r="F28">
        <f>F25*60/22.4/'10_22'!B1/'Neatened Compilation'!$B$18</f>
        <v>51.727234197410638</v>
      </c>
    </row>
    <row r="29" spans="1:6" x14ac:dyDescent="0.3">
      <c r="E29" t="s">
        <v>92</v>
      </c>
      <c r="F29">
        <f>F26*60/22.4/'10_22'!B1/'Neatened Compilation'!$B$18</f>
        <v>2.6191537847535504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2.2700352806044122</v>
      </c>
    </row>
    <row r="32" spans="1:6" ht="15" thickBot="1" x14ac:dyDescent="0.35">
      <c r="E32" s="4" t="s">
        <v>92</v>
      </c>
      <c r="F32" s="5">
        <f>F31*SQRT((E9/E7)^2+(F29/F28)^2)</f>
        <v>0.11843590032168816</v>
      </c>
    </row>
    <row r="35" spans="5:6" x14ac:dyDescent="0.3">
      <c r="E35" t="s">
        <v>95</v>
      </c>
      <c r="F35" t="s">
        <v>96</v>
      </c>
    </row>
    <row r="36" spans="5:6" x14ac:dyDescent="0.3">
      <c r="E36">
        <f>(F28/F29)^2 + (E7/E9)^2</f>
        <v>6707.6501906161229</v>
      </c>
      <c r="F36">
        <f>SQRT(E36)</f>
        <v>81.900245363589249</v>
      </c>
    </row>
    <row r="38" spans="5:6" x14ac:dyDescent="0.3">
      <c r="E38" t="s">
        <v>97</v>
      </c>
      <c r="F38">
        <f>F36*F31</f>
        <v>185.91644646550552</v>
      </c>
    </row>
    <row r="39" spans="5:6" x14ac:dyDescent="0.3">
      <c r="E39" t="s">
        <v>98</v>
      </c>
      <c r="F39">
        <f>F38/LN(2)</f>
        <v>268.22073533548325</v>
      </c>
    </row>
    <row r="45" spans="5:6" x14ac:dyDescent="0.3">
      <c r="E45" t="s">
        <v>99</v>
      </c>
      <c r="F45">
        <f>E7/F28</f>
        <v>1.5734685545225526E-3</v>
      </c>
    </row>
    <row r="46" spans="5:6" x14ac:dyDescent="0.3">
      <c r="E46" t="s">
        <v>100</v>
      </c>
      <c r="F46">
        <f>F45*SQRT((E9/E7)^2+(F29/F28)^2)</f>
        <v>8.2093510385056865E-5</v>
      </c>
    </row>
    <row r="47" spans="5:6" x14ac:dyDescent="0.3">
      <c r="E47" t="s">
        <v>101</v>
      </c>
      <c r="F47">
        <f>F46*1000/LN(2)</f>
        <v>0.11843590032168817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G45" sqref="G45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ht="15" x14ac:dyDescent="0.25">
      <c r="A1" t="s">
        <v>18</v>
      </c>
      <c r="B1">
        <v>0.67200000000000004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5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5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ht="15" x14ac:dyDescent="0.25">
      <c r="D9" t="s">
        <v>90</v>
      </c>
      <c r="E9">
        <f>0.95*E8/SQRT(COUNT(E4:E6))</f>
        <v>4.368753460886084E-3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12.25</v>
      </c>
      <c r="B12">
        <f>50/A12*60</f>
        <v>244.89795918367346</v>
      </c>
      <c r="F12">
        <v>14371</v>
      </c>
    </row>
    <row r="13" spans="1:6" ht="15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ht="15" x14ac:dyDescent="0.25">
      <c r="A14">
        <v>12.08</v>
      </c>
      <c r="B14">
        <f t="shared" si="3"/>
        <v>248.34437086092714</v>
      </c>
      <c r="F14">
        <v>11940</v>
      </c>
    </row>
    <row r="15" spans="1:6" ht="15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A19" t="s">
        <v>89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x14ac:dyDescent="0.3">
      <c r="E20" t="s">
        <v>89</v>
      </c>
      <c r="F20">
        <f>0.95*F19/SQRT(COUNT(F12:F17))</f>
        <v>483.39609043723135</v>
      </c>
    </row>
    <row r="21" spans="1:6" x14ac:dyDescent="0.3">
      <c r="E21" t="s">
        <v>29</v>
      </c>
      <c r="F21" s="15">
        <f>F18*'Methane Standard Curve'!B13+'Methane Standard Curve'!C13</f>
        <v>2.3830077808006077E-2</v>
      </c>
    </row>
    <row r="22" spans="1:6" x14ac:dyDescent="0.3">
      <c r="E22" t="s">
        <v>15</v>
      </c>
      <c r="F22">
        <f>F19*'Methane Standard Curve'!$B$13+'Methane Standard Curve'!$C$13</f>
        <v>2.9436560336797285E-3</v>
      </c>
    </row>
    <row r="23" spans="1:6" x14ac:dyDescent="0.3">
      <c r="A23" t="s">
        <v>30</v>
      </c>
      <c r="B23">
        <f>B17*F21</f>
        <v>5.9303865354987968</v>
      </c>
      <c r="E23" t="s">
        <v>89</v>
      </c>
      <c r="F23">
        <f>F20*'Methane Standard Curve'!$B$13+'Methane Standard Curve'!$C$13</f>
        <v>1.8656640809615438E-3</v>
      </c>
    </row>
    <row r="24" spans="1:6" x14ac:dyDescent="0.3">
      <c r="A24" t="s">
        <v>31</v>
      </c>
      <c r="B24">
        <f>B23/22.4</f>
        <v>0.26474939890619631</v>
      </c>
    </row>
    <row r="25" spans="1:6" ht="15" thickBot="1" x14ac:dyDescent="0.35">
      <c r="A25" t="s">
        <v>32</v>
      </c>
      <c r="B25">
        <f>B24*60</f>
        <v>15.884963934371779</v>
      </c>
      <c r="E25" t="s">
        <v>91</v>
      </c>
      <c r="F25">
        <f>F21*B17</f>
        <v>5.9303865354987968</v>
      </c>
    </row>
    <row r="26" spans="1:6" ht="15" thickBot="1" x14ac:dyDescent="0.35">
      <c r="A26" t="s">
        <v>36</v>
      </c>
      <c r="B26" s="10">
        <f>B25/(B1*0.66)</f>
        <v>35.815665436444306</v>
      </c>
      <c r="E26" t="s">
        <v>92</v>
      </c>
      <c r="F26">
        <f>F25*SQRT((B19/B17)^2+(F23/F21)^2)</f>
        <v>0.46788980159301863</v>
      </c>
    </row>
    <row r="28" spans="1:6" x14ac:dyDescent="0.3">
      <c r="A28" t="s">
        <v>63</v>
      </c>
      <c r="B28">
        <f>B26*0.66/0.34</f>
        <v>69.524527023686005</v>
      </c>
      <c r="E28" s="16" t="s">
        <v>84</v>
      </c>
      <c r="F28">
        <f>F25*60/22.4/B1/'Neatened Compilation'!$B$18</f>
        <v>48.340161938759181</v>
      </c>
    </row>
    <row r="29" spans="1:6" x14ac:dyDescent="0.3">
      <c r="E29" t="s">
        <v>92</v>
      </c>
      <c r="F29">
        <f>F26*60/22.4/B1/'Neatened Compilation'!$B$18</f>
        <v>3.8138945316821689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2.6932851089400507</v>
      </c>
    </row>
    <row r="32" spans="1:6" ht="15" thickBot="1" x14ac:dyDescent="0.35">
      <c r="E32" s="4" t="s">
        <v>92</v>
      </c>
      <c r="F32" s="5">
        <f>F31*SQRT((E9/E7)^2+(F29/F28)^2)</f>
        <v>0.24930479213507378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workbookViewId="0">
      <selection activeCell="C83" sqref="C83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0.71199999999999997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5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5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5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ht="15" x14ac:dyDescent="0.25">
      <c r="D10" t="s">
        <v>90</v>
      </c>
      <c r="E10">
        <f>0.95*E9/SQRT(COUNT(E4:E7))</f>
        <v>1.5315729850909079E-3</v>
      </c>
    </row>
    <row r="11" spans="1:6" ht="15" x14ac:dyDescent="0.25">
      <c r="A11" t="s">
        <v>8</v>
      </c>
      <c r="F11" t="s">
        <v>11</v>
      </c>
    </row>
    <row r="12" spans="1:6" ht="15" x14ac:dyDescent="0.25">
      <c r="A12" t="s">
        <v>9</v>
      </c>
      <c r="B12" t="s">
        <v>10</v>
      </c>
      <c r="F12" t="s">
        <v>12</v>
      </c>
    </row>
    <row r="13" spans="1:6" ht="15" x14ac:dyDescent="0.25">
      <c r="A13">
        <v>12.73</v>
      </c>
      <c r="B13">
        <f>50/A13*60</f>
        <v>235.66378633150038</v>
      </c>
      <c r="F13">
        <v>14866</v>
      </c>
    </row>
    <row r="14" spans="1:6" ht="15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ht="15" x14ac:dyDescent="0.25">
      <c r="A15">
        <v>12.77</v>
      </c>
      <c r="B15">
        <f t="shared" si="6"/>
        <v>234.92560689115115</v>
      </c>
      <c r="F15">
        <v>11486</v>
      </c>
    </row>
    <row r="16" spans="1:6" ht="15" x14ac:dyDescent="0.25">
      <c r="A16">
        <v>12.65</v>
      </c>
      <c r="B16">
        <f t="shared" si="6"/>
        <v>237.15415019762844</v>
      </c>
    </row>
    <row r="17" spans="1:6" ht="15" thickBot="1" x14ac:dyDescent="0.35">
      <c r="A17">
        <v>12.67</v>
      </c>
      <c r="B17">
        <f t="shared" si="6"/>
        <v>236.77979479084453</v>
      </c>
    </row>
    <row r="18" spans="1:6" ht="15" thickBot="1" x14ac:dyDescent="0.35">
      <c r="A18" s="2" t="s">
        <v>13</v>
      </c>
      <c r="B18" s="3">
        <f>AVERAGE(B13:B17)</f>
        <v>236.1487621304139</v>
      </c>
    </row>
    <row r="19" spans="1:6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" thickBot="1" x14ac:dyDescent="0.35">
      <c r="A20" t="s">
        <v>89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x14ac:dyDescent="0.3">
      <c r="E21" t="s">
        <v>89</v>
      </c>
      <c r="F21">
        <f>0.95*F20/SQRT(COUNT(F13:F18))</f>
        <v>1269.0184646454541</v>
      </c>
    </row>
    <row r="22" spans="1:6" x14ac:dyDescent="0.3">
      <c r="E22" t="s">
        <v>29</v>
      </c>
      <c r="F22" s="15">
        <f>F19*'Methane Standard Curve'!B13+'Methane Standard Curve'!C13</f>
        <v>2.4277044556958109E-2</v>
      </c>
    </row>
    <row r="23" spans="1:6" x14ac:dyDescent="0.3">
      <c r="E23" t="s">
        <v>15</v>
      </c>
      <c r="F23">
        <f>F20*'Methane Standard Curve'!$B$13+'Methane Standard Curve'!$C$13</f>
        <v>4.8807010370936696E-3</v>
      </c>
    </row>
    <row r="24" spans="1:6" x14ac:dyDescent="0.3">
      <c r="A24" t="s">
        <v>30</v>
      </c>
      <c r="B24">
        <f>B18*F22</f>
        <v>5.73299402031056</v>
      </c>
      <c r="E24" t="s">
        <v>89</v>
      </c>
      <c r="F24">
        <f>F21*'Methane Standard Curve'!$B$13+'Methane Standard Curve'!$C$13</f>
        <v>3.159817932941256E-3</v>
      </c>
    </row>
    <row r="25" spans="1:6" x14ac:dyDescent="0.3">
      <c r="A25" t="s">
        <v>31</v>
      </c>
      <c r="B25">
        <f>B24/22.4</f>
        <v>0.25593723304957861</v>
      </c>
    </row>
    <row r="26" spans="1:6" ht="15" thickBot="1" x14ac:dyDescent="0.35">
      <c r="A26" t="s">
        <v>32</v>
      </c>
      <c r="B26">
        <f>B25*60</f>
        <v>15.356233982974716</v>
      </c>
      <c r="E26" t="s">
        <v>91</v>
      </c>
      <c r="F26">
        <f>F22*B18</f>
        <v>5.73299402031056</v>
      </c>
    </row>
    <row r="27" spans="1:6" ht="15" thickBot="1" x14ac:dyDescent="0.35">
      <c r="A27" t="s">
        <v>36</v>
      </c>
      <c r="B27" s="10">
        <f>B26/(B1*0.66)</f>
        <v>32.678400542591753</v>
      </c>
      <c r="E27" t="s">
        <v>92</v>
      </c>
      <c r="F27">
        <f>F26*SQRT((B20/B18)^2+(F24/F22)^2)</f>
        <v>0.74624314643619483</v>
      </c>
    </row>
    <row r="29" spans="1:6" x14ac:dyDescent="0.3">
      <c r="E29" s="16" t="s">
        <v>84</v>
      </c>
      <c r="F29">
        <f>F26*60/22.4/B1/'Neatened Compilation'!$B$18</f>
        <v>44.105816683252677</v>
      </c>
    </row>
    <row r="30" spans="1:6" x14ac:dyDescent="0.3">
      <c r="E30" t="s">
        <v>92</v>
      </c>
      <c r="F30">
        <f>F27*60/22.4/B1/'Neatened Compilation'!$B$18</f>
        <v>5.741095019677962</v>
      </c>
    </row>
    <row r="31" spans="1:6" ht="15" thickBot="1" x14ac:dyDescent="0.35"/>
    <row r="32" spans="1:6" x14ac:dyDescent="0.3">
      <c r="E32" s="2" t="s">
        <v>94</v>
      </c>
      <c r="F32" s="3">
        <f>1000*E8/F29/LN(2)</f>
        <v>2.9181809328892117</v>
      </c>
    </row>
    <row r="33" spans="5:6" ht="15" thickBot="1" x14ac:dyDescent="0.35">
      <c r="E33" s="4" t="s">
        <v>92</v>
      </c>
      <c r="F33" s="5">
        <f>F32*SQRT((E10/E8)^2+(F30/F29)^2)</f>
        <v>0.3831384723103145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F28:F29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0.83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ht="15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ht="15" x14ac:dyDescent="0.25">
      <c r="D9" t="s">
        <v>90</v>
      </c>
      <c r="E9">
        <f>0.95*E8/SQRT(COUNT(E4:E6))</f>
        <v>0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12.8</v>
      </c>
      <c r="B12">
        <f>50/A12*60</f>
        <v>234.375</v>
      </c>
      <c r="F12">
        <v>10464</v>
      </c>
    </row>
    <row r="13" spans="1:6" ht="15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ht="15" x14ac:dyDescent="0.25">
      <c r="A14">
        <v>12.64</v>
      </c>
      <c r="B14">
        <f t="shared" si="0"/>
        <v>237.34177215189871</v>
      </c>
      <c r="F14">
        <v>10245</v>
      </c>
    </row>
    <row r="15" spans="1:6" ht="15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ht="15" thickBot="1" x14ac:dyDescent="0.35">
      <c r="A17" s="2" t="s">
        <v>13</v>
      </c>
      <c r="B17" s="3">
        <f>AVERAGE(B12:B16)</f>
        <v>235.07847553954838</v>
      </c>
    </row>
    <row r="18" spans="1:6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" thickBot="1" x14ac:dyDescent="0.35">
      <c r="A19" t="s">
        <v>89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x14ac:dyDescent="0.3">
      <c r="E20" t="s">
        <v>89</v>
      </c>
      <c r="F20">
        <f>0.95*F19/SQRT(COUNT(F12:F17))</f>
        <v>118.20323012130891</v>
      </c>
    </row>
    <row r="21" spans="1:6" x14ac:dyDescent="0.3">
      <c r="E21" t="s">
        <v>29</v>
      </c>
      <c r="F21" s="15">
        <f>F18*'Methane Standard Curve'!B13+'Methane Standard Curve'!C13</f>
        <v>1.8302845258925997E-2</v>
      </c>
    </row>
    <row r="22" spans="1:6" x14ac:dyDescent="0.3">
      <c r="E22" t="s">
        <v>15</v>
      </c>
      <c r="F22">
        <f>F19*'Methane Standard Curve'!$B$13+'Methane Standard Curve'!$C$13</f>
        <v>1.4243751002895569E-3</v>
      </c>
    </row>
    <row r="23" spans="1:6" x14ac:dyDescent="0.3">
      <c r="A23" t="s">
        <v>30</v>
      </c>
      <c r="B23">
        <f>B17*F21</f>
        <v>4.3026049615045743</v>
      </c>
      <c r="E23" t="s">
        <v>89</v>
      </c>
      <c r="F23">
        <f>F20*'Methane Standard Curve'!$B$13+'Methane Standard Curve'!$C$13</f>
        <v>1.2640827584213625E-3</v>
      </c>
    </row>
    <row r="24" spans="1:6" x14ac:dyDescent="0.3">
      <c r="A24" t="s">
        <v>31</v>
      </c>
      <c r="B24">
        <f>B23/22.4</f>
        <v>0.19208057863859707</v>
      </c>
    </row>
    <row r="25" spans="1:6" ht="15" thickBot="1" x14ac:dyDescent="0.35">
      <c r="A25" t="s">
        <v>32</v>
      </c>
      <c r="B25">
        <f>B24*60</f>
        <v>11.524834718315823</v>
      </c>
      <c r="E25" t="s">
        <v>91</v>
      </c>
      <c r="F25">
        <f>F21*B17</f>
        <v>4.3026049615045743</v>
      </c>
    </row>
    <row r="26" spans="1:6" ht="15" thickBot="1" x14ac:dyDescent="0.35">
      <c r="A26" t="s">
        <v>36</v>
      </c>
      <c r="B26" s="10">
        <f>B25/(B1*0.66)</f>
        <v>21.038398536538562</v>
      </c>
      <c r="E26" t="s">
        <v>92</v>
      </c>
      <c r="F26">
        <f>F25*SQRT((B19/B17)^2+(F23/F21)^2)</f>
        <v>0.29732723276577994</v>
      </c>
    </row>
    <row r="28" spans="1:6" x14ac:dyDescent="0.3">
      <c r="E28" s="16" t="s">
        <v>84</v>
      </c>
      <c r="F28">
        <f>F25*60/22.4/B1/'Neatened Compilation'!$B$18</f>
        <v>28.395384527843461</v>
      </c>
    </row>
    <row r="29" spans="1:6" x14ac:dyDescent="0.3">
      <c r="E29" t="s">
        <v>92</v>
      </c>
      <c r="F29">
        <f>F26*60/22.4/B1/'Neatened Compilation'!$B$18</f>
        <v>1.9622347811432845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2.3642889846525779</v>
      </c>
    </row>
    <row r="32" spans="1:6" ht="15" thickBot="1" x14ac:dyDescent="0.35">
      <c r="E32" s="4" t="s">
        <v>92</v>
      </c>
      <c r="F32" s="5">
        <f>F31*SQRT((E9/E7)^2+(F29/F28)^2)</f>
        <v>0.16338183671399531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F28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0.68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5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5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ht="15" x14ac:dyDescent="0.25">
      <c r="D9" t="s">
        <v>90</v>
      </c>
      <c r="E9">
        <f>0.95*E8/SQRT(COUNT(E4:E6))</f>
        <v>2.0673624461237479E-3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12.85</v>
      </c>
      <c r="B12">
        <f>50/A12*60</f>
        <v>233.46303501945525</v>
      </c>
      <c r="F12">
        <v>12209</v>
      </c>
    </row>
    <row r="13" spans="1:6" ht="15" x14ac:dyDescent="0.25">
      <c r="A13">
        <v>12.8</v>
      </c>
      <c r="B13">
        <f t="shared" ref="B13:B16" si="3">50/A13*60</f>
        <v>234.375</v>
      </c>
      <c r="F13">
        <v>12955</v>
      </c>
    </row>
    <row r="14" spans="1:6" ht="15" x14ac:dyDescent="0.25">
      <c r="A14">
        <v>12.83</v>
      </c>
      <c r="B14">
        <f t="shared" si="3"/>
        <v>233.8269680436477</v>
      </c>
      <c r="F14">
        <v>12671</v>
      </c>
    </row>
    <row r="15" spans="1:6" ht="15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ht="15" thickBot="1" x14ac:dyDescent="0.35">
      <c r="A17" s="2" t="s">
        <v>13</v>
      </c>
      <c r="B17" s="3">
        <f>AVERAGE(B12:B16)</f>
        <v>233.75469282166114</v>
      </c>
    </row>
    <row r="18" spans="1:6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" thickBot="1" x14ac:dyDescent="0.35">
      <c r="A19" t="s">
        <v>89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x14ac:dyDescent="0.3">
      <c r="E20" t="s">
        <v>89</v>
      </c>
      <c r="F20">
        <f>0.95*F19/SQRT(COUNT(F12:F17))</f>
        <v>206.51620060206199</v>
      </c>
    </row>
    <row r="21" spans="1:6" x14ac:dyDescent="0.3">
      <c r="E21" t="s">
        <v>29</v>
      </c>
      <c r="F21" s="15">
        <f>F18*'Methane Standard Curve'!B13+'Methane Standard Curve'!C13</f>
        <v>2.1844535100130694E-2</v>
      </c>
    </row>
    <row r="22" spans="1:6" x14ac:dyDescent="0.3">
      <c r="E22" t="s">
        <v>15</v>
      </c>
      <c r="F22">
        <f>F19*'Methane Standard Curve'!$B$13+'Methane Standard Curve'!$C$13</f>
        <v>1.6896117788386179E-3</v>
      </c>
    </row>
    <row r="23" spans="1:6" x14ac:dyDescent="0.3">
      <c r="A23" t="s">
        <v>33</v>
      </c>
      <c r="B23">
        <f>B17*F21</f>
        <v>5.1062625921630449</v>
      </c>
      <c r="E23" t="s">
        <v>89</v>
      </c>
      <c r="F23">
        <f>F20*'Methane Standard Curve'!$B$13+'Methane Standard Curve'!$C$13</f>
        <v>1.4095605027926619E-3</v>
      </c>
    </row>
    <row r="24" spans="1:6" x14ac:dyDescent="0.3">
      <c r="A24" t="s">
        <v>34</v>
      </c>
      <c r="B24">
        <f>B23/22.4</f>
        <v>0.22795815143585024</v>
      </c>
    </row>
    <row r="25" spans="1:6" ht="15" thickBot="1" x14ac:dyDescent="0.35">
      <c r="A25" t="s">
        <v>35</v>
      </c>
      <c r="B25">
        <f>B24*60</f>
        <v>13.677489086151015</v>
      </c>
      <c r="C25" t="s">
        <v>44</v>
      </c>
      <c r="E25" t="s">
        <v>91</v>
      </c>
      <c r="F25">
        <f>F21*B17</f>
        <v>5.1062625921630449</v>
      </c>
    </row>
    <row r="26" spans="1:6" ht="15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92</v>
      </c>
      <c r="F26">
        <f>F25*SQRT((B19/B17)^2+(F23/F21)^2)</f>
        <v>0.32951439232487173</v>
      </c>
    </row>
    <row r="28" spans="1:6" x14ac:dyDescent="0.3">
      <c r="A28" t="s">
        <v>63</v>
      </c>
      <c r="B28">
        <f>B26*0.66/0.34</f>
        <v>59.158689818992272</v>
      </c>
      <c r="E28" s="16" t="s">
        <v>84</v>
      </c>
      <c r="F28">
        <f>F25*60/22.4/B1/'Neatened Compilation'!$B$18</f>
        <v>41.132831366988491</v>
      </c>
    </row>
    <row r="29" spans="1:6" x14ac:dyDescent="0.3">
      <c r="E29" t="s">
        <v>92</v>
      </c>
      <c r="F29">
        <f>F26*60/22.4/B1/'Neatened Compilation'!$B$18</f>
        <v>2.6543601485158121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2.4722779764312812</v>
      </c>
    </row>
    <row r="32" spans="1:6" ht="15" thickBot="1" x14ac:dyDescent="0.35">
      <c r="E32" s="4" t="s">
        <v>92</v>
      </c>
      <c r="F32" s="5">
        <f>F31*SQRT((E9/E7)^2+(F29/F28)^2)</f>
        <v>0.17524469157481251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F30" sqref="F30:F31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0.80400000000000005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ht="15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ht="15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ht="15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ht="15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ht="15" x14ac:dyDescent="0.25">
      <c r="D11" t="s">
        <v>90</v>
      </c>
      <c r="E11">
        <f>0.95*E10/SQRT(COUNT(E4:E8))</f>
        <v>1.1211121445501167E-3</v>
      </c>
    </row>
    <row r="12" spans="1:6" ht="15" x14ac:dyDescent="0.25">
      <c r="A12" t="s">
        <v>8</v>
      </c>
      <c r="F12" t="s">
        <v>11</v>
      </c>
    </row>
    <row r="13" spans="1:6" ht="15" x14ac:dyDescent="0.25">
      <c r="A13" t="s">
        <v>9</v>
      </c>
      <c r="B13" t="s">
        <v>10</v>
      </c>
      <c r="F13" t="s">
        <v>12</v>
      </c>
    </row>
    <row r="14" spans="1:6" ht="15" x14ac:dyDescent="0.25">
      <c r="A14">
        <v>12.74</v>
      </c>
      <c r="B14">
        <f>50/A14*60</f>
        <v>235.47880690737833</v>
      </c>
      <c r="F14">
        <v>10270</v>
      </c>
    </row>
    <row r="15" spans="1:6" ht="15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ht="15" x14ac:dyDescent="0.25">
      <c r="A16">
        <v>12.66</v>
      </c>
      <c r="B16">
        <f t="shared" si="6"/>
        <v>236.96682464454977</v>
      </c>
      <c r="F16">
        <v>9667</v>
      </c>
    </row>
    <row r="17" spans="1:6" x14ac:dyDescent="0.3">
      <c r="A17">
        <v>12.75</v>
      </c>
      <c r="B17">
        <f t="shared" si="6"/>
        <v>235.29411764705881</v>
      </c>
    </row>
    <row r="18" spans="1:6" ht="15" thickBot="1" x14ac:dyDescent="0.35">
      <c r="A18">
        <v>12.51</v>
      </c>
      <c r="B18">
        <f t="shared" si="6"/>
        <v>239.80815347721824</v>
      </c>
    </row>
    <row r="19" spans="1:6" ht="15" thickBot="1" x14ac:dyDescent="0.35">
      <c r="A19" s="2" t="s">
        <v>13</v>
      </c>
      <c r="B19" s="3">
        <f>AVERAGE(B14:B18)</f>
        <v>236.97793496562076</v>
      </c>
    </row>
    <row r="20" spans="1:6" ht="15" thickBot="1" x14ac:dyDescent="0.35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ht="15" thickBot="1" x14ac:dyDescent="0.35">
      <c r="A21" t="s">
        <v>89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x14ac:dyDescent="0.3">
      <c r="E22" t="s">
        <v>89</v>
      </c>
      <c r="F22">
        <f>0.95*F21/SQRT(COUNT(F14:F19))</f>
        <v>171.00381168591278</v>
      </c>
    </row>
    <row r="23" spans="1:6" x14ac:dyDescent="0.3">
      <c r="E23" t="s">
        <v>29</v>
      </c>
      <c r="F23" s="15">
        <f>F20*'Methane Standard Curve'!B13+'Methane Standard Curve'!C13</f>
        <v>1.7414951852223977E-2</v>
      </c>
    </row>
    <row r="24" spans="1:6" x14ac:dyDescent="0.3">
      <c r="E24" t="s">
        <v>15</v>
      </c>
      <c r="F24">
        <f>F21*'Methane Standard Curve'!$B$13+'Methane Standard Curve'!$C$13</f>
        <v>1.5829548740579694E-3</v>
      </c>
    </row>
    <row r="25" spans="1:6" x14ac:dyDescent="0.3">
      <c r="A25" t="s">
        <v>33</v>
      </c>
      <c r="B25">
        <f>B19*F23</f>
        <v>4.1269593274657508</v>
      </c>
      <c r="E25" t="s">
        <v>89</v>
      </c>
      <c r="F25">
        <f>F22*'Methane Standard Curve'!$B$13+'Methane Standard Curve'!$C$13</f>
        <v>1.3510610297409243E-3</v>
      </c>
    </row>
    <row r="26" spans="1:6" x14ac:dyDescent="0.3">
      <c r="A26" t="s">
        <v>34</v>
      </c>
      <c r="B26">
        <f>B25/22.4</f>
        <v>0.18423925569043531</v>
      </c>
    </row>
    <row r="27" spans="1:6" ht="15" thickBot="1" x14ac:dyDescent="0.35">
      <c r="A27" t="s">
        <v>35</v>
      </c>
      <c r="B27">
        <f>B26*60</f>
        <v>11.054355341426119</v>
      </c>
      <c r="C27" t="s">
        <v>44</v>
      </c>
      <c r="E27" t="s">
        <v>91</v>
      </c>
      <c r="F27">
        <f>F23*B19</f>
        <v>4.1269593274657508</v>
      </c>
    </row>
    <row r="28" spans="1:6" ht="15" thickBot="1" x14ac:dyDescent="0.35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92</v>
      </c>
      <c r="F28">
        <f>F27*SQRT((B21/B19)^2+(F25/F23)^2)</f>
        <v>0.32045418094478684</v>
      </c>
    </row>
    <row r="30" spans="1:6" x14ac:dyDescent="0.3">
      <c r="A30" t="s">
        <v>63</v>
      </c>
      <c r="B30">
        <f>B28*0.66/0.34</f>
        <v>40.438818193686409</v>
      </c>
      <c r="E30" s="16" t="s">
        <v>84</v>
      </c>
      <c r="F30">
        <f>F27*60/22.4/B1/'Neatened Compilation'!$B$18</f>
        <v>28.116969705221639</v>
      </c>
    </row>
    <row r="31" spans="1:6" x14ac:dyDescent="0.3">
      <c r="E31" t="s">
        <v>92</v>
      </c>
      <c r="F31">
        <f>F28*60/22.4/B1/'Neatened Compilation'!$B$18</f>
        <v>2.1832540092099948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2.3484803688734086</v>
      </c>
    </row>
    <row r="34" spans="5:6" ht="15" thickBot="1" x14ac:dyDescent="0.35">
      <c r="E34" s="4" t="s">
        <v>92</v>
      </c>
      <c r="F34" s="5">
        <f>F33*SQRT((E11/E9)^2+(F31/F30)^2)</f>
        <v>0.19121510303856742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activeCell="F34" sqref="F34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0.66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ht="15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ht="15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ht="15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ht="15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ht="15" x14ac:dyDescent="0.25">
      <c r="D11" t="s">
        <v>90</v>
      </c>
      <c r="E11">
        <f>0.95*E10/SQRT(COUNT(E4:E8))</f>
        <v>1.3592527310485336E-3</v>
      </c>
    </row>
    <row r="12" spans="1:6" ht="15" x14ac:dyDescent="0.25">
      <c r="A12" t="s">
        <v>8</v>
      </c>
      <c r="F12" t="s">
        <v>11</v>
      </c>
    </row>
    <row r="13" spans="1:6" ht="15" x14ac:dyDescent="0.25">
      <c r="A13" t="s">
        <v>9</v>
      </c>
      <c r="B13" t="s">
        <v>10</v>
      </c>
      <c r="F13" t="s">
        <v>12</v>
      </c>
    </row>
    <row r="14" spans="1:6" ht="15" x14ac:dyDescent="0.25">
      <c r="A14">
        <v>11.83</v>
      </c>
      <c r="B14">
        <f>50/A14*60</f>
        <v>253.59256128486896</v>
      </c>
      <c r="F14">
        <v>9371.4</v>
      </c>
    </row>
    <row r="15" spans="1:6" ht="15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ht="15" x14ac:dyDescent="0.25">
      <c r="A16">
        <v>12.02</v>
      </c>
      <c r="B16">
        <f t="shared" si="6"/>
        <v>249.58402662229616</v>
      </c>
      <c r="F16">
        <v>9899.7000000000007</v>
      </c>
    </row>
    <row r="17" spans="1:6" x14ac:dyDescent="0.3">
      <c r="A17">
        <v>11.77</v>
      </c>
      <c r="B17">
        <f t="shared" si="6"/>
        <v>254.88530161427357</v>
      </c>
      <c r="F17">
        <v>9318.2000000000007</v>
      </c>
    </row>
    <row r="18" spans="1:6" ht="15" thickBot="1" x14ac:dyDescent="0.35">
      <c r="A18">
        <v>11.88</v>
      </c>
      <c r="B18">
        <f t="shared" si="6"/>
        <v>252.52525252525251</v>
      </c>
      <c r="F18">
        <v>9694</v>
      </c>
    </row>
    <row r="19" spans="1:6" ht="15" thickBot="1" x14ac:dyDescent="0.35">
      <c r="A19" s="2" t="s">
        <v>13</v>
      </c>
      <c r="B19" s="3">
        <f>AVERAGE(B14:B18)</f>
        <v>252.66502739838626</v>
      </c>
    </row>
    <row r="20" spans="1:6" ht="15" thickBot="1" x14ac:dyDescent="0.35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ht="15" thickBot="1" x14ac:dyDescent="0.35">
      <c r="A21" t="s">
        <v>89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x14ac:dyDescent="0.3">
      <c r="E22" t="s">
        <v>89</v>
      </c>
      <c r="F22">
        <f>0.95*F21/SQRT(COUNT(F14:F19))</f>
        <v>156.48404613889559</v>
      </c>
    </row>
    <row r="23" spans="1:6" x14ac:dyDescent="0.3">
      <c r="E23" t="s">
        <v>29</v>
      </c>
      <c r="F23" s="15">
        <f>F20*'Methane Standard Curve'!B13+'Methane Standard Curve'!C13</f>
        <v>1.662838921192443E-2</v>
      </c>
    </row>
    <row r="24" spans="1:6" x14ac:dyDescent="0.3">
      <c r="E24" t="s">
        <v>15</v>
      </c>
      <c r="F24">
        <f>F21*'Methane Standard Curve'!$B$13+'Methane Standard Curve'!$C$13</f>
        <v>1.6761081218382903E-3</v>
      </c>
    </row>
    <row r="25" spans="1:6" x14ac:dyDescent="0.3">
      <c r="A25" t="s">
        <v>33</v>
      </c>
      <c r="B25">
        <f>B19*F23</f>
        <v>4.2014124158219168</v>
      </c>
      <c r="E25" t="s">
        <v>89</v>
      </c>
      <c r="F25">
        <f>F22*'Methane Standard Curve'!$B$13+'Methane Standard Curve'!$C$13</f>
        <v>1.3271426547946245E-3</v>
      </c>
    </row>
    <row r="26" spans="1:6" x14ac:dyDescent="0.3">
      <c r="A26" t="s">
        <v>34</v>
      </c>
      <c r="B26">
        <f>B25/22.4</f>
        <v>0.18756305427776415</v>
      </c>
    </row>
    <row r="27" spans="1:6" ht="15" thickBot="1" x14ac:dyDescent="0.35">
      <c r="A27" t="s">
        <v>35</v>
      </c>
      <c r="B27">
        <f>B26*60</f>
        <v>11.25378325666585</v>
      </c>
      <c r="C27" t="s">
        <v>44</v>
      </c>
      <c r="E27" t="s">
        <v>91</v>
      </c>
      <c r="F27">
        <f>F23*B19</f>
        <v>4.2014124158219168</v>
      </c>
    </row>
    <row r="28" spans="1:6" ht="15" thickBot="1" x14ac:dyDescent="0.35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92</v>
      </c>
      <c r="F28">
        <f>F27*SQRT((B21/B19)^2+(F25/F23)^2)</f>
        <v>0.33560720473441347</v>
      </c>
    </row>
    <row r="30" spans="1:6" x14ac:dyDescent="0.3">
      <c r="A30" t="s">
        <v>63</v>
      </c>
      <c r="B30">
        <f>B28*0.66/0.34</f>
        <v>50.150549272129453</v>
      </c>
      <c r="E30" s="16" t="s">
        <v>84</v>
      </c>
      <c r="F30">
        <f>F27*60/22.4/B1/'Neatened Compilation'!$B$18</f>
        <v>34.869502561398797</v>
      </c>
    </row>
    <row r="31" spans="1:6" x14ac:dyDescent="0.3">
      <c r="E31" t="s">
        <v>92</v>
      </c>
      <c r="F31">
        <f>F28*60/22.4/B1/'Neatened Compilation'!$B$18</f>
        <v>2.7853624274162536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2.4921283100919331</v>
      </c>
    </row>
    <row r="34" spans="5:6" ht="15" thickBot="1" x14ac:dyDescent="0.35">
      <c r="E34" s="4" t="s">
        <v>92</v>
      </c>
      <c r="F34" s="5">
        <f>F33*SQRT((E11/E9)^2+(F31/F30)^2)</f>
        <v>0.20686146109774942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B19" sqref="B19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0.85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x14ac:dyDescent="0.3">
      <c r="F6" t="s">
        <v>49</v>
      </c>
    </row>
    <row r="7" spans="1:6" x14ac:dyDescent="0.3">
      <c r="C7" s="6"/>
      <c r="D7" s="6"/>
      <c r="E7" s="6"/>
    </row>
    <row r="8" spans="1:6" ht="15" thickBot="1" x14ac:dyDescent="0.35"/>
    <row r="9" spans="1:6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ht="15" thickBot="1" x14ac:dyDescent="0.35">
      <c r="D10" s="4" t="s">
        <v>17</v>
      </c>
      <c r="E10" s="5">
        <v>0</v>
      </c>
    </row>
    <row r="11" spans="1:6" ht="15" x14ac:dyDescent="0.25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12.17</v>
      </c>
      <c r="B14">
        <f>50/A14*60</f>
        <v>246.50780608052588</v>
      </c>
      <c r="F14">
        <v>12568</v>
      </c>
    </row>
    <row r="15" spans="1:6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x14ac:dyDescent="0.3">
      <c r="A16">
        <v>11.91</v>
      </c>
      <c r="B16">
        <f t="shared" si="0"/>
        <v>251.88916876574308</v>
      </c>
      <c r="F16">
        <v>13862</v>
      </c>
    </row>
    <row r="17" spans="1:6" x14ac:dyDescent="0.3">
      <c r="A17">
        <v>12.32</v>
      </c>
      <c r="B17">
        <f t="shared" si="0"/>
        <v>243.50649350649348</v>
      </c>
      <c r="F17">
        <v>12991</v>
      </c>
    </row>
    <row r="18" spans="1:6" ht="15" thickBot="1" x14ac:dyDescent="0.35">
      <c r="A18">
        <v>12.34</v>
      </c>
      <c r="B18">
        <f t="shared" si="0"/>
        <v>243.11183144246351</v>
      </c>
      <c r="F18">
        <v>12977</v>
      </c>
    </row>
    <row r="19" spans="1:6" ht="15" thickBot="1" x14ac:dyDescent="0.35">
      <c r="A19" s="2" t="s">
        <v>13</v>
      </c>
      <c r="B19" s="3">
        <f>AVERAGE(B14:B18)</f>
        <v>246.67193413123064</v>
      </c>
      <c r="F19">
        <v>13199</v>
      </c>
    </row>
    <row r="20" spans="1:6" ht="15" thickBot="1" x14ac:dyDescent="0.35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ht="15" thickBot="1" x14ac:dyDescent="0.35">
      <c r="A21" t="s">
        <v>89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x14ac:dyDescent="0.3">
      <c r="E22" t="s">
        <v>89</v>
      </c>
      <c r="F22">
        <f>0.95*F21/SQRT(COUNT(F14:F19))</f>
        <v>188.7585693418977</v>
      </c>
    </row>
    <row r="23" spans="1:6" x14ac:dyDescent="0.3">
      <c r="E23" t="s">
        <v>29</v>
      </c>
      <c r="F23" s="15">
        <f>F20*'Methane Standard Curve'!B13+'Methane Standard Curve'!C13</f>
        <v>2.2841699247669878E-2</v>
      </c>
    </row>
    <row r="24" spans="1:6" x14ac:dyDescent="0.3">
      <c r="E24" t="s">
        <v>15</v>
      </c>
      <c r="F24">
        <f>F21*'Methane Standard Curve'!$B$13+'Methane Standard Curve'!$C$13</f>
        <v>1.8711017124568984E-3</v>
      </c>
    </row>
    <row r="25" spans="1:6" x14ac:dyDescent="0.3">
      <c r="A25" t="s">
        <v>33</v>
      </c>
      <c r="B25">
        <f>B19*F23</f>
        <v>5.634406132266605</v>
      </c>
      <c r="E25" t="s">
        <v>89</v>
      </c>
      <c r="F25">
        <f>F22*'Methane Standard Curve'!$B$13+'Methane Standard Curve'!$C$13</f>
        <v>1.3803083994261584E-3</v>
      </c>
    </row>
    <row r="26" spans="1:6" x14ac:dyDescent="0.3">
      <c r="A26" t="s">
        <v>34</v>
      </c>
      <c r="B26">
        <f>B25/22.4</f>
        <v>0.25153598804761629</v>
      </c>
    </row>
    <row r="27" spans="1:6" ht="15" thickBot="1" x14ac:dyDescent="0.35">
      <c r="A27" t="s">
        <v>35</v>
      </c>
      <c r="B27">
        <f>B26*60</f>
        <v>15.092159282856977</v>
      </c>
      <c r="C27" t="s">
        <v>44</v>
      </c>
      <c r="E27" t="s">
        <v>91</v>
      </c>
      <c r="F27">
        <f>F23*B19</f>
        <v>5.634406132266605</v>
      </c>
    </row>
    <row r="28" spans="1:6" ht="15" thickBot="1" x14ac:dyDescent="0.35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92</v>
      </c>
      <c r="F28">
        <f>F27*SQRT((B21/B19)^2+(F25/F23)^2)</f>
        <v>0.34230183918155244</v>
      </c>
    </row>
    <row r="30" spans="1:6" x14ac:dyDescent="0.3">
      <c r="A30" t="s">
        <v>63</v>
      </c>
      <c r="B30">
        <f>B28*0.66/0.34</f>
        <v>52.222004438951473</v>
      </c>
      <c r="E30" s="16" t="s">
        <v>84</v>
      </c>
      <c r="F30">
        <f>F27*60/22.4/B1/'Neatened Compilation'!$B$18</f>
        <v>36.309778137512282</v>
      </c>
    </row>
    <row r="31" spans="1:6" x14ac:dyDescent="0.3">
      <c r="E31" t="s">
        <v>92</v>
      </c>
      <c r="F31">
        <f>F28*60/22.4/B1/'Neatened Compilation'!$B$18</f>
        <v>2.2058942051705963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2.3341342382412682</v>
      </c>
    </row>
    <row r="34" spans="5:6" ht="15" thickBot="1" x14ac:dyDescent="0.35">
      <c r="E34" s="4" t="s">
        <v>92</v>
      </c>
      <c r="F34" s="5">
        <f>F33*SQRT((E11/E9)^2+(F31/F30)^2)</f>
        <v>0.14180348805016038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12_19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2015-12-01T19:29:33Z</cp:lastPrinted>
  <dcterms:created xsi:type="dcterms:W3CDTF">2015-10-26T23:35:27Z</dcterms:created>
  <dcterms:modified xsi:type="dcterms:W3CDTF">2015-12-19T22:48:26Z</dcterms:modified>
</cp:coreProperties>
</file>