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tabRatio="769" activeTab="8"/>
  </bookViews>
  <sheets>
    <sheet name="Summary of Results" sheetId="10" r:id="rId1"/>
    <sheet name="10_22" sheetId="1" r:id="rId2"/>
    <sheet name="10_27" sheetId="2" r:id="rId3"/>
    <sheet name="11_2" sheetId="3" r:id="rId4"/>
    <sheet name="11_5" sheetId="4" r:id="rId5"/>
    <sheet name="11_12" sheetId="5" r:id="rId6"/>
    <sheet name="11_19" sheetId="7" r:id="rId7"/>
    <sheet name="12_01" sheetId="11" r:id="rId8"/>
    <sheet name="12_07" sheetId="12" r:id="rId9"/>
    <sheet name="Methane Standard Curve" sheetId="6" r:id="rId10"/>
    <sheet name="Compilation" sheetId="8" r:id="rId11"/>
  </sheets>
  <calcPr calcId="145621"/>
</workbook>
</file>

<file path=xl/calcChain.xml><?xml version="1.0" encoding="utf-8"?>
<calcChain xmlns="http://schemas.openxmlformats.org/spreadsheetml/2006/main">
  <c r="F20" i="12" l="1"/>
  <c r="F23" i="12" s="1"/>
  <c r="A4" i="12"/>
  <c r="A6" i="12"/>
  <c r="A7" i="12"/>
  <c r="E37" i="12"/>
  <c r="G33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5" i="12" s="1"/>
  <c r="B33" i="12" s="1"/>
  <c r="C33" i="12" s="1"/>
  <c r="B20" i="12"/>
  <c r="D7" i="12"/>
  <c r="E7" i="12" s="1"/>
  <c r="D6" i="12"/>
  <c r="E6" i="12" s="1"/>
  <c r="C24" i="8"/>
  <c r="E24" i="8"/>
  <c r="I16" i="8"/>
  <c r="H16" i="8"/>
  <c r="F3" i="8"/>
  <c r="F4" i="8"/>
  <c r="F5" i="8"/>
  <c r="F6" i="8"/>
  <c r="F2" i="8"/>
  <c r="D3" i="8"/>
  <c r="D4" i="8"/>
  <c r="D5" i="8"/>
  <c r="D6" i="8"/>
  <c r="D2" i="8"/>
  <c r="B30" i="11"/>
  <c r="B28" i="7"/>
  <c r="B28" i="5"/>
  <c r="B28" i="4"/>
  <c r="B29" i="3"/>
  <c r="B28" i="2"/>
  <c r="B28" i="1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B26" i="12" l="1"/>
  <c r="B27" i="12" s="1"/>
  <c r="C28" i="12" s="1"/>
  <c r="E10" i="12"/>
  <c r="E9" i="12"/>
  <c r="F9" i="12" s="1"/>
  <c r="D33" i="12" s="1"/>
  <c r="E33" i="12" s="1"/>
  <c r="G3" i="8"/>
  <c r="G4" i="8"/>
  <c r="G5" i="8"/>
  <c r="G6" i="8"/>
  <c r="G2" i="8"/>
  <c r="H46" i="8"/>
  <c r="C7" i="8"/>
  <c r="D7" i="8" s="1"/>
  <c r="B7" i="8"/>
  <c r="E10" i="11"/>
  <c r="E9" i="11"/>
  <c r="C7" i="11"/>
  <c r="D7" i="11"/>
  <c r="E7" i="11" s="1"/>
  <c r="C8" i="11"/>
  <c r="D8" i="11" s="1"/>
  <c r="E8" i="11" s="1"/>
  <c r="A6" i="11"/>
  <c r="A5" i="11"/>
  <c r="E37" i="11"/>
  <c r="G33" i="11"/>
  <c r="F21" i="11"/>
  <c r="F20" i="11"/>
  <c r="F23" i="11" s="1"/>
  <c r="B18" i="11"/>
  <c r="B17" i="11"/>
  <c r="B16" i="11"/>
  <c r="B15" i="11"/>
  <c r="B14" i="11"/>
  <c r="C6" i="11"/>
  <c r="C5" i="11"/>
  <c r="C4" i="11"/>
  <c r="D4" i="11" s="1"/>
  <c r="E4" i="11" s="1"/>
  <c r="B28" i="12" l="1"/>
  <c r="B30" i="12" s="1"/>
  <c r="F33" i="12"/>
  <c r="E38" i="12" s="1"/>
  <c r="E34" i="12"/>
  <c r="E7" i="8"/>
  <c r="G7" i="8" s="1"/>
  <c r="F7" i="8"/>
  <c r="B20" i="11"/>
  <c r="D5" i="11"/>
  <c r="E5" i="11" s="1"/>
  <c r="D6" i="11"/>
  <c r="E6" i="11" s="1"/>
  <c r="F9" i="11" s="1"/>
  <c r="B19" i="11"/>
  <c r="B25" i="11" s="1"/>
  <c r="E12" i="10"/>
  <c r="E13" i="10"/>
  <c r="E14" i="10"/>
  <c r="E11" i="10"/>
  <c r="D12" i="10"/>
  <c r="D13" i="10"/>
  <c r="D14" i="10"/>
  <c r="D11" i="10"/>
  <c r="C12" i="10"/>
  <c r="C13" i="10"/>
  <c r="C14" i="10"/>
  <c r="C11" i="10"/>
  <c r="D7" i="10"/>
  <c r="D6" i="10"/>
  <c r="D5" i="10"/>
  <c r="D4" i="10"/>
  <c r="D3" i="10"/>
  <c r="B33" i="11" l="1"/>
  <c r="C33" i="11" s="1"/>
  <c r="D33" i="11" s="1"/>
  <c r="E33" i="11" s="1"/>
  <c r="B26" i="11"/>
  <c r="B27" i="11" s="1"/>
  <c r="G31" i="2"/>
  <c r="G31" i="3"/>
  <c r="G31" i="4"/>
  <c r="G31" i="5"/>
  <c r="G31" i="7"/>
  <c r="E32" i="7"/>
  <c r="E36" i="7"/>
  <c r="E35" i="7"/>
  <c r="F31" i="7"/>
  <c r="F31" i="5"/>
  <c r="F31" i="4"/>
  <c r="F31" i="3"/>
  <c r="F31" i="2"/>
  <c r="D31" i="3"/>
  <c r="B31" i="3"/>
  <c r="F7" i="2"/>
  <c r="F8" i="3"/>
  <c r="F7" i="4"/>
  <c r="E7" i="5"/>
  <c r="F7" i="5" s="1"/>
  <c r="B31" i="2"/>
  <c r="C31" i="2" s="1"/>
  <c r="D31" i="2" s="1"/>
  <c r="E31" i="2" s="1"/>
  <c r="C31" i="3"/>
  <c r="C31" i="4"/>
  <c r="D31" i="4" s="1"/>
  <c r="E31" i="4" s="1"/>
  <c r="B31" i="4"/>
  <c r="B31" i="5"/>
  <c r="C31" i="5" s="1"/>
  <c r="E31" i="7"/>
  <c r="D31" i="7"/>
  <c r="F7" i="7"/>
  <c r="C31" i="7"/>
  <c r="B31" i="7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C26" i="7"/>
  <c r="E4" i="8"/>
  <c r="E6" i="8"/>
  <c r="E5" i="8"/>
  <c r="E3" i="8"/>
  <c r="E2" i="8"/>
  <c r="B26" i="1"/>
  <c r="B26" i="2"/>
  <c r="B27" i="3"/>
  <c r="B26" i="4"/>
  <c r="B26" i="5"/>
  <c r="B26" i="7"/>
  <c r="C28" i="11" l="1"/>
  <c r="B28" i="11"/>
  <c r="F33" i="11"/>
  <c r="E38" i="11" s="1"/>
  <c r="E34" i="11"/>
  <c r="E31" i="3"/>
  <c r="D31" i="5"/>
  <c r="E31" i="5" s="1"/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C4" i="5"/>
  <c r="D4" i="5" s="1"/>
  <c r="E4" i="5" s="1"/>
  <c r="E8" i="5" l="1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<sst xmlns="http://schemas.openxmlformats.org/spreadsheetml/2006/main" count="308" uniqueCount="77">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</sst>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1504"/>
        <c:axId val="157543424"/>
      </c:scatterChart>
      <c:valAx>
        <c:axId val="1575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543424"/>
        <c:crosses val="autoZero"/>
        <c:crossBetween val="midCat"/>
      </c:valAx>
      <c:valAx>
        <c:axId val="15754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54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5712"/>
        <c:axId val="157566080"/>
      </c:scatterChart>
      <c:valAx>
        <c:axId val="1575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566080"/>
        <c:crosses val="autoZero"/>
        <c:crossBetween val="midCat"/>
      </c:valAx>
      <c:valAx>
        <c:axId val="15756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55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3456"/>
        <c:axId val="160324992"/>
      </c:scatterChart>
      <c:valAx>
        <c:axId val="1603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324992"/>
        <c:crosses val="autoZero"/>
        <c:crossBetween val="midCat"/>
      </c:valAx>
      <c:valAx>
        <c:axId val="160324992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32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9488"/>
        <c:axId val="160561024"/>
      </c:scatterChart>
      <c:valAx>
        <c:axId val="1605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61024"/>
        <c:crosses val="autoZero"/>
        <c:crossBetween val="midCat"/>
      </c:valAx>
      <c:valAx>
        <c:axId val="1605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5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3024"/>
        <c:axId val="160594560"/>
      </c:scatterChart>
      <c:valAx>
        <c:axId val="1605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94560"/>
        <c:crosses val="autoZero"/>
        <c:crossBetween val="midCat"/>
      </c:valAx>
      <c:valAx>
        <c:axId val="1605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9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1" sqref="C11"/>
    </sheetView>
  </sheetViews>
  <sheetFormatPr defaultRowHeight="14.4" x14ac:dyDescent="0.3"/>
  <cols>
    <col min="2" max="2" width="17.88671875" bestFit="1" customWidth="1"/>
    <col min="3" max="3" width="20.33203125" bestFit="1" customWidth="1"/>
    <col min="4" max="4" width="16.6640625" bestFit="1" customWidth="1"/>
    <col min="5" max="5" width="12.5546875" customWidth="1"/>
  </cols>
  <sheetData>
    <row r="1" spans="1:5" x14ac:dyDescent="0.25">
      <c r="A1" s="26" t="s">
        <v>64</v>
      </c>
      <c r="B1" s="27"/>
      <c r="C1" s="27"/>
      <c r="D1" s="28"/>
      <c r="E1" s="16"/>
    </row>
    <row r="2" spans="1:5" x14ac:dyDescent="0.25">
      <c r="A2" s="17" t="s">
        <v>37</v>
      </c>
      <c r="B2" s="17" t="s">
        <v>56</v>
      </c>
      <c r="C2" s="17" t="s">
        <v>57</v>
      </c>
      <c r="D2" s="17" t="s">
        <v>58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26" t="s">
        <v>59</v>
      </c>
      <c r="B9" s="27"/>
      <c r="C9" s="27"/>
      <c r="D9" s="27"/>
      <c r="E9" s="28"/>
    </row>
    <row r="10" spans="1:5" x14ac:dyDescent="0.25">
      <c r="A10" s="17" t="s">
        <v>37</v>
      </c>
      <c r="B10" s="17" t="s">
        <v>60</v>
      </c>
      <c r="C10" s="17" t="s">
        <v>61</v>
      </c>
      <c r="D10" s="17" t="s">
        <v>62</v>
      </c>
      <c r="E10" s="17" t="s">
        <v>63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2" width="12" bestFit="1" customWidth="1"/>
    <col min="3" max="3" width="11.6640625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" thickBot="1" x14ac:dyDescent="0.35"/>
    <row r="12" spans="1:6" x14ac:dyDescent="0.3">
      <c r="A12" s="2"/>
      <c r="B12" s="8" t="s">
        <v>25</v>
      </c>
      <c r="C12" s="3" t="s">
        <v>26</v>
      </c>
    </row>
    <row r="13" spans="1:6" ht="15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4.4" x14ac:dyDescent="0.3"/>
  <cols>
    <col min="2" max="2" width="12" bestFit="1" customWidth="1"/>
    <col min="6" max="6" width="14.6640625" bestFit="1" customWidth="1"/>
    <col min="7" max="7" width="18.44140625" bestFit="1" customWidth="1"/>
    <col min="8" max="8" width="26.332031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68</v>
      </c>
      <c r="E1" t="s">
        <v>43</v>
      </c>
      <c r="F1" t="s">
        <v>67</v>
      </c>
      <c r="G1" t="s">
        <v>65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ht="15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ht="15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ht="15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ht="15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ht="15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69</v>
      </c>
      <c r="H9">
        <v>118.72</v>
      </c>
    </row>
    <row r="10" spans="1:10" ht="15" x14ac:dyDescent="0.25">
      <c r="B10">
        <v>8.9214109445657191E-2</v>
      </c>
      <c r="C10">
        <v>32.678400542591753</v>
      </c>
      <c r="G10" t="s">
        <v>70</v>
      </c>
      <c r="H10">
        <v>3.5103</v>
      </c>
    </row>
    <row r="11" spans="1:10" ht="15" x14ac:dyDescent="0.25">
      <c r="B11">
        <v>4.6534363085345594E-2</v>
      </c>
      <c r="C11">
        <v>21.038398536538562</v>
      </c>
      <c r="G11" t="s">
        <v>71</v>
      </c>
      <c r="H11">
        <v>258.17</v>
      </c>
    </row>
    <row r="12" spans="1:10" ht="15" x14ac:dyDescent="0.25">
      <c r="B12">
        <v>7.0487379671178976E-2</v>
      </c>
      <c r="C12">
        <v>30.475688694632385</v>
      </c>
      <c r="G12" t="s">
        <v>72</v>
      </c>
      <c r="H12">
        <v>6.82</v>
      </c>
    </row>
    <row r="13" spans="1:10" ht="15" x14ac:dyDescent="0.25">
      <c r="B13">
        <v>4.5769999558765734E-2</v>
      </c>
      <c r="C13">
        <v>20.832118463414211</v>
      </c>
    </row>
    <row r="14" spans="1:10" ht="15" x14ac:dyDescent="0.25">
      <c r="I14" t="s">
        <v>75</v>
      </c>
    </row>
    <row r="15" spans="1:10" ht="15" x14ac:dyDescent="0.25">
      <c r="G15" t="s">
        <v>73</v>
      </c>
      <c r="H15">
        <v>2.86</v>
      </c>
      <c r="I15">
        <v>0.28999999999999998</v>
      </c>
      <c r="J15" t="s">
        <v>76</v>
      </c>
    </row>
    <row r="16" spans="1:10" ht="15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74</v>
      </c>
      <c r="H16">
        <f>H15*LN(2)</f>
        <v>1.9824009364014434</v>
      </c>
      <c r="I16">
        <f>I15*LN(2)</f>
        <v>0.20101268236238412</v>
      </c>
    </row>
    <row r="17" spans="2:7" ht="15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ht="15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ht="15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ht="15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ht="15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ht="15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ht="15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ht="15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ht="15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x14ac:dyDescent="0.3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x14ac:dyDescent="0.3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x14ac:dyDescent="0.3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x14ac:dyDescent="0.3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x14ac:dyDescent="0.3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x14ac:dyDescent="0.3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x14ac:dyDescent="0.3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x14ac:dyDescent="0.3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3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3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3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3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3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3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3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3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3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3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3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3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3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3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3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3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3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3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3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3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3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3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3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3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3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3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3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3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3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3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3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3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3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3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3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3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3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3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3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3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3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3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3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8" sqref="A28:B28"/>
    </sheetView>
  </sheetViews>
  <sheetFormatPr defaultRowHeight="14.4" x14ac:dyDescent="0.3"/>
  <cols>
    <col min="1" max="1" width="28.44140625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7" x14ac:dyDescent="0.3">
      <c r="A1" t="s">
        <v>18</v>
      </c>
      <c r="B1">
        <v>0.626</v>
      </c>
    </row>
    <row r="2" spans="1:7" x14ac:dyDescent="0.3">
      <c r="A2" t="s">
        <v>7</v>
      </c>
    </row>
    <row r="3" spans="1:7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3">
      <c r="D7" s="2" t="s">
        <v>5</v>
      </c>
      <c r="E7" s="3">
        <f>AVERAGE(E5:E6)</f>
        <v>8.1391176422049266E-2</v>
      </c>
    </row>
    <row r="8" spans="1:7" ht="15" thickBot="1" x14ac:dyDescent="0.35">
      <c r="D8" s="4" t="s">
        <v>17</v>
      </c>
      <c r="E8" s="5">
        <f>STDEV(E5:E6)</f>
        <v>1.5243775110677241E-3</v>
      </c>
    </row>
    <row r="10" spans="1:7" x14ac:dyDescent="0.3">
      <c r="A10" t="s">
        <v>8</v>
      </c>
      <c r="F10" t="s">
        <v>11</v>
      </c>
    </row>
    <row r="11" spans="1:7" x14ac:dyDescent="0.3">
      <c r="A11" t="s">
        <v>9</v>
      </c>
      <c r="B11" t="s">
        <v>10</v>
      </c>
      <c r="F11" t="s">
        <v>12</v>
      </c>
    </row>
    <row r="12" spans="1:7" x14ac:dyDescent="0.3">
      <c r="A12">
        <v>12.84</v>
      </c>
      <c r="B12">
        <f>50/A12*60</f>
        <v>233.64485981308411</v>
      </c>
      <c r="F12">
        <v>14540</v>
      </c>
    </row>
    <row r="13" spans="1:7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3">
      <c r="A14">
        <v>12.55</v>
      </c>
      <c r="B14">
        <f t="shared" si="3"/>
        <v>239.04382470119521</v>
      </c>
      <c r="F14">
        <v>14693</v>
      </c>
    </row>
    <row r="15" spans="1:7" x14ac:dyDescent="0.3">
      <c r="A15">
        <v>12.36</v>
      </c>
      <c r="B15">
        <f t="shared" si="3"/>
        <v>242.71844660194179</v>
      </c>
    </row>
    <row r="16" spans="1:7" ht="15" thickBot="1" x14ac:dyDescent="0.35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E19" s="4" t="s">
        <v>15</v>
      </c>
      <c r="F19" s="5">
        <f>STDEV(F12:F14)</f>
        <v>199.69727088771143</v>
      </c>
    </row>
    <row r="21" spans="1:6" x14ac:dyDescent="0.3">
      <c r="E21" t="s">
        <v>29</v>
      </c>
      <c r="F21" s="7">
        <f>F18*'Methane Standard Curve'!B13+'Methane Standard Curve'!C13</f>
        <v>2.4971655045194385E-2</v>
      </c>
    </row>
    <row r="23" spans="1:6" x14ac:dyDescent="0.3">
      <c r="A23" t="s">
        <v>30</v>
      </c>
      <c r="B23">
        <f>B17*F21</f>
        <v>5.9115207457996322</v>
      </c>
    </row>
    <row r="24" spans="1:6" x14ac:dyDescent="0.3">
      <c r="A24" t="s">
        <v>31</v>
      </c>
      <c r="B24">
        <f>B23/22.4</f>
        <v>0.26390717615176928</v>
      </c>
    </row>
    <row r="25" spans="1:6" ht="15" thickBot="1" x14ac:dyDescent="0.35">
      <c r="A25" t="s">
        <v>32</v>
      </c>
      <c r="B25">
        <f>B24*60</f>
        <v>15.834430569106157</v>
      </c>
    </row>
    <row r="26" spans="1:6" ht="15" thickBot="1" x14ac:dyDescent="0.35">
      <c r="A26" t="s">
        <v>36</v>
      </c>
      <c r="B26" s="10">
        <f>B25/(B1*0.66)</f>
        <v>38.325178064445147</v>
      </c>
    </row>
    <row r="28" spans="1:6" x14ac:dyDescent="0.3">
      <c r="A28" t="s">
        <v>66</v>
      </c>
      <c r="B28">
        <f>B26*0.66/0.34</f>
        <v>74.395933889805278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x14ac:dyDescent="0.3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" thickBot="1" x14ac:dyDescent="0.35">
      <c r="D8" s="4" t="s">
        <v>17</v>
      </c>
      <c r="E8" s="5">
        <f>STDEV(E4:E6)</f>
        <v>7.96516101052323E-3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12.25</v>
      </c>
      <c r="B12">
        <f>50/A12*60</f>
        <v>244.89795918367346</v>
      </c>
      <c r="F12">
        <v>14371</v>
      </c>
    </row>
    <row r="13" spans="1:6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3">
      <c r="A14">
        <v>12.08</v>
      </c>
      <c r="B14">
        <f t="shared" si="3"/>
        <v>248.34437086092714</v>
      </c>
      <c r="F14">
        <v>11940</v>
      </c>
    </row>
    <row r="15" spans="1:6" x14ac:dyDescent="0.3">
      <c r="A15">
        <v>12.4</v>
      </c>
      <c r="B15">
        <f t="shared" si="3"/>
        <v>241.93548387096774</v>
      </c>
      <c r="F15">
        <v>13665</v>
      </c>
    </row>
    <row r="16" spans="1:6" ht="15" thickBot="1" x14ac:dyDescent="0.35">
      <c r="A16">
        <v>11.83</v>
      </c>
      <c r="B16">
        <f t="shared" si="3"/>
        <v>253.59256128486896</v>
      </c>
      <c r="F16">
        <v>14210</v>
      </c>
    </row>
    <row r="17" spans="1:7" ht="15" thickBot="1" x14ac:dyDescent="0.35">
      <c r="A17" s="2" t="s">
        <v>13</v>
      </c>
      <c r="B17" s="3">
        <f>AVERAGE(B12:B16)</f>
        <v>248.86140042339238</v>
      </c>
    </row>
    <row r="18" spans="1:7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ht="15" thickBot="1" x14ac:dyDescent="0.35">
      <c r="E19" s="4" t="s">
        <v>15</v>
      </c>
      <c r="F19" s="5">
        <f>STDEV(F12:F16)</f>
        <v>1137.7963350266164</v>
      </c>
    </row>
    <row r="21" spans="1:7" x14ac:dyDescent="0.3">
      <c r="E21" t="s">
        <v>29</v>
      </c>
      <c r="F21" s="15">
        <f>F18*'Methane Standard Curve'!B13+'Methane Standard Curve'!C13</f>
        <v>2.3830077808006077E-2</v>
      </c>
    </row>
    <row r="23" spans="1:7" x14ac:dyDescent="0.3">
      <c r="A23" t="s">
        <v>30</v>
      </c>
      <c r="B23">
        <f>B17*F21</f>
        <v>5.9303865354987968</v>
      </c>
    </row>
    <row r="24" spans="1:7" x14ac:dyDescent="0.3">
      <c r="A24" t="s">
        <v>31</v>
      </c>
      <c r="B24">
        <f>B23/22.4</f>
        <v>0.26474939890619631</v>
      </c>
    </row>
    <row r="25" spans="1:7" ht="15" thickBot="1" x14ac:dyDescent="0.35">
      <c r="A25" t="s">
        <v>32</v>
      </c>
      <c r="B25">
        <f>B24*60</f>
        <v>15.884963934371779</v>
      </c>
    </row>
    <row r="26" spans="1:7" ht="15" thickBot="1" x14ac:dyDescent="0.35">
      <c r="A26" t="s">
        <v>36</v>
      </c>
      <c r="B26" s="10">
        <f>B25/(B1*0.66)</f>
        <v>35.815665436444306</v>
      </c>
    </row>
    <row r="28" spans="1:7" x14ac:dyDescent="0.3">
      <c r="A28" t="s">
        <v>66</v>
      </c>
      <c r="B28">
        <f>B26*0.66/0.34</f>
        <v>69.524527023686005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9" sqref="A29:B29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0.71199999999999997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x14ac:dyDescent="0.3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" thickBot="1" x14ac:dyDescent="0.35">
      <c r="D9" s="4" t="s">
        <v>17</v>
      </c>
      <c r="E9" s="5">
        <f>STDEV(E4:E7)</f>
        <v>3.2243641791387537E-3</v>
      </c>
    </row>
    <row r="11" spans="1:6" x14ac:dyDescent="0.3">
      <c r="A11" t="s">
        <v>8</v>
      </c>
      <c r="F11" t="s">
        <v>11</v>
      </c>
    </row>
    <row r="12" spans="1:6" x14ac:dyDescent="0.3">
      <c r="A12" t="s">
        <v>9</v>
      </c>
      <c r="B12" t="s">
        <v>10</v>
      </c>
      <c r="F12" t="s">
        <v>12</v>
      </c>
    </row>
    <row r="13" spans="1:6" x14ac:dyDescent="0.3">
      <c r="A13">
        <v>12.73</v>
      </c>
      <c r="B13">
        <f>50/A13*60</f>
        <v>235.66378633150038</v>
      </c>
      <c r="F13">
        <v>14866</v>
      </c>
    </row>
    <row r="14" spans="1:6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3">
      <c r="A15">
        <v>12.77</v>
      </c>
      <c r="B15">
        <f t="shared" si="6"/>
        <v>234.92560689115115</v>
      </c>
      <c r="F15">
        <v>11486</v>
      </c>
    </row>
    <row r="16" spans="1:6" x14ac:dyDescent="0.3">
      <c r="A16">
        <v>12.65</v>
      </c>
      <c r="B16">
        <f t="shared" si="6"/>
        <v>237.15415019762844</v>
      </c>
    </row>
    <row r="17" spans="1:7" ht="15" thickBot="1" x14ac:dyDescent="0.35">
      <c r="A17">
        <v>12.67</v>
      </c>
      <c r="B17">
        <f t="shared" si="6"/>
        <v>236.77979479084453</v>
      </c>
    </row>
    <row r="18" spans="1:7" ht="15" thickBot="1" x14ac:dyDescent="0.35">
      <c r="A18" s="2" t="s">
        <v>13</v>
      </c>
      <c r="B18" s="3">
        <f>AVERAGE(B13:B17)</f>
        <v>236.1487621304139</v>
      </c>
    </row>
    <row r="19" spans="1:7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ht="15" thickBot="1" x14ac:dyDescent="0.35">
      <c r="E20" s="4" t="s">
        <v>15</v>
      </c>
      <c r="F20" s="5">
        <f>STDEV(F13:F17)</f>
        <v>2313.6889015883949</v>
      </c>
    </row>
    <row r="22" spans="1:7" x14ac:dyDescent="0.3">
      <c r="E22" t="s">
        <v>29</v>
      </c>
      <c r="F22" s="15">
        <f>F19*'Methane Standard Curve'!B13+'Methane Standard Curve'!C13</f>
        <v>2.4277044556958109E-2</v>
      </c>
    </row>
    <row r="24" spans="1:7" x14ac:dyDescent="0.3">
      <c r="A24" t="s">
        <v>30</v>
      </c>
      <c r="B24">
        <f>B18*F22</f>
        <v>5.73299402031056</v>
      </c>
    </row>
    <row r="25" spans="1:7" x14ac:dyDescent="0.3">
      <c r="A25" t="s">
        <v>31</v>
      </c>
      <c r="B25">
        <f>B24/22.4</f>
        <v>0.25593723304957861</v>
      </c>
    </row>
    <row r="26" spans="1:7" ht="15" thickBot="1" x14ac:dyDescent="0.35">
      <c r="A26" t="s">
        <v>32</v>
      </c>
      <c r="B26">
        <f>B25*60</f>
        <v>15.356233982974716</v>
      </c>
    </row>
    <row r="27" spans="1:7" ht="15" thickBot="1" x14ac:dyDescent="0.35">
      <c r="A27" t="s">
        <v>36</v>
      </c>
      <c r="B27" s="10">
        <f>B26/(B1*0.66)</f>
        <v>32.678400542591753</v>
      </c>
    </row>
    <row r="29" spans="1:7" x14ac:dyDescent="0.3">
      <c r="A29" t="s">
        <v>66</v>
      </c>
      <c r="B29">
        <f>B27*0.66/0.34</f>
        <v>63.434542229736934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x14ac:dyDescent="0.3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" thickBot="1" x14ac:dyDescent="0.35">
      <c r="D8" s="4" t="s">
        <v>17</v>
      </c>
      <c r="E8" s="5">
        <f>STDEV(E4:E6)</f>
        <v>2.8870105582736597E-3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12.48</v>
      </c>
      <c r="B12">
        <f>50/A12*60</f>
        <v>240.38461538461539</v>
      </c>
      <c r="F12">
        <v>13870</v>
      </c>
    </row>
    <row r="13" spans="1:6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3">
      <c r="A14">
        <v>12.59</v>
      </c>
      <c r="B14">
        <f t="shared" si="3"/>
        <v>238.28435266084193</v>
      </c>
      <c r="F14">
        <v>14742</v>
      </c>
    </row>
    <row r="15" spans="1:6" x14ac:dyDescent="0.3">
      <c r="A15">
        <v>12.57</v>
      </c>
      <c r="B15">
        <f t="shared" si="3"/>
        <v>238.6634844868735</v>
      </c>
    </row>
    <row r="16" spans="1:6" ht="15" thickBot="1" x14ac:dyDescent="0.35">
      <c r="A16">
        <v>12.36</v>
      </c>
      <c r="B16">
        <f t="shared" si="3"/>
        <v>242.71844660194179</v>
      </c>
    </row>
    <row r="17" spans="1:7" ht="15" thickBot="1" x14ac:dyDescent="0.35">
      <c r="A17" s="2" t="s">
        <v>13</v>
      </c>
      <c r="B17" s="3">
        <f>AVERAGE(B12:B16)</f>
        <v>240.20295091119186</v>
      </c>
    </row>
    <row r="18" spans="1:7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" thickBot="1" x14ac:dyDescent="0.35">
      <c r="E19" s="4" t="s">
        <v>15</v>
      </c>
      <c r="F19" s="5">
        <f>STDEV(F12:F16)</f>
        <v>547.65074028374454</v>
      </c>
    </row>
    <row r="21" spans="1:7" x14ac:dyDescent="0.3">
      <c r="E21" t="s">
        <v>29</v>
      </c>
      <c r="F21" s="15">
        <f>F18*'Methane Standard Curve'!B13+'Methane Standard Curve'!C13</f>
        <v>2.4950789275587283E-2</v>
      </c>
    </row>
    <row r="23" spans="1:7" x14ac:dyDescent="0.3">
      <c r="A23" t="s">
        <v>30</v>
      </c>
      <c r="B23">
        <f>B17*F21</f>
        <v>5.9932532115593844</v>
      </c>
    </row>
    <row r="24" spans="1:7" x14ac:dyDescent="0.3">
      <c r="A24" t="s">
        <v>31</v>
      </c>
      <c r="B24">
        <f>B23/22.4</f>
        <v>0.26755594694461537</v>
      </c>
    </row>
    <row r="25" spans="1:7" ht="15" thickBot="1" x14ac:dyDescent="0.35">
      <c r="A25" t="s">
        <v>32</v>
      </c>
      <c r="B25">
        <f>B24*60</f>
        <v>16.053356816676924</v>
      </c>
    </row>
    <row r="26" spans="1:7" ht="15" thickBot="1" x14ac:dyDescent="0.35">
      <c r="A26" t="s">
        <v>36</v>
      </c>
      <c r="B26" s="10">
        <f>B25/(B1*0.66)</f>
        <v>36.195339142940391</v>
      </c>
    </row>
    <row r="28" spans="1:7" x14ac:dyDescent="0.3">
      <c r="A28" t="s">
        <v>66</v>
      </c>
      <c r="B28">
        <f>B26*0.66/0.34</f>
        <v>70.261540689237222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0.83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" thickBot="1" x14ac:dyDescent="0.35">
      <c r="F6" t="s">
        <v>49</v>
      </c>
    </row>
    <row r="7" spans="1:6" x14ac:dyDescent="0.3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" thickBot="1" x14ac:dyDescent="0.35">
      <c r="D8" s="4" t="s">
        <v>17</v>
      </c>
      <c r="E8" s="5" t="e">
        <f>STDEV(E4:E6)</f>
        <v>#DIV/0!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</v>
      </c>
      <c r="B12">
        <f>50/A12*60</f>
        <v>234.375</v>
      </c>
      <c r="F12">
        <v>10464</v>
      </c>
    </row>
    <row r="13" spans="1:6" x14ac:dyDescent="0.3">
      <c r="A13">
        <v>12.81</v>
      </c>
      <c r="B13">
        <f t="shared" ref="B13:B16" si="0">50/A13*60</f>
        <v>234.19203747072598</v>
      </c>
      <c r="F13">
        <v>10676</v>
      </c>
    </row>
    <row r="14" spans="1:6" x14ac:dyDescent="0.3">
      <c r="A14">
        <v>12.64</v>
      </c>
      <c r="B14">
        <f t="shared" si="0"/>
        <v>237.34177215189871</v>
      </c>
      <c r="F14">
        <v>10245</v>
      </c>
    </row>
    <row r="15" spans="1:6" x14ac:dyDescent="0.3">
      <c r="A15">
        <v>12.78</v>
      </c>
      <c r="B15">
        <f t="shared" si="0"/>
        <v>234.74178403755869</v>
      </c>
    </row>
    <row r="16" spans="1:6" ht="15" thickBot="1" x14ac:dyDescent="0.35">
      <c r="A16">
        <v>12.78</v>
      </c>
      <c r="B16">
        <f t="shared" si="0"/>
        <v>234.74178403755869</v>
      </c>
    </row>
    <row r="17" spans="1:7" ht="15" thickBot="1" x14ac:dyDescent="0.35">
      <c r="A17" s="2" t="s">
        <v>13</v>
      </c>
      <c r="B17" s="3">
        <f>AVERAGE(B12:B16)</f>
        <v>235.07847553954838</v>
      </c>
    </row>
    <row r="18" spans="1:7" ht="15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ht="15" thickBot="1" x14ac:dyDescent="0.35">
      <c r="E19" s="4" t="s">
        <v>15</v>
      </c>
      <c r="F19" s="5">
        <f>STDEV(F12:F16)</f>
        <v>215.50947388301361</v>
      </c>
    </row>
    <row r="21" spans="1:7" x14ac:dyDescent="0.3">
      <c r="E21" t="s">
        <v>29</v>
      </c>
      <c r="F21" s="15">
        <f>F18*'Methane Standard Curve'!B13+'Methane Standard Curve'!C13</f>
        <v>1.8302845258925997E-2</v>
      </c>
    </row>
    <row r="23" spans="1:7" x14ac:dyDescent="0.3">
      <c r="A23" t="s">
        <v>30</v>
      </c>
      <c r="B23">
        <f>B17*F21</f>
        <v>4.3026049615045743</v>
      </c>
    </row>
    <row r="24" spans="1:7" x14ac:dyDescent="0.3">
      <c r="A24" t="s">
        <v>31</v>
      </c>
      <c r="B24">
        <f>B23/22.4</f>
        <v>0.19208057863859707</v>
      </c>
    </row>
    <row r="25" spans="1:7" ht="15" thickBot="1" x14ac:dyDescent="0.35">
      <c r="A25" t="s">
        <v>32</v>
      </c>
      <c r="B25">
        <f>B24*60</f>
        <v>11.524834718315823</v>
      </c>
    </row>
    <row r="26" spans="1:7" ht="15" thickBot="1" x14ac:dyDescent="0.35">
      <c r="A26" t="s">
        <v>36</v>
      </c>
      <c r="B26" s="10">
        <f>B25/(B1*0.66)</f>
        <v>21.038398536538562</v>
      </c>
    </row>
    <row r="28" spans="1:7" x14ac:dyDescent="0.3">
      <c r="A28" t="s">
        <v>66</v>
      </c>
      <c r="B28">
        <f>B26*0.66/0.34</f>
        <v>40.839244217986618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8" sqref="A28:B28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0.68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x14ac:dyDescent="0.3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" thickBot="1" x14ac:dyDescent="0.35">
      <c r="D8" s="4" t="s">
        <v>17</v>
      </c>
      <c r="E8" s="5">
        <f>STDEV(E4:E6)</f>
        <v>3.769238730890744E-3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12.85</v>
      </c>
      <c r="B12">
        <f>50/A12*60</f>
        <v>233.46303501945525</v>
      </c>
      <c r="F12">
        <v>12209</v>
      </c>
    </row>
    <row r="13" spans="1:6" x14ac:dyDescent="0.3">
      <c r="A13">
        <v>12.8</v>
      </c>
      <c r="B13">
        <f t="shared" ref="B13:B16" si="3">50/A13*60</f>
        <v>234.375</v>
      </c>
      <c r="F13">
        <v>12955</v>
      </c>
    </row>
    <row r="14" spans="1:6" x14ac:dyDescent="0.3">
      <c r="A14">
        <v>12.83</v>
      </c>
      <c r="B14">
        <f t="shared" si="3"/>
        <v>233.8269680436477</v>
      </c>
      <c r="F14">
        <v>12671</v>
      </c>
    </row>
    <row r="15" spans="1:6" x14ac:dyDescent="0.3">
      <c r="A15">
        <v>12.83</v>
      </c>
      <c r="B15">
        <f t="shared" si="3"/>
        <v>233.8269680436477</v>
      </c>
    </row>
    <row r="16" spans="1:6" ht="15" thickBot="1" x14ac:dyDescent="0.35">
      <c r="A16">
        <v>12.86</v>
      </c>
      <c r="B16">
        <f t="shared" si="3"/>
        <v>233.28149300155525</v>
      </c>
    </row>
    <row r="17" spans="1:7" ht="15" thickBot="1" x14ac:dyDescent="0.35">
      <c r="A17" s="2" t="s">
        <v>13</v>
      </c>
      <c r="B17" s="3">
        <f>AVERAGE(B12:B16)</f>
        <v>233.75469282166114</v>
      </c>
    </row>
    <row r="18" spans="1:7" ht="15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7" ht="15" thickBot="1" x14ac:dyDescent="0.35">
      <c r="E19" s="4" t="s">
        <v>15</v>
      </c>
      <c r="F19" s="5">
        <f>STDEV(F12:F16)</f>
        <v>376.52268634616604</v>
      </c>
    </row>
    <row r="21" spans="1:7" x14ac:dyDescent="0.3">
      <c r="E21" t="s">
        <v>29</v>
      </c>
      <c r="F21" s="15">
        <f>F18*'Methane Standard Curve'!B13+'Methane Standard Curve'!C13</f>
        <v>2.1844535100130694E-2</v>
      </c>
    </row>
    <row r="23" spans="1:7" x14ac:dyDescent="0.3">
      <c r="A23" t="s">
        <v>33</v>
      </c>
      <c r="B23">
        <f>B17*F21</f>
        <v>5.1062625921630449</v>
      </c>
    </row>
    <row r="24" spans="1:7" x14ac:dyDescent="0.3">
      <c r="A24" t="s">
        <v>34</v>
      </c>
      <c r="B24">
        <f>B23/22.4</f>
        <v>0.22795815143585024</v>
      </c>
    </row>
    <row r="25" spans="1:7" ht="15" thickBot="1" x14ac:dyDescent="0.35">
      <c r="A25" t="s">
        <v>35</v>
      </c>
      <c r="B25">
        <f>B24*60</f>
        <v>13.677489086151015</v>
      </c>
      <c r="C25" t="s">
        <v>44</v>
      </c>
    </row>
    <row r="26" spans="1:7" ht="15" thickBot="1" x14ac:dyDescent="0.35">
      <c r="A26" t="s">
        <v>36</v>
      </c>
      <c r="B26" s="10">
        <f>B25/(B1*0.66)</f>
        <v>30.475688694632385</v>
      </c>
      <c r="C26">
        <f>B25/(B1*0.34)</f>
        <v>59.158689818992265</v>
      </c>
    </row>
    <row r="28" spans="1:7" x14ac:dyDescent="0.3">
      <c r="A28" t="s">
        <v>66</v>
      </c>
      <c r="B28">
        <f>B26*0.66/0.34</f>
        <v>59.158689818992272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3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</row>
    <row r="32" spans="1:7" x14ac:dyDescent="0.3">
      <c r="D32" t="s">
        <v>54</v>
      </c>
      <c r="E32">
        <f>E31/E35</f>
        <v>2.4799441307582417</v>
      </c>
    </row>
    <row r="35" spans="4:5" x14ac:dyDescent="0.3">
      <c r="D35" t="s">
        <v>52</v>
      </c>
      <c r="E35">
        <f>LN(2)</f>
        <v>0.69314718055994529</v>
      </c>
    </row>
    <row r="36" spans="4:5" x14ac:dyDescent="0.3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30" sqref="A30:B30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0.80400000000000005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x14ac:dyDescent="0.3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x14ac:dyDescent="0.3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x14ac:dyDescent="0.3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" thickBot="1" x14ac:dyDescent="0.35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x14ac:dyDescent="0.3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" thickBot="1" x14ac:dyDescent="0.35">
      <c r="D10" s="4" t="s">
        <v>17</v>
      </c>
      <c r="E10" s="5">
        <f>STDEV(E4:E8)</f>
        <v>2.6388241743311911E-3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A14">
        <v>12.74</v>
      </c>
      <c r="B14">
        <f>50/A14*60</f>
        <v>235.47880690737833</v>
      </c>
      <c r="F14">
        <v>10270</v>
      </c>
    </row>
    <row r="15" spans="1:6" x14ac:dyDescent="0.3">
      <c r="A15">
        <v>12.64</v>
      </c>
      <c r="B15">
        <f t="shared" ref="B15:B18" si="6">50/A15*60</f>
        <v>237.34177215189871</v>
      </c>
      <c r="F15">
        <v>9831</v>
      </c>
    </row>
    <row r="16" spans="1:6" x14ac:dyDescent="0.3">
      <c r="A16">
        <v>12.66</v>
      </c>
      <c r="B16">
        <f t="shared" si="6"/>
        <v>236.96682464454977</v>
      </c>
      <c r="F16">
        <v>9667</v>
      </c>
    </row>
    <row r="17" spans="1:7" x14ac:dyDescent="0.3">
      <c r="A17">
        <v>12.75</v>
      </c>
      <c r="B17">
        <f t="shared" si="6"/>
        <v>235.29411764705881</v>
      </c>
    </row>
    <row r="18" spans="1:7" ht="15" thickBot="1" x14ac:dyDescent="0.35">
      <c r="A18">
        <v>12.51</v>
      </c>
      <c r="B18">
        <f t="shared" si="6"/>
        <v>239.80815347721824</v>
      </c>
    </row>
    <row r="19" spans="1:7" ht="15" thickBot="1" x14ac:dyDescent="0.35">
      <c r="A19" s="2" t="s">
        <v>13</v>
      </c>
      <c r="B19" s="3">
        <f>AVERAGE(B14:B18)</f>
        <v>236.97793496562076</v>
      </c>
    </row>
    <row r="20" spans="1:7" ht="15" thickBot="1" x14ac:dyDescent="0.35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7" ht="15" thickBot="1" x14ac:dyDescent="0.35">
      <c r="E21" s="4" t="s">
        <v>15</v>
      </c>
      <c r="F21" s="5">
        <f>STDEV(F14:F18)</f>
        <v>311.77609487151727</v>
      </c>
    </row>
    <row r="23" spans="1:7" x14ac:dyDescent="0.3">
      <c r="E23" t="s">
        <v>29</v>
      </c>
      <c r="F23" s="15">
        <f>F20*'Methane Standard Curve'!B13+'Methane Standard Curve'!C13</f>
        <v>1.7414951852223977E-2</v>
      </c>
    </row>
    <row r="25" spans="1:7" x14ac:dyDescent="0.3">
      <c r="A25" t="s">
        <v>33</v>
      </c>
      <c r="B25">
        <f>B19*F23</f>
        <v>4.1269593274657508</v>
      </c>
    </row>
    <row r="26" spans="1:7" x14ac:dyDescent="0.3">
      <c r="A26" t="s">
        <v>34</v>
      </c>
      <c r="B26">
        <f>B25/22.4</f>
        <v>0.18423925569043531</v>
      </c>
    </row>
    <row r="27" spans="1:7" ht="15" thickBot="1" x14ac:dyDescent="0.35">
      <c r="A27" t="s">
        <v>35</v>
      </c>
      <c r="B27">
        <f>B26*60</f>
        <v>11.054355341426119</v>
      </c>
      <c r="C27" t="s">
        <v>44</v>
      </c>
    </row>
    <row r="28" spans="1:7" ht="15" thickBot="1" x14ac:dyDescent="0.35">
      <c r="A28" t="s">
        <v>36</v>
      </c>
      <c r="B28" s="10">
        <f>B27/(B1*0.66)</f>
        <v>20.832118463414211</v>
      </c>
      <c r="C28">
        <f>B27/(B1*0.34)</f>
        <v>40.438818193686409</v>
      </c>
    </row>
    <row r="30" spans="1:7" x14ac:dyDescent="0.3">
      <c r="A30" t="s">
        <v>66</v>
      </c>
      <c r="B30">
        <f>B28*0.66/0.34</f>
        <v>40.438818193686409</v>
      </c>
    </row>
    <row r="32" spans="1:7" x14ac:dyDescent="0.3">
      <c r="A32" t="s">
        <v>45</v>
      </c>
      <c r="B32" t="s">
        <v>46</v>
      </c>
      <c r="C32" t="s">
        <v>47</v>
      </c>
      <c r="D32" t="s">
        <v>48</v>
      </c>
      <c r="E32" t="s">
        <v>50</v>
      </c>
      <c r="F32" t="s">
        <v>51</v>
      </c>
      <c r="G32" t="s">
        <v>55</v>
      </c>
    </row>
    <row r="33" spans="2:7" x14ac:dyDescent="0.3">
      <c r="B33">
        <f>B1/B25</f>
        <v>0.19481655529028771</v>
      </c>
      <c r="C33">
        <f>B33*0.34</f>
        <v>6.6237628798697823E-2</v>
      </c>
      <c r="D33">
        <f>C33/F9</f>
        <v>7.2896885536897365E-5</v>
      </c>
      <c r="E33">
        <f>D33*22400</f>
        <v>1.632890236026501</v>
      </c>
      <c r="F33">
        <f>E33/0.34*0.66</f>
        <v>3.1697281052279132</v>
      </c>
      <c r="G33">
        <f>2.31*0.66/0.34</f>
        <v>4.4841176470588238</v>
      </c>
    </row>
    <row r="34" spans="2:7" x14ac:dyDescent="0.3">
      <c r="D34" t="s">
        <v>54</v>
      </c>
      <c r="E34">
        <f>E33/E37</f>
        <v>2.355762645831442</v>
      </c>
    </row>
    <row r="37" spans="2:7" x14ac:dyDescent="0.3">
      <c r="D37" t="s">
        <v>52</v>
      </c>
      <c r="E37">
        <f>LN(2)</f>
        <v>0.69314718055994529</v>
      </c>
    </row>
    <row r="38" spans="2:7" x14ac:dyDescent="0.3">
      <c r="D38" t="s">
        <v>53</v>
      </c>
      <c r="E38">
        <f>F33*E37</f>
        <v>2.1970880992803457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9" workbookViewId="0">
      <selection activeCell="B27" sqref="B27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0.66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x14ac:dyDescent="0.3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x14ac:dyDescent="0.3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x14ac:dyDescent="0.3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" thickBot="1" x14ac:dyDescent="0.35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x14ac:dyDescent="0.3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" thickBot="1" x14ac:dyDescent="0.35">
      <c r="D10" s="4" t="s">
        <v>17</v>
      </c>
      <c r="E10" s="5">
        <f>STDEV(E4:E8)</f>
        <v>3.1993489528702739E-3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A14">
        <v>11.83</v>
      </c>
      <c r="B14">
        <f>50/A14*60</f>
        <v>253.59256128486896</v>
      </c>
      <c r="F14">
        <v>9371.4</v>
      </c>
    </row>
    <row r="15" spans="1:6" x14ac:dyDescent="0.3">
      <c r="A15">
        <v>11.87</v>
      </c>
      <c r="B15">
        <f t="shared" ref="B15:B18" si="6">50/A15*60</f>
        <v>252.73799494524013</v>
      </c>
      <c r="F15">
        <v>8942.6</v>
      </c>
    </row>
    <row r="16" spans="1:6" x14ac:dyDescent="0.3">
      <c r="A16">
        <v>12.02</v>
      </c>
      <c r="B16">
        <f t="shared" si="6"/>
        <v>249.58402662229616</v>
      </c>
      <c r="F16">
        <v>9899.7000000000007</v>
      </c>
    </row>
    <row r="17" spans="1:7" x14ac:dyDescent="0.3">
      <c r="A17">
        <v>11.77</v>
      </c>
      <c r="B17">
        <f t="shared" si="6"/>
        <v>254.88530161427357</v>
      </c>
      <c r="F17">
        <v>9318.2000000000007</v>
      </c>
    </row>
    <row r="18" spans="1:7" ht="15" thickBot="1" x14ac:dyDescent="0.35">
      <c r="A18">
        <v>11.88</v>
      </c>
      <c r="B18">
        <f t="shared" si="6"/>
        <v>252.52525252525251</v>
      </c>
      <c r="F18">
        <v>9694</v>
      </c>
    </row>
    <row r="19" spans="1:7" ht="15" thickBot="1" x14ac:dyDescent="0.35">
      <c r="A19" s="2" t="s">
        <v>13</v>
      </c>
      <c r="B19" s="3">
        <f>AVERAGE(B14:B18)</f>
        <v>252.66502739838626</v>
      </c>
    </row>
    <row r="20" spans="1:7" ht="15" thickBot="1" x14ac:dyDescent="0.35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7" ht="15" thickBot="1" x14ac:dyDescent="0.35">
      <c r="E21" s="4" t="s">
        <v>15</v>
      </c>
      <c r="F21" s="5">
        <f>STDEV(F14:F18)</f>
        <v>368.32522585345691</v>
      </c>
    </row>
    <row r="23" spans="1:7" x14ac:dyDescent="0.3">
      <c r="E23" t="s">
        <v>29</v>
      </c>
      <c r="F23" s="15">
        <f>F20*'Methane Standard Curve'!B13+'Methane Standard Curve'!C13</f>
        <v>1.662838921192443E-2</v>
      </c>
    </row>
    <row r="25" spans="1:7" x14ac:dyDescent="0.3">
      <c r="A25" t="s">
        <v>33</v>
      </c>
      <c r="B25">
        <f>B19*F23</f>
        <v>4.2014124158219168</v>
      </c>
    </row>
    <row r="26" spans="1:7" x14ac:dyDescent="0.3">
      <c r="A26" t="s">
        <v>34</v>
      </c>
      <c r="B26">
        <f>B25/22.4</f>
        <v>0.18756305427776415</v>
      </c>
    </row>
    <row r="27" spans="1:7" ht="15" thickBot="1" x14ac:dyDescent="0.35">
      <c r="A27" t="s">
        <v>35</v>
      </c>
      <c r="B27">
        <f>B26*60</f>
        <v>11.25378325666585</v>
      </c>
      <c r="C27" t="s">
        <v>44</v>
      </c>
    </row>
    <row r="28" spans="1:7" ht="15" thickBot="1" x14ac:dyDescent="0.35">
      <c r="A28" t="s">
        <v>36</v>
      </c>
      <c r="B28" s="10">
        <f>B27/(B1*0.66)</f>
        <v>25.835131443218202</v>
      </c>
      <c r="C28">
        <f>B27/(B1*0.34)</f>
        <v>50.150549272129453</v>
      </c>
    </row>
    <row r="30" spans="1:7" x14ac:dyDescent="0.3">
      <c r="A30" t="s">
        <v>66</v>
      </c>
      <c r="B30">
        <f>B28*0.66/0.34</f>
        <v>50.150549272129453</v>
      </c>
    </row>
    <row r="32" spans="1:7" x14ac:dyDescent="0.3">
      <c r="A32" t="s">
        <v>45</v>
      </c>
      <c r="B32" t="s">
        <v>46</v>
      </c>
      <c r="C32" t="s">
        <v>47</v>
      </c>
      <c r="D32" t="s">
        <v>48</v>
      </c>
      <c r="E32" t="s">
        <v>50</v>
      </c>
      <c r="F32" t="s">
        <v>51</v>
      </c>
      <c r="G32" t="s">
        <v>55</v>
      </c>
    </row>
    <row r="33" spans="2:7" x14ac:dyDescent="0.3">
      <c r="B33">
        <f>B1/B25</f>
        <v>0.15709002941832959</v>
      </c>
      <c r="C33">
        <f>B33*0.34</f>
        <v>5.3410610002232066E-2</v>
      </c>
      <c r="D33">
        <f>C33/F9</f>
        <v>7.7355720989561193E-5</v>
      </c>
      <c r="E33">
        <f>D33*22400</f>
        <v>1.7327681501661707</v>
      </c>
      <c r="F33">
        <f>E33/0.34*0.66</f>
        <v>3.3636087620872726</v>
      </c>
      <c r="G33">
        <f>2.31*0.66/0.34</f>
        <v>4.4841176470588238</v>
      </c>
    </row>
    <row r="34" spans="2:7" x14ac:dyDescent="0.3">
      <c r="D34" t="s">
        <v>54</v>
      </c>
      <c r="E34">
        <f>E33/E37</f>
        <v>2.4998560172550772</v>
      </c>
    </row>
    <row r="37" spans="2:7" x14ac:dyDescent="0.3">
      <c r="D37" t="s">
        <v>52</v>
      </c>
      <c r="E37">
        <f>LN(2)</f>
        <v>0.69314718055994529</v>
      </c>
    </row>
    <row r="38" spans="2:7" x14ac:dyDescent="0.3">
      <c r="D38" t="s">
        <v>53</v>
      </c>
      <c r="E38">
        <f>F33*E37</f>
        <v>2.331475929947521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of Results</vt:lpstr>
      <vt:lpstr>10_22</vt:lpstr>
      <vt:lpstr>10_27</vt:lpstr>
      <vt:lpstr>11_2</vt:lpstr>
      <vt:lpstr>11_5</vt:lpstr>
      <vt:lpstr>11_12</vt:lpstr>
      <vt:lpstr>11_19</vt:lpstr>
      <vt:lpstr>12_01</vt:lpstr>
      <vt:lpstr>12_07</vt:lpstr>
      <vt:lpstr>Methane Standard Curve</vt:lpstr>
      <vt:lpstr>Compilation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2015-12-01T19:29:33Z</cp:lastPrinted>
  <dcterms:created xsi:type="dcterms:W3CDTF">2015-10-26T23:35:27Z</dcterms:created>
  <dcterms:modified xsi:type="dcterms:W3CDTF">2015-12-07T23:11:13Z</dcterms:modified>
</cp:coreProperties>
</file>