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132" windowWidth="14340" windowHeight="5832" activeTab="1"/>
  </bookViews>
  <sheets>
    <sheet name="Filtering and Spin" sheetId="5" r:id="rId1"/>
    <sheet name="OD v Cell Density Chart" sheetId="6" r:id="rId2"/>
    <sheet name="Trial 1" sheetId="1" r:id="rId3"/>
    <sheet name="Trial 2" sheetId="2" r:id="rId4"/>
    <sheet name="Salts Calculations" sheetId="3" r:id="rId5"/>
    <sheet name="Filtering Method" sheetId="4" r:id="rId6"/>
  </sheets>
  <calcPr calcId="145621"/>
</workbook>
</file>

<file path=xl/calcChain.xml><?xml version="1.0" encoding="utf-8"?>
<calcChain xmlns="http://schemas.openxmlformats.org/spreadsheetml/2006/main">
  <c r="G18" i="5" l="1"/>
  <c r="F16" i="5" l="1"/>
  <c r="G16" i="5" s="1"/>
  <c r="H16" i="5" s="1"/>
  <c r="I16" i="5" s="1"/>
  <c r="F15" i="5"/>
  <c r="G15" i="5" s="1"/>
  <c r="H15" i="5" s="1"/>
  <c r="I15" i="5" s="1"/>
  <c r="F14" i="5" l="1"/>
  <c r="G14" i="5" s="1"/>
  <c r="H14" i="5" s="1"/>
  <c r="I14" i="5" s="1"/>
  <c r="F13" i="5"/>
  <c r="G13" i="5" s="1"/>
  <c r="H13" i="5" s="1"/>
  <c r="I13" i="5" s="1"/>
  <c r="G7" i="5" l="1"/>
  <c r="F7" i="5"/>
  <c r="F4" i="5" s="1"/>
  <c r="F9" i="5" l="1"/>
  <c r="G9" i="5" s="1"/>
  <c r="H9" i="5" s="1"/>
  <c r="I9" i="5" s="1"/>
  <c r="F10" i="5"/>
  <c r="G10" i="5" s="1"/>
  <c r="H10" i="5" s="1"/>
  <c r="I10" i="5" s="1"/>
  <c r="F12" i="5"/>
  <c r="G12" i="5" s="1"/>
  <c r="H12" i="5" s="1"/>
  <c r="I12" i="5" s="1"/>
  <c r="F11" i="5"/>
  <c r="G11" i="5" s="1"/>
  <c r="H11" i="5" s="1"/>
  <c r="I11" i="5" s="1"/>
  <c r="F3" i="5"/>
  <c r="G3" i="5" s="1"/>
  <c r="H3" i="5" s="1"/>
  <c r="I3" i="5" s="1"/>
  <c r="F2" i="5"/>
  <c r="G2" i="5" s="1"/>
  <c r="H2" i="5" s="1"/>
  <c r="I2" i="5" s="1"/>
  <c r="F5" i="5"/>
  <c r="G5" i="5" s="1"/>
  <c r="H5" i="5" s="1"/>
  <c r="I5" i="5" s="1"/>
  <c r="G4" i="5"/>
  <c r="H4" i="5" s="1"/>
  <c r="I4" i="5" s="1"/>
  <c r="O9" i="2" l="1"/>
  <c r="K5" i="2"/>
  <c r="K9" i="2" s="1"/>
  <c r="K6" i="2"/>
  <c r="K7" i="2"/>
  <c r="K4" i="2"/>
  <c r="L4" i="2" s="1"/>
  <c r="L4" i="1"/>
  <c r="P7" i="2"/>
  <c r="L7" i="2"/>
  <c r="N7" i="2" s="1"/>
  <c r="O7" i="2" s="1"/>
  <c r="P6" i="2"/>
  <c r="L6" i="2"/>
  <c r="M6" i="2" s="1"/>
  <c r="N6" i="2" l="1"/>
  <c r="O6" i="2" s="1"/>
  <c r="K8" i="2"/>
  <c r="L5" i="2"/>
  <c r="P5" i="2"/>
  <c r="M4" i="2"/>
  <c r="N4" i="2"/>
  <c r="O4" i="2" s="1"/>
  <c r="L9" i="2"/>
  <c r="M7" i="2"/>
  <c r="L8" i="2"/>
  <c r="AC24" i="4"/>
  <c r="AC25" i="4"/>
  <c r="AC23" i="4"/>
  <c r="AA24" i="4"/>
  <c r="AA25" i="4"/>
  <c r="AA23" i="4"/>
  <c r="Z24" i="4"/>
  <c r="Z25" i="4"/>
  <c r="Z23" i="4"/>
  <c r="M5" i="2" l="1"/>
  <c r="N5" i="2"/>
  <c r="O5" i="2" s="1"/>
  <c r="M8" i="2"/>
  <c r="M9" i="2"/>
  <c r="M4" i="4"/>
  <c r="L4" i="4"/>
  <c r="F13" i="4"/>
  <c r="F14" i="4"/>
  <c r="F12" i="4"/>
  <c r="G12" i="4"/>
  <c r="G24" i="4"/>
  <c r="G21" i="4"/>
  <c r="G22" i="4"/>
  <c r="G23" i="4"/>
  <c r="G20" i="4"/>
  <c r="F24" i="4"/>
  <c r="F23" i="4"/>
  <c r="E21" i="4"/>
  <c r="F21" i="4" s="1"/>
  <c r="E22" i="4"/>
  <c r="F22" i="4" s="1"/>
  <c r="E20" i="4"/>
  <c r="F20" i="4" s="1"/>
  <c r="M2" i="4" l="1"/>
  <c r="L2" i="4"/>
  <c r="I7" i="4"/>
  <c r="I8" i="4"/>
  <c r="I6" i="4"/>
  <c r="I5" i="4"/>
  <c r="I4" i="4"/>
  <c r="F16" i="4"/>
  <c r="F15" i="4"/>
  <c r="G13" i="4"/>
  <c r="G15" i="4" s="1"/>
  <c r="G14" i="4"/>
  <c r="H14" i="4" s="1"/>
  <c r="H7" i="4"/>
  <c r="H8" i="4"/>
  <c r="G8" i="4"/>
  <c r="G7" i="4"/>
  <c r="H5" i="4"/>
  <c r="H6" i="4"/>
  <c r="H4" i="4"/>
  <c r="G4" i="4"/>
  <c r="G5" i="4"/>
  <c r="G6" i="4"/>
  <c r="G3" i="4"/>
  <c r="G16" i="4" l="1"/>
  <c r="H12" i="4"/>
  <c r="H13" i="4"/>
  <c r="D13" i="3"/>
  <c r="O5" i="1"/>
  <c r="O6" i="1"/>
  <c r="O7" i="1"/>
  <c r="N7" i="1"/>
  <c r="N6" i="1"/>
  <c r="N5" i="1"/>
  <c r="N4" i="1"/>
  <c r="O4" i="1" s="1"/>
  <c r="O16" i="1" s="1"/>
  <c r="P5" i="1"/>
  <c r="P6" i="1"/>
  <c r="P7" i="1"/>
  <c r="D14" i="3"/>
  <c r="M8" i="1"/>
  <c r="L8" i="1"/>
  <c r="D15" i="3"/>
  <c r="H11" i="3"/>
  <c r="E13" i="1"/>
  <c r="B15" i="3"/>
  <c r="L9" i="1"/>
  <c r="M9" i="1"/>
  <c r="K9" i="1"/>
  <c r="K8" i="1"/>
  <c r="L5" i="1"/>
  <c r="M5" i="1" s="1"/>
  <c r="L6" i="1"/>
  <c r="M6" i="1" s="1"/>
  <c r="L7" i="1"/>
  <c r="M7" i="1" s="1"/>
  <c r="M4" i="1"/>
  <c r="H15" i="4" l="1"/>
  <c r="L3" i="4" s="1"/>
  <c r="H16" i="4"/>
  <c r="M3" i="4" s="1"/>
  <c r="O9" i="1"/>
  <c r="I9" i="1"/>
  <c r="G8" i="1"/>
  <c r="G9" i="1" l="1"/>
  <c r="G5" i="1"/>
  <c r="G6" i="1"/>
  <c r="G7" i="1"/>
  <c r="G4" i="1"/>
  <c r="D9" i="2"/>
  <c r="C9" i="2"/>
  <c r="B9" i="2"/>
  <c r="D8" i="2"/>
  <c r="C8" i="2"/>
  <c r="B8" i="2"/>
  <c r="F7" i="2"/>
  <c r="G7" i="2" s="1"/>
  <c r="E7" i="2"/>
  <c r="F6" i="2"/>
  <c r="G6" i="2" s="1"/>
  <c r="E6" i="2"/>
  <c r="F5" i="2"/>
  <c r="G5" i="2" s="1"/>
  <c r="E5" i="2"/>
  <c r="F4" i="2"/>
  <c r="G4" i="2" s="1"/>
  <c r="E4" i="2"/>
  <c r="C9" i="1"/>
  <c r="D9" i="1"/>
  <c r="E9" i="1"/>
  <c r="F9" i="1"/>
  <c r="B9" i="1"/>
  <c r="C8" i="1"/>
  <c r="D8" i="1"/>
  <c r="E8" i="1"/>
  <c r="F8" i="1"/>
  <c r="B8" i="1"/>
  <c r="E5" i="1"/>
  <c r="F5" i="1"/>
  <c r="E6" i="1"/>
  <c r="F6" i="1"/>
  <c r="E7" i="1"/>
  <c r="F7" i="1"/>
  <c r="F4" i="1"/>
  <c r="E4" i="1"/>
  <c r="G8" i="2" l="1"/>
  <c r="I9" i="2" s="1"/>
  <c r="G9" i="2"/>
  <c r="E8" i="2"/>
  <c r="E9" i="2"/>
  <c r="F8" i="2"/>
  <c r="F9" i="2"/>
</calcChain>
</file>

<file path=xl/sharedStrings.xml><?xml version="1.0" encoding="utf-8"?>
<sst xmlns="http://schemas.openxmlformats.org/spreadsheetml/2006/main" count="133" uniqueCount="71">
  <si>
    <t xml:space="preserve">Date: </t>
  </si>
  <si>
    <t>Sample #</t>
  </si>
  <si>
    <t>Tube Wt.</t>
  </si>
  <si>
    <t>Wet Wt.</t>
  </si>
  <si>
    <t xml:space="preserve">Dry Wt. </t>
  </si>
  <si>
    <t>Wet Cell Wt.</t>
  </si>
  <si>
    <t xml:space="preserve">OD: </t>
  </si>
  <si>
    <t>Dry Cell Wt.</t>
  </si>
  <si>
    <t>Averages</t>
  </si>
  <si>
    <t>St Dev</t>
  </si>
  <si>
    <t>Units</t>
  </si>
  <si>
    <t>g</t>
  </si>
  <si>
    <t>mg/ml</t>
  </si>
  <si>
    <t>Density</t>
  </si>
  <si>
    <t>OD = 1</t>
  </si>
  <si>
    <t>Dry Wt. 2</t>
  </si>
  <si>
    <t>Dry cell Wt. 2</t>
  </si>
  <si>
    <t>Density 2</t>
  </si>
  <si>
    <t>Compound</t>
  </si>
  <si>
    <t>Amount (g)</t>
  </si>
  <si>
    <t>KCl</t>
  </si>
  <si>
    <t>NaCl</t>
  </si>
  <si>
    <t>NaHCO3</t>
  </si>
  <si>
    <t>FeSO4</t>
  </si>
  <si>
    <t>CaCl2</t>
  </si>
  <si>
    <t>MgCl2</t>
  </si>
  <si>
    <t>MgSO4</t>
  </si>
  <si>
    <t>Amount (mL)</t>
  </si>
  <si>
    <t>Total Wt</t>
  </si>
  <si>
    <t>g salts/g media</t>
  </si>
  <si>
    <t>g salts in media</t>
  </si>
  <si>
    <t>Wet-Dry</t>
  </si>
  <si>
    <t>Minus Salts</t>
  </si>
  <si>
    <t xml:space="preserve">No Salt Density </t>
  </si>
  <si>
    <t>Sample</t>
  </si>
  <si>
    <t>C</t>
  </si>
  <si>
    <t>Initial Wt</t>
  </si>
  <si>
    <t>OD:</t>
  </si>
  <si>
    <t>Adjusted</t>
  </si>
  <si>
    <t>Added</t>
  </si>
  <si>
    <t>Average:</t>
  </si>
  <si>
    <t>Stdev:</t>
  </si>
  <si>
    <t>Stdev</t>
  </si>
  <si>
    <t>OD</t>
  </si>
  <si>
    <t>Cell Dens.</t>
  </si>
  <si>
    <t>Avg. Dens</t>
  </si>
  <si>
    <t>Average</t>
  </si>
  <si>
    <t>All Numbers</t>
  </si>
  <si>
    <t>Cell Dens</t>
  </si>
  <si>
    <t>Uptake</t>
  </si>
  <si>
    <t>Growth</t>
  </si>
  <si>
    <t>Yield</t>
  </si>
  <si>
    <t>DT Yield</t>
  </si>
  <si>
    <t>Acetate</t>
  </si>
  <si>
    <t>Methanol</t>
  </si>
  <si>
    <t>CO</t>
  </si>
  <si>
    <t>Predit G</t>
  </si>
  <si>
    <t>Predict Y</t>
  </si>
  <si>
    <t>Date</t>
  </si>
  <si>
    <t>End Wt (g)</t>
  </si>
  <si>
    <t>Start Wt (g)</t>
  </si>
  <si>
    <t>Control Adjust</t>
  </si>
  <si>
    <t>Final Wt (g)</t>
  </si>
  <si>
    <t>Control 1</t>
  </si>
  <si>
    <t>Control 2</t>
  </si>
  <si>
    <t>N/A</t>
  </si>
  <si>
    <t>Average Ctrl.</t>
  </si>
  <si>
    <t>Ctrl. Stdev.</t>
  </si>
  <si>
    <t>Final Density (g/L)</t>
  </si>
  <si>
    <t>Local Density (g/L)</t>
  </si>
  <si>
    <t>&lt;- Broken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</si>
</sst>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" fontId="0" fillId="0" borderId="0" xfId="0" applyNumberFormat="1"/>
    <xf numFmtId="16" fontId="1" fillId="0" borderId="0" xfId="0" applyNumberFormat="1" applyFont="1"/>
    <xf numFmtId="0" fontId="1" fillId="0" borderId="0" xfId="0" applyFont="1"/>
    <xf numFmtId="0" fontId="0" fillId="0" borderId="0" xfId="0" applyFont="1"/>
    <xf numFmtId="16" fontId="0" fillId="0" borderId="0" xfId="0" applyNumberFormat="1" applyFont="1"/>
    <xf numFmtId="0" fontId="0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43940781453105099"/>
                  <c:y val="0.1372505580995697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'Filtering and Spin'!$C$9:$C$16</c:f>
              <c:numCache>
                <c:formatCode>General</c:formatCode>
                <c:ptCount val="8"/>
                <c:pt idx="0">
                  <c:v>0.63400000000000001</c:v>
                </c:pt>
                <c:pt idx="1">
                  <c:v>0.63400000000000001</c:v>
                </c:pt>
                <c:pt idx="2">
                  <c:v>0.66200000000000003</c:v>
                </c:pt>
                <c:pt idx="3">
                  <c:v>0.66200000000000003</c:v>
                </c:pt>
                <c:pt idx="4">
                  <c:v>0.84499999999999997</c:v>
                </c:pt>
                <c:pt idx="5">
                  <c:v>0.84499999999999997</c:v>
                </c:pt>
                <c:pt idx="6">
                  <c:v>0.85</c:v>
                </c:pt>
                <c:pt idx="7">
                  <c:v>0.85</c:v>
                </c:pt>
              </c:numCache>
            </c:numRef>
          </c:xVal>
          <c:yVal>
            <c:numRef>
              <c:f>'Filtering and Spin'!$H$9:$H$16</c:f>
              <c:numCache>
                <c:formatCode>General</c:formatCode>
                <c:ptCount val="8"/>
                <c:pt idx="0">
                  <c:v>0.26999999999999247</c:v>
                </c:pt>
                <c:pt idx="1">
                  <c:v>0.26999999999999247</c:v>
                </c:pt>
                <c:pt idx="2">
                  <c:v>0.33000000000000362</c:v>
                </c:pt>
                <c:pt idx="3">
                  <c:v>0.22999999999999687</c:v>
                </c:pt>
                <c:pt idx="4">
                  <c:v>0.51000000000000156</c:v>
                </c:pt>
                <c:pt idx="5">
                  <c:v>0.38999999999998813</c:v>
                </c:pt>
                <c:pt idx="6">
                  <c:v>0.36999999999999922</c:v>
                </c:pt>
                <c:pt idx="7">
                  <c:v>0.54999999999999716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32640"/>
        <c:axId val="85246720"/>
      </c:scatterChart>
      <c:valAx>
        <c:axId val="8523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85246720"/>
        <c:crosses val="autoZero"/>
        <c:crossBetween val="midCat"/>
      </c:valAx>
      <c:valAx>
        <c:axId val="8524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85232640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Plotting Averages Only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2311601860139713"/>
                  <c:y val="0.10812698091627464"/>
                </c:manualLayout>
              </c:layout>
              <c:numFmt formatCode="General" sourceLinked="0"/>
            </c:trendlineLbl>
          </c:trendline>
          <c:xVal>
            <c:numRef>
              <c:f>'Filtering Method'!$K$2:$K$4</c:f>
              <c:numCache>
                <c:formatCode>General</c:formatCode>
                <c:ptCount val="3"/>
                <c:pt idx="0">
                  <c:v>0.83</c:v>
                </c:pt>
                <c:pt idx="1">
                  <c:v>0.63400000000000001</c:v>
                </c:pt>
                <c:pt idx="2">
                  <c:v>0.69199999999999995</c:v>
                </c:pt>
              </c:numCache>
            </c:numRef>
          </c:xVal>
          <c:yVal>
            <c:numRef>
              <c:f>'Filtering Method'!$L$2:$L$4</c:f>
              <c:numCache>
                <c:formatCode>General</c:formatCode>
                <c:ptCount val="3"/>
                <c:pt idx="0">
                  <c:v>0.5499999999999986</c:v>
                </c:pt>
                <c:pt idx="1">
                  <c:v>0.43333333333333002</c:v>
                </c:pt>
                <c:pt idx="2">
                  <c:v>0.40000000000000774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0448"/>
        <c:axId val="134441984"/>
      </c:scatterChart>
      <c:valAx>
        <c:axId val="13444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441984"/>
        <c:crosses val="autoZero"/>
        <c:crossBetween val="midCat"/>
      </c:valAx>
      <c:valAx>
        <c:axId val="13444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440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Values Plotted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'Filtering Method'!$P$2</c:f>
              <c:strCache>
                <c:ptCount val="1"/>
                <c:pt idx="0">
                  <c:v>Density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1436373578302712"/>
                  <c:y val="0.10237058909303004"/>
                </c:manualLayout>
              </c:layout>
              <c:numFmt formatCode="General" sourceLinked="0"/>
            </c:trendlineLbl>
          </c:trendline>
          <c:xVal>
            <c:numRef>
              <c:f>'Filtering Method'!$O$3:$O$11</c:f>
              <c:numCache>
                <c:formatCode>General</c:formatCode>
                <c:ptCount val="9"/>
                <c:pt idx="0">
                  <c:v>0.83</c:v>
                </c:pt>
                <c:pt idx="1">
                  <c:v>0.83</c:v>
                </c:pt>
                <c:pt idx="2">
                  <c:v>0.83</c:v>
                </c:pt>
                <c:pt idx="3">
                  <c:v>0.63400000000000001</c:v>
                </c:pt>
                <c:pt idx="4">
                  <c:v>0.63400000000000001</c:v>
                </c:pt>
                <c:pt idx="5">
                  <c:v>0.63400000000000001</c:v>
                </c:pt>
                <c:pt idx="6">
                  <c:v>0.69199999999999995</c:v>
                </c:pt>
                <c:pt idx="7">
                  <c:v>0.69199999999999995</c:v>
                </c:pt>
                <c:pt idx="8">
                  <c:v>0.69199999999999995</c:v>
                </c:pt>
              </c:numCache>
            </c:numRef>
          </c:xVal>
          <c:yVal>
            <c:numRef>
              <c:f>'Filtering Method'!$P$3:$P$11</c:f>
              <c:numCache>
                <c:formatCode>General</c:formatCode>
                <c:ptCount val="9"/>
                <c:pt idx="0">
                  <c:v>0.60000000000000053</c:v>
                </c:pt>
                <c:pt idx="1">
                  <c:v>0.54999999999998384</c:v>
                </c:pt>
                <c:pt idx="2">
                  <c:v>0.50000000000001155</c:v>
                </c:pt>
                <c:pt idx="3">
                  <c:v>0.44999999999999485</c:v>
                </c:pt>
                <c:pt idx="4">
                  <c:v>0.50000000000001155</c:v>
                </c:pt>
                <c:pt idx="5">
                  <c:v>0.34999999999998366</c:v>
                </c:pt>
                <c:pt idx="6">
                  <c:v>0.45000000000001705</c:v>
                </c:pt>
                <c:pt idx="7">
                  <c:v>0.44999999999999485</c:v>
                </c:pt>
                <c:pt idx="8">
                  <c:v>0.30000000000001137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58752"/>
        <c:axId val="134678016"/>
      </c:scatterChart>
      <c:valAx>
        <c:axId val="13445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Optical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678016"/>
        <c:crosses val="autoZero"/>
        <c:crossBetween val="midCat"/>
      </c:valAx>
      <c:valAx>
        <c:axId val="134678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458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11" cy="62833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380104</xdr:colOff>
      <xdr:row>33</xdr:row>
      <xdr:rowOff>62528</xdr:rowOff>
    </xdr:from>
    <xdr:to>
      <xdr:col>17</xdr:col>
      <xdr:colOff>75304</xdr:colOff>
      <xdr:row>49</xdr:row>
      <xdr:rowOff>62528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591670</xdr:colOff>
      <xdr:row>16</xdr:row>
      <xdr:rowOff>13448</xdr:rowOff>
    </xdr:from>
    <xdr:to>
      <xdr:col>17</xdr:col>
      <xdr:colOff>44823</xdr:colOff>
      <xdr:row>31</xdr:row>
      <xdr:rowOff>67236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85" zoomScaleNormal="85" workbookViewId="0">
      <selection activeCell="E17" sqref="E17"/>
    </sheetView>
  </sheetViews>
  <sheetFormatPr defaultRowHeight="14.4" x14ac:dyDescent="0.3"/>
  <cols>
    <col min="4" max="4" width="10.33203125" bestFit="1" customWidth="1"/>
    <col min="6" max="6" width="12.5546875" bestFit="1" customWidth="1"/>
    <col min="7" max="7" width="10.109375" bestFit="1" customWidth="1"/>
    <col min="8" max="8" width="16" bestFit="1" customWidth="1"/>
    <col min="9" max="9" width="15.44140625" bestFit="1" customWidth="1"/>
  </cols>
  <sheetData>
    <row r="1" spans="1:10" x14ac:dyDescent="0.3">
      <c r="A1" t="s">
        <v>58</v>
      </c>
      <c r="B1" t="s">
        <v>1</v>
      </c>
      <c r="C1" t="s">
        <v>43</v>
      </c>
      <c r="D1" t="s">
        <v>60</v>
      </c>
      <c r="E1" t="s">
        <v>59</v>
      </c>
      <c r="F1" t="s">
        <v>61</v>
      </c>
      <c r="G1" t="s">
        <v>62</v>
      </c>
      <c r="H1" t="s">
        <v>69</v>
      </c>
      <c r="I1" t="s">
        <v>68</v>
      </c>
    </row>
    <row r="2" spans="1:10" x14ac:dyDescent="0.3">
      <c r="A2" s="11">
        <v>42341</v>
      </c>
      <c r="B2" s="12">
        <v>1</v>
      </c>
      <c r="C2" s="12">
        <v>0.63</v>
      </c>
      <c r="D2" s="12">
        <v>3.0960000000000001</v>
      </c>
      <c r="E2" s="12">
        <v>3.1190000000000002</v>
      </c>
      <c r="F2" s="12">
        <f>E2-$F$7</f>
        <v>3.1105</v>
      </c>
      <c r="G2" s="12">
        <f>F2-D2</f>
        <v>1.4499999999999957E-2</v>
      </c>
      <c r="H2" s="12">
        <f>G2/0.05</f>
        <v>0.28999999999999915</v>
      </c>
      <c r="I2" s="12">
        <f>H2/C2</f>
        <v>0.46031746031745896</v>
      </c>
    </row>
    <row r="3" spans="1:10" x14ac:dyDescent="0.3">
      <c r="A3" s="11">
        <v>42341</v>
      </c>
      <c r="B3" s="12">
        <v>2</v>
      </c>
      <c r="C3" s="12">
        <v>0.63</v>
      </c>
      <c r="D3" s="12">
        <v>2.5110000000000001</v>
      </c>
      <c r="E3" s="12">
        <v>2.5329999999999999</v>
      </c>
      <c r="F3" s="12">
        <f t="shared" ref="F3:F5" si="0">E3-$F$7</f>
        <v>2.5244999999999997</v>
      </c>
      <c r="G3" s="12">
        <f t="shared" ref="G3:G5" si="1">F3-D3</f>
        <v>1.3499999999999623E-2</v>
      </c>
      <c r="H3" s="12">
        <f t="shared" ref="H3:H16" si="2">G3/0.05</f>
        <v>0.26999999999999247</v>
      </c>
      <c r="I3" s="12">
        <f t="shared" ref="I3:I5" si="3">H3/C3</f>
        <v>0.42857142857141661</v>
      </c>
    </row>
    <row r="4" spans="1:10" x14ac:dyDescent="0.3">
      <c r="A4" s="10">
        <v>42341</v>
      </c>
      <c r="B4">
        <v>3</v>
      </c>
      <c r="C4">
        <v>0.626</v>
      </c>
      <c r="D4">
        <v>2.5659999999999998</v>
      </c>
      <c r="E4">
        <v>2.593</v>
      </c>
      <c r="F4" s="13">
        <f t="shared" si="0"/>
        <v>2.5844999999999998</v>
      </c>
      <c r="G4">
        <f t="shared" si="1"/>
        <v>1.8499999999999961E-2</v>
      </c>
      <c r="H4">
        <f t="shared" si="2"/>
        <v>0.36999999999999922</v>
      </c>
      <c r="I4">
        <f t="shared" si="3"/>
        <v>0.59105431309904033</v>
      </c>
    </row>
    <row r="5" spans="1:10" x14ac:dyDescent="0.3">
      <c r="A5" s="11">
        <v>42341</v>
      </c>
      <c r="B5" s="12">
        <v>4</v>
      </c>
      <c r="C5" s="12">
        <v>0.626</v>
      </c>
      <c r="D5" s="12">
        <v>2.673</v>
      </c>
      <c r="E5" s="12">
        <v>2.6930000000000001</v>
      </c>
      <c r="F5" s="12">
        <f t="shared" si="0"/>
        <v>2.6844999999999999</v>
      </c>
      <c r="G5" s="12">
        <f t="shared" si="1"/>
        <v>1.1499999999999844E-2</v>
      </c>
      <c r="H5" s="12">
        <f t="shared" si="2"/>
        <v>0.22999999999999687</v>
      </c>
      <c r="I5" s="12">
        <f t="shared" si="3"/>
        <v>0.36741214057507487</v>
      </c>
    </row>
    <row r="6" spans="1:10" s="13" customFormat="1" x14ac:dyDescent="0.3">
      <c r="A6" s="14">
        <v>42342</v>
      </c>
      <c r="B6" s="13" t="s">
        <v>63</v>
      </c>
      <c r="C6" s="13" t="s">
        <v>65</v>
      </c>
      <c r="D6" s="13">
        <v>2.88</v>
      </c>
      <c r="E6" s="13">
        <v>2.8879999999999999</v>
      </c>
      <c r="F6" s="13" t="s">
        <v>66</v>
      </c>
      <c r="G6" s="13" t="s">
        <v>67</v>
      </c>
      <c r="H6" s="15"/>
      <c r="I6" s="15"/>
    </row>
    <row r="7" spans="1:10" s="13" customFormat="1" x14ac:dyDescent="0.3">
      <c r="A7" s="14">
        <v>42342</v>
      </c>
      <c r="B7" s="13" t="s">
        <v>64</v>
      </c>
      <c r="C7" s="13" t="s">
        <v>65</v>
      </c>
      <c r="D7" s="13">
        <v>2.6019999999999999</v>
      </c>
      <c r="E7" s="13">
        <v>2.6110000000000002</v>
      </c>
      <c r="F7" s="13">
        <f>AVERAGE((E6-D6),(E7-D7))</f>
        <v>8.5000000000001741E-3</v>
      </c>
      <c r="G7" s="13">
        <f>STDEV((E6-D6),(E7-D7))</f>
        <v>7.0710678118678365E-4</v>
      </c>
      <c r="H7" s="16"/>
      <c r="I7" s="15"/>
    </row>
    <row r="8" spans="1:10" s="13" customFormat="1" x14ac:dyDescent="0.3">
      <c r="A8" s="14"/>
      <c r="H8" s="16"/>
      <c r="I8" s="15"/>
    </row>
    <row r="9" spans="1:10" s="13" customFormat="1" x14ac:dyDescent="0.3">
      <c r="A9" s="14">
        <v>42343</v>
      </c>
      <c r="B9" s="13">
        <v>1</v>
      </c>
      <c r="C9" s="13">
        <v>0.63400000000000001</v>
      </c>
      <c r="D9" s="13">
        <v>2.8330000000000002</v>
      </c>
      <c r="E9" s="13">
        <v>2.855</v>
      </c>
      <c r="F9" s="13">
        <f t="shared" ref="F9:F16" si="4">E9-$F$7</f>
        <v>2.8464999999999998</v>
      </c>
      <c r="G9">
        <f t="shared" ref="G9:G16" si="5">F9-D9</f>
        <v>1.3499999999999623E-2</v>
      </c>
      <c r="H9">
        <f t="shared" si="2"/>
        <v>0.26999999999999247</v>
      </c>
      <c r="I9">
        <f>H9/C9</f>
        <v>0.42586750788642347</v>
      </c>
    </row>
    <row r="10" spans="1:10" s="13" customFormat="1" x14ac:dyDescent="0.3">
      <c r="A10" s="14">
        <v>42343</v>
      </c>
      <c r="B10" s="13">
        <v>2</v>
      </c>
      <c r="C10" s="13">
        <v>0.63400000000000001</v>
      </c>
      <c r="D10" s="13">
        <v>2.8620000000000001</v>
      </c>
      <c r="E10" s="13">
        <v>2.8839999999999999</v>
      </c>
      <c r="F10" s="13">
        <f t="shared" si="4"/>
        <v>2.8754999999999997</v>
      </c>
      <c r="G10">
        <f t="shared" si="5"/>
        <v>1.3499999999999623E-2</v>
      </c>
      <c r="H10">
        <f t="shared" si="2"/>
        <v>0.26999999999999247</v>
      </c>
      <c r="I10">
        <f t="shared" ref="I10:I16" si="6">H10/C10</f>
        <v>0.42586750788642347</v>
      </c>
    </row>
    <row r="11" spans="1:10" s="13" customFormat="1" x14ac:dyDescent="0.3">
      <c r="A11" s="14">
        <v>42345</v>
      </c>
      <c r="B11" s="13">
        <v>1</v>
      </c>
      <c r="C11" s="13">
        <v>0.66200000000000003</v>
      </c>
      <c r="D11" s="13">
        <v>3.0019999999999998</v>
      </c>
      <c r="E11" s="13">
        <v>3.0270000000000001</v>
      </c>
      <c r="F11" s="13">
        <f t="shared" si="4"/>
        <v>3.0185</v>
      </c>
      <c r="G11">
        <f t="shared" si="5"/>
        <v>1.6500000000000181E-2</v>
      </c>
      <c r="H11">
        <f t="shared" si="2"/>
        <v>0.33000000000000362</v>
      </c>
      <c r="I11">
        <f t="shared" si="6"/>
        <v>0.49848942598187856</v>
      </c>
    </row>
    <row r="12" spans="1:10" s="13" customFormat="1" x14ac:dyDescent="0.3">
      <c r="A12" s="14">
        <v>42345</v>
      </c>
      <c r="B12" s="13">
        <v>2</v>
      </c>
      <c r="C12" s="13">
        <v>0.66200000000000003</v>
      </c>
      <c r="D12" s="13">
        <v>3.1480000000000001</v>
      </c>
      <c r="E12" s="13">
        <v>3.1680000000000001</v>
      </c>
      <c r="F12" s="13">
        <f t="shared" si="4"/>
        <v>3.1595</v>
      </c>
      <c r="G12">
        <f t="shared" si="5"/>
        <v>1.1499999999999844E-2</v>
      </c>
      <c r="H12">
        <f t="shared" si="2"/>
        <v>0.22999999999999687</v>
      </c>
      <c r="I12">
        <f t="shared" si="6"/>
        <v>0.34743202416917957</v>
      </c>
    </row>
    <row r="13" spans="1:10" x14ac:dyDescent="0.3">
      <c r="A13" s="10">
        <v>42346</v>
      </c>
      <c r="B13" s="13">
        <v>1</v>
      </c>
      <c r="C13" s="13">
        <v>0.84499999999999997</v>
      </c>
      <c r="D13" s="13">
        <v>2.7839999999999998</v>
      </c>
      <c r="E13" s="13">
        <v>2.8180000000000001</v>
      </c>
      <c r="F13" s="13">
        <f t="shared" si="4"/>
        <v>2.8094999999999999</v>
      </c>
      <c r="G13">
        <f t="shared" si="5"/>
        <v>2.5500000000000078E-2</v>
      </c>
      <c r="H13">
        <f t="shared" si="2"/>
        <v>0.51000000000000156</v>
      </c>
      <c r="I13">
        <f t="shared" si="6"/>
        <v>0.60355029585799003</v>
      </c>
    </row>
    <row r="14" spans="1:10" x14ac:dyDescent="0.3">
      <c r="A14" s="10">
        <v>42346</v>
      </c>
      <c r="B14" s="13">
        <v>2</v>
      </c>
      <c r="C14" s="13">
        <v>0.84499999999999997</v>
      </c>
      <c r="D14" s="13">
        <v>2.8730000000000002</v>
      </c>
      <c r="E14" s="13">
        <v>2.9009999999999998</v>
      </c>
      <c r="F14" s="13">
        <f t="shared" si="4"/>
        <v>2.8924999999999996</v>
      </c>
      <c r="G14">
        <f t="shared" si="5"/>
        <v>1.9499999999999407E-2</v>
      </c>
      <c r="H14">
        <f t="shared" si="2"/>
        <v>0.38999999999998813</v>
      </c>
      <c r="I14">
        <f t="shared" si="6"/>
        <v>0.46153846153844752</v>
      </c>
    </row>
    <row r="15" spans="1:10" x14ac:dyDescent="0.3">
      <c r="A15" s="10">
        <v>42349</v>
      </c>
      <c r="B15" s="13">
        <v>1</v>
      </c>
      <c r="C15" s="13">
        <v>0.85</v>
      </c>
      <c r="D15" s="13">
        <v>2.88</v>
      </c>
      <c r="E15" s="13">
        <v>2.907</v>
      </c>
      <c r="F15" s="13">
        <f t="shared" si="4"/>
        <v>2.8984999999999999</v>
      </c>
      <c r="G15">
        <f t="shared" si="5"/>
        <v>1.8499999999999961E-2</v>
      </c>
      <c r="H15">
        <f t="shared" si="2"/>
        <v>0.36999999999999922</v>
      </c>
      <c r="I15">
        <f t="shared" si="6"/>
        <v>0.43529411764705789</v>
      </c>
    </row>
    <row r="16" spans="1:10" x14ac:dyDescent="0.3">
      <c r="A16" s="10">
        <v>42350</v>
      </c>
      <c r="B16" s="13">
        <v>2</v>
      </c>
      <c r="C16" s="13">
        <v>0.85</v>
      </c>
      <c r="D16" s="13">
        <v>2.782</v>
      </c>
      <c r="E16" s="13">
        <v>2.8180000000000001</v>
      </c>
      <c r="F16" s="13">
        <f t="shared" si="4"/>
        <v>2.8094999999999999</v>
      </c>
      <c r="G16">
        <f t="shared" si="5"/>
        <v>2.7499999999999858E-2</v>
      </c>
      <c r="H16">
        <f t="shared" si="2"/>
        <v>0.54999999999999716</v>
      </c>
      <c r="I16">
        <f t="shared" si="6"/>
        <v>0.64705882352940847</v>
      </c>
      <c r="J16" t="s">
        <v>70</v>
      </c>
    </row>
    <row r="18" spans="7:7" x14ac:dyDescent="0.3">
      <c r="G18">
        <f>LN(2)/12</f>
        <v>5.7762265046662105E-2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C1" workbookViewId="0">
      <selection activeCell="I9" sqref="I9"/>
    </sheetView>
  </sheetViews>
  <sheetFormatPr defaultRowHeight="14.4" x14ac:dyDescent="0.3"/>
  <cols>
    <col min="1" max="1" width="8.33203125" bestFit="1" customWidth="1"/>
    <col min="2" max="2" width="8.5546875" bestFit="1" customWidth="1"/>
    <col min="3" max="3" width="7.88671875" bestFit="1" customWidth="1"/>
    <col min="4" max="4" width="7.6640625" bestFit="1" customWidth="1"/>
    <col min="5" max="5" width="11.33203125" bestFit="1" customWidth="1"/>
    <col min="6" max="6" width="10.6640625" bestFit="1" customWidth="1"/>
    <col min="11" max="11" width="8.6640625" bestFit="1" customWidth="1"/>
    <col min="12" max="12" width="11.88671875" bestFit="1" customWidth="1"/>
    <col min="14" max="14" width="10.109375" bestFit="1" customWidth="1"/>
    <col min="15" max="15" width="13.88671875" bestFit="1" customWidth="1"/>
  </cols>
  <sheetData>
    <row r="1" spans="1:16" x14ac:dyDescent="0.3">
      <c r="A1" t="s">
        <v>0</v>
      </c>
      <c r="B1" s="1">
        <v>42103</v>
      </c>
      <c r="C1" t="s">
        <v>6</v>
      </c>
      <c r="D1">
        <v>0.89500000000000002</v>
      </c>
    </row>
    <row r="3" spans="1:1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  <c r="K3" t="s">
        <v>15</v>
      </c>
      <c r="L3" t="s">
        <v>16</v>
      </c>
      <c r="M3" t="s">
        <v>17</v>
      </c>
      <c r="N3" t="s">
        <v>32</v>
      </c>
      <c r="O3" t="s">
        <v>33</v>
      </c>
      <c r="P3" t="s">
        <v>31</v>
      </c>
    </row>
    <row r="4" spans="1:16" x14ac:dyDescent="0.3">
      <c r="A4">
        <v>1</v>
      </c>
      <c r="B4">
        <v>13.098000000000001</v>
      </c>
      <c r="C4">
        <v>13.641</v>
      </c>
      <c r="D4">
        <v>13.129</v>
      </c>
      <c r="E4">
        <f>C4-B4</f>
        <v>0.54299999999999926</v>
      </c>
      <c r="F4">
        <f>D4-B4</f>
        <v>3.0999999999998806E-2</v>
      </c>
      <c r="G4">
        <f>F4/0.05</f>
        <v>0.61999999999997613</v>
      </c>
      <c r="K4">
        <v>13.116</v>
      </c>
      <c r="L4">
        <f>K4-B4</f>
        <v>1.7999999999998906E-2</v>
      </c>
      <c r="M4">
        <f>L4/0.05</f>
        <v>0.35999999999997812</v>
      </c>
      <c r="N4">
        <f>L4-'Salts Calculations'!D14*'Trial 1'!P4</f>
        <v>1.7999999999998906E-2</v>
      </c>
      <c r="O4">
        <f>N4/0.05</f>
        <v>0.35999999999997812</v>
      </c>
    </row>
    <row r="5" spans="1:16" x14ac:dyDescent="0.3">
      <c r="A5">
        <v>2</v>
      </c>
      <c r="B5">
        <v>13.11</v>
      </c>
      <c r="C5">
        <v>13.635999999999999</v>
      </c>
      <c r="D5">
        <v>13.141999999999999</v>
      </c>
      <c r="E5">
        <f t="shared" ref="E5:E7" si="0">C5-B5</f>
        <v>0.5259999999999998</v>
      </c>
      <c r="F5">
        <f t="shared" ref="F5:F7" si="1">D5-B5</f>
        <v>3.2000000000000028E-2</v>
      </c>
      <c r="G5">
        <f t="shared" ref="G5:G7" si="2">F5/0.05</f>
        <v>0.64000000000000057</v>
      </c>
      <c r="K5">
        <v>13.129</v>
      </c>
      <c r="L5">
        <f t="shared" ref="L5:L7" si="3">K5-B5</f>
        <v>1.9000000000000128E-2</v>
      </c>
      <c r="M5">
        <f t="shared" ref="M5:M7" si="4">L5/0.05</f>
        <v>0.38000000000000256</v>
      </c>
      <c r="N5">
        <f>L5-'Salts Calculations'!D14*'Trial 1'!P5</f>
        <v>2.3988513495995373E-3</v>
      </c>
      <c r="O5">
        <f t="shared" ref="O5:O7" si="5">N5/0.05</f>
        <v>4.7977026991990745E-2</v>
      </c>
      <c r="P5">
        <f t="shared" ref="P5:P7" si="6">C5-K5</f>
        <v>0.50699999999999967</v>
      </c>
    </row>
    <row r="6" spans="1:16" x14ac:dyDescent="0.3">
      <c r="A6">
        <v>3</v>
      </c>
      <c r="B6">
        <v>13.074</v>
      </c>
      <c r="C6">
        <v>13.699</v>
      </c>
      <c r="D6">
        <v>13.109</v>
      </c>
      <c r="E6">
        <f t="shared" si="0"/>
        <v>0.625</v>
      </c>
      <c r="F6">
        <f t="shared" si="1"/>
        <v>3.5000000000000142E-2</v>
      </c>
      <c r="G6">
        <f t="shared" si="2"/>
        <v>0.70000000000000284</v>
      </c>
      <c r="K6">
        <v>13.096</v>
      </c>
      <c r="L6">
        <f t="shared" si="3"/>
        <v>2.2000000000000242E-2</v>
      </c>
      <c r="M6">
        <f t="shared" si="4"/>
        <v>0.44000000000000483</v>
      </c>
      <c r="N6">
        <f>L6-'Salts Calculations'!D14*'Trial 1'!P6</f>
        <v>2.2554385873936184E-3</v>
      </c>
      <c r="O6">
        <f t="shared" si="5"/>
        <v>4.5108771747872367E-2</v>
      </c>
      <c r="P6">
        <f t="shared" si="6"/>
        <v>0.60299999999999976</v>
      </c>
    </row>
    <row r="7" spans="1:16" ht="15" thickBot="1" x14ac:dyDescent="0.35">
      <c r="A7">
        <v>4</v>
      </c>
      <c r="B7">
        <v>13.101000000000001</v>
      </c>
      <c r="C7">
        <v>13.877000000000001</v>
      </c>
      <c r="D7">
        <v>13.141</v>
      </c>
      <c r="E7">
        <f t="shared" si="0"/>
        <v>0.7759999999999998</v>
      </c>
      <c r="F7">
        <f t="shared" si="1"/>
        <v>3.9999999999999147E-2</v>
      </c>
      <c r="G7">
        <f t="shared" si="2"/>
        <v>0.79999999999998295</v>
      </c>
      <c r="K7">
        <v>13.129</v>
      </c>
      <c r="L7">
        <f t="shared" si="3"/>
        <v>2.7999999999998693E-2</v>
      </c>
      <c r="M7">
        <f t="shared" si="4"/>
        <v>0.55999999999997385</v>
      </c>
      <c r="N7">
        <f>L7-'Salts Calculations'!D14*'Trial 1'!P7</f>
        <v>3.5075755611433321E-3</v>
      </c>
      <c r="O7">
        <f t="shared" si="5"/>
        <v>7.0151511222866642E-2</v>
      </c>
      <c r="P7">
        <f t="shared" si="6"/>
        <v>0.74800000000000111</v>
      </c>
    </row>
    <row r="8" spans="1:16" x14ac:dyDescent="0.3">
      <c r="A8" t="s">
        <v>8</v>
      </c>
      <c r="B8">
        <f>AVERAGE(B4:B7)</f>
        <v>13.095749999999999</v>
      </c>
      <c r="C8">
        <f t="shared" ref="C8:G8" si="7">AVERAGE(C4:C7)</f>
        <v>13.71325</v>
      </c>
      <c r="D8">
        <f t="shared" si="7"/>
        <v>13.13025</v>
      </c>
      <c r="E8">
        <f t="shared" si="7"/>
        <v>0.61749999999999972</v>
      </c>
      <c r="F8">
        <f t="shared" si="7"/>
        <v>3.4499999999999531E-2</v>
      </c>
      <c r="G8">
        <f t="shared" si="7"/>
        <v>0.68999999999999062</v>
      </c>
      <c r="I8" s="2" t="s">
        <v>14</v>
      </c>
      <c r="J8" s="5"/>
      <c r="K8">
        <f t="shared" ref="K8:M8" si="8">AVERAGE(K4:K7)</f>
        <v>13.117499999999998</v>
      </c>
      <c r="L8">
        <f t="shared" si="8"/>
        <v>2.1749999999999492E-2</v>
      </c>
      <c r="M8">
        <f t="shared" si="8"/>
        <v>0.43499999999998984</v>
      </c>
      <c r="O8" s="7" t="s">
        <v>14</v>
      </c>
    </row>
    <row r="9" spans="1:16" x14ac:dyDescent="0.3">
      <c r="A9" t="s">
        <v>9</v>
      </c>
      <c r="B9">
        <f>STDEV(B4:B7)</f>
        <v>1.5370426148939432E-2</v>
      </c>
      <c r="C9">
        <f t="shared" ref="C9:F9" si="9">STDEV(C4:C7)</f>
        <v>0.11284908801876416</v>
      </c>
      <c r="D9">
        <f t="shared" si="9"/>
        <v>1.5348724159790278E-2</v>
      </c>
      <c r="E9">
        <f t="shared" si="9"/>
        <v>0.11416508514719675</v>
      </c>
      <c r="F9">
        <f t="shared" si="9"/>
        <v>4.0414518843273385E-3</v>
      </c>
      <c r="G9">
        <f t="shared" ref="G9" si="10">STDEV(G4:G7)</f>
        <v>8.082903768654727E-2</v>
      </c>
      <c r="I9" s="3">
        <f>0.69/0.895</f>
        <v>0.77094972067039103</v>
      </c>
      <c r="J9" s="5"/>
      <c r="K9">
        <f t="shared" ref="K9:M9" si="11">STDEV(K4:K7)</f>
        <v>1.558845726811965E-2</v>
      </c>
      <c r="L9">
        <f t="shared" si="11"/>
        <v>4.499999999999677E-3</v>
      </c>
      <c r="M9">
        <f t="shared" si="11"/>
        <v>8.9999999999993807E-2</v>
      </c>
      <c r="O9" s="8">
        <f>M8/D1</f>
        <v>0.48603351955306129</v>
      </c>
    </row>
    <row r="10" spans="1:16" ht="15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K10" t="s">
        <v>11</v>
      </c>
      <c r="L10" t="s">
        <v>11</v>
      </c>
      <c r="M10" t="s">
        <v>12</v>
      </c>
      <c r="O10" s="9" t="s">
        <v>12</v>
      </c>
      <c r="P10" s="6" t="s">
        <v>11</v>
      </c>
    </row>
    <row r="13" spans="1:16" x14ac:dyDescent="0.3">
      <c r="E13">
        <f>C8-K8</f>
        <v>0.59575000000000244</v>
      </c>
    </row>
    <row r="16" spans="1:16" x14ac:dyDescent="0.3">
      <c r="O16">
        <f>AVERAGE(O4:O7)</f>
        <v>0.13080932749067697</v>
      </c>
    </row>
    <row r="17" spans="15:15" x14ac:dyDescent="0.3">
      <c r="O1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C1" workbookViewId="0">
      <selection activeCell="D20" sqref="D20"/>
    </sheetView>
  </sheetViews>
  <sheetFormatPr defaultRowHeight="14.4" x14ac:dyDescent="0.3"/>
  <cols>
    <col min="1" max="1" width="8.33203125" bestFit="1" customWidth="1"/>
    <col min="2" max="2" width="9.5546875" bestFit="1" customWidth="1"/>
    <col min="3" max="3" width="7.88671875" bestFit="1" customWidth="1"/>
    <col min="4" max="4" width="7.6640625" bestFit="1" customWidth="1"/>
    <col min="5" max="5" width="11.33203125" bestFit="1" customWidth="1"/>
    <col min="6" max="6" width="10.6640625" bestFit="1" customWidth="1"/>
    <col min="12" max="12" width="12" bestFit="1" customWidth="1"/>
  </cols>
  <sheetData>
    <row r="1" spans="1:16" ht="15" x14ac:dyDescent="0.3">
      <c r="A1" t="s">
        <v>0</v>
      </c>
      <c r="B1" s="1">
        <v>42107</v>
      </c>
      <c r="C1" t="s">
        <v>6</v>
      </c>
      <c r="D1">
        <v>0.91500000000000004</v>
      </c>
    </row>
    <row r="3" spans="1:16" ht="15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  <c r="K3" t="s">
        <v>15</v>
      </c>
      <c r="L3" t="s">
        <v>16</v>
      </c>
      <c r="M3" t="s">
        <v>17</v>
      </c>
      <c r="N3" t="s">
        <v>32</v>
      </c>
      <c r="O3" t="s">
        <v>33</v>
      </c>
      <c r="P3" t="s">
        <v>31</v>
      </c>
    </row>
    <row r="4" spans="1:16" ht="15" x14ac:dyDescent="0.3">
      <c r="A4">
        <v>1</v>
      </c>
      <c r="B4">
        <v>13.122</v>
      </c>
      <c r="C4">
        <v>13.925000000000001</v>
      </c>
      <c r="D4">
        <v>13.16</v>
      </c>
      <c r="E4">
        <f>C4-B4</f>
        <v>0.80300000000000082</v>
      </c>
      <c r="F4">
        <f>D4-B4</f>
        <v>3.8000000000000256E-2</v>
      </c>
      <c r="G4">
        <f>F4/0.05</f>
        <v>0.76000000000000512</v>
      </c>
      <c r="K4">
        <f>D4</f>
        <v>13.16</v>
      </c>
      <c r="L4">
        <f>K4-B4</f>
        <v>3.8000000000000256E-2</v>
      </c>
      <c r="M4">
        <f>L4/0.05</f>
        <v>0.76000000000000512</v>
      </c>
      <c r="N4">
        <f>L4-'Salts Calculations'!D14*'Trial 1'!P4</f>
        <v>3.8000000000000256E-2</v>
      </c>
      <c r="O4">
        <f>N4/0.05</f>
        <v>0.76000000000000512</v>
      </c>
    </row>
    <row r="5" spans="1:16" ht="15" x14ac:dyDescent="0.3">
      <c r="A5">
        <v>2</v>
      </c>
      <c r="B5">
        <v>13.093999999999999</v>
      </c>
      <c r="C5">
        <v>14.11</v>
      </c>
      <c r="D5">
        <v>13.141999999999999</v>
      </c>
      <c r="E5">
        <f t="shared" ref="E5:E7" si="0">C5-B5</f>
        <v>1.016</v>
      </c>
      <c r="F5">
        <f t="shared" ref="F5:F7" si="1">D5-B5</f>
        <v>4.8000000000000043E-2</v>
      </c>
      <c r="G5">
        <f t="shared" ref="G5:G7" si="2">F5/0.05</f>
        <v>0.96000000000000085</v>
      </c>
      <c r="K5">
        <f t="shared" ref="K5:K7" si="3">D5</f>
        <v>13.141999999999999</v>
      </c>
      <c r="L5">
        <f t="shared" ref="L5:L7" si="4">K5-B5</f>
        <v>4.8000000000000043E-2</v>
      </c>
      <c r="M5">
        <f t="shared" ref="M5:M7" si="5">L5/0.05</f>
        <v>0.96000000000000085</v>
      </c>
      <c r="N5">
        <f>L5-'Salts Calculations'!D14*'Trial 1'!P5</f>
        <v>3.1398851349599452E-2</v>
      </c>
      <c r="O5">
        <f t="shared" ref="O5:O7" si="6">N5/0.05</f>
        <v>0.62797702699198898</v>
      </c>
      <c r="P5">
        <f t="shared" ref="P5:P7" si="7">C5-K5</f>
        <v>0.96799999999999997</v>
      </c>
    </row>
    <row r="6" spans="1:16" ht="15" x14ac:dyDescent="0.3">
      <c r="A6">
        <v>3</v>
      </c>
      <c r="B6">
        <v>13.054</v>
      </c>
      <c r="C6">
        <v>15.205</v>
      </c>
      <c r="D6">
        <v>13.137</v>
      </c>
      <c r="E6">
        <f t="shared" si="0"/>
        <v>2.1509999999999998</v>
      </c>
      <c r="F6">
        <f t="shared" si="1"/>
        <v>8.3000000000000185E-2</v>
      </c>
      <c r="G6">
        <f t="shared" si="2"/>
        <v>1.6600000000000037</v>
      </c>
      <c r="K6">
        <f t="shared" si="3"/>
        <v>13.137</v>
      </c>
      <c r="L6">
        <f t="shared" si="4"/>
        <v>8.3000000000000185E-2</v>
      </c>
      <c r="M6">
        <f t="shared" si="5"/>
        <v>1.6600000000000037</v>
      </c>
      <c r="N6">
        <f>L6-'Salts Calculations'!D14*'Trial 1'!P6</f>
        <v>6.3255438587393562E-2</v>
      </c>
      <c r="O6">
        <f t="shared" si="6"/>
        <v>1.2651087717478711</v>
      </c>
      <c r="P6">
        <f t="shared" si="7"/>
        <v>2.0679999999999996</v>
      </c>
    </row>
    <row r="7" spans="1:16" ht="15" thickBot="1" x14ac:dyDescent="0.35">
      <c r="A7">
        <v>4</v>
      </c>
      <c r="B7">
        <v>13.108000000000001</v>
      </c>
      <c r="C7">
        <v>16.050999999999998</v>
      </c>
      <c r="D7">
        <v>13.215</v>
      </c>
      <c r="E7">
        <f t="shared" si="0"/>
        <v>2.9429999999999978</v>
      </c>
      <c r="F7">
        <f t="shared" si="1"/>
        <v>0.10699999999999932</v>
      </c>
      <c r="G7">
        <f t="shared" si="2"/>
        <v>2.1399999999999864</v>
      </c>
      <c r="K7">
        <f t="shared" si="3"/>
        <v>13.215</v>
      </c>
      <c r="L7">
        <f t="shared" si="4"/>
        <v>0.10699999999999932</v>
      </c>
      <c r="M7">
        <f t="shared" si="5"/>
        <v>2.1399999999999864</v>
      </c>
      <c r="N7">
        <f>L7-'Salts Calculations'!D14*'Trial 1'!P7</f>
        <v>8.2507575561143964E-2</v>
      </c>
      <c r="O7">
        <f t="shared" si="6"/>
        <v>1.6501515112228793</v>
      </c>
      <c r="P7">
        <f t="shared" si="7"/>
        <v>2.8359999999999985</v>
      </c>
    </row>
    <row r="8" spans="1:16" x14ac:dyDescent="0.3">
      <c r="A8" t="s">
        <v>8</v>
      </c>
      <c r="B8">
        <f>AVERAGE(B4:B7)</f>
        <v>13.0945</v>
      </c>
      <c r="C8">
        <f t="shared" ref="C8:G8" si="8">AVERAGE(C4:C7)</f>
        <v>14.822749999999999</v>
      </c>
      <c r="D8">
        <f t="shared" si="8"/>
        <v>13.163499999999999</v>
      </c>
      <c r="E8">
        <f t="shared" si="8"/>
        <v>1.7282499999999996</v>
      </c>
      <c r="F8">
        <f t="shared" si="8"/>
        <v>6.899999999999995E-2</v>
      </c>
      <c r="G8">
        <f t="shared" si="8"/>
        <v>1.379999999999999</v>
      </c>
      <c r="I8" s="2" t="s">
        <v>14</v>
      </c>
      <c r="J8" s="5"/>
      <c r="K8">
        <f t="shared" ref="K8:M8" si="9">AVERAGE(K4:K7)</f>
        <v>13.163499999999999</v>
      </c>
      <c r="L8">
        <f t="shared" si="9"/>
        <v>6.899999999999995E-2</v>
      </c>
      <c r="M8">
        <f t="shared" si="9"/>
        <v>1.379999999999999</v>
      </c>
      <c r="O8" s="7" t="s">
        <v>14</v>
      </c>
    </row>
    <row r="9" spans="1:16" x14ac:dyDescent="0.3">
      <c r="A9" t="s">
        <v>9</v>
      </c>
      <c r="B9">
        <f>STDEV(B4:B7)</f>
        <v>2.9320072760255257E-2</v>
      </c>
      <c r="C9">
        <f t="shared" ref="C9:G9" si="10">STDEV(C4:C7)</f>
        <v>0.99476642987185615</v>
      </c>
      <c r="D9">
        <f t="shared" si="10"/>
        <v>3.5725807665234498E-2</v>
      </c>
      <c r="E9">
        <f t="shared" si="10"/>
        <v>1.0029494420624259</v>
      </c>
      <c r="F9">
        <f t="shared" si="10"/>
        <v>3.1843366656180969E-2</v>
      </c>
      <c r="G9">
        <f t="shared" si="10"/>
        <v>0.63686733312361965</v>
      </c>
      <c r="I9" s="3">
        <f>G8/D1</f>
        <v>1.5081967213114742</v>
      </c>
      <c r="J9" s="5"/>
      <c r="K9">
        <f t="shared" ref="K9:M9" si="11">STDEV(K4:K7)</f>
        <v>3.5725807665234498E-2</v>
      </c>
      <c r="L9">
        <f t="shared" si="11"/>
        <v>3.1843366656180969E-2</v>
      </c>
      <c r="M9">
        <f t="shared" si="11"/>
        <v>0.63686733312361965</v>
      </c>
      <c r="O9" s="8">
        <f>M8/D1</f>
        <v>1.5081967213114742</v>
      </c>
    </row>
    <row r="10" spans="1:16" ht="15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K10" t="s">
        <v>11</v>
      </c>
      <c r="L10" t="s">
        <v>11</v>
      </c>
      <c r="M10" t="s">
        <v>12</v>
      </c>
      <c r="O10" s="9" t="s">
        <v>12</v>
      </c>
      <c r="P10" s="6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15" sqref="D15"/>
    </sheetView>
  </sheetViews>
  <sheetFormatPr defaultRowHeight="14.4" x14ac:dyDescent="0.3"/>
  <cols>
    <col min="1" max="1" width="9.88671875" bestFit="1" customWidth="1"/>
    <col min="2" max="2" width="11.44140625" bestFit="1" customWidth="1"/>
    <col min="3" max="3" width="10.6640625" bestFit="1" customWidth="1"/>
  </cols>
  <sheetData>
    <row r="1" spans="1:8" x14ac:dyDescent="0.3">
      <c r="A1" t="s">
        <v>18</v>
      </c>
      <c r="B1" t="s">
        <v>19</v>
      </c>
    </row>
    <row r="2" spans="1:8" x14ac:dyDescent="0.3">
      <c r="A2" t="s">
        <v>20</v>
      </c>
      <c r="B2">
        <v>3.02</v>
      </c>
    </row>
    <row r="3" spans="1:8" x14ac:dyDescent="0.3">
      <c r="A3" t="s">
        <v>22</v>
      </c>
      <c r="B3">
        <v>45</v>
      </c>
    </row>
    <row r="4" spans="1:8" x14ac:dyDescent="0.3">
      <c r="A4" t="s">
        <v>21</v>
      </c>
      <c r="B4">
        <v>198</v>
      </c>
    </row>
    <row r="5" spans="1:8" x14ac:dyDescent="0.3">
      <c r="A5" t="s">
        <v>24</v>
      </c>
      <c r="B5">
        <v>1.26</v>
      </c>
    </row>
    <row r="6" spans="1:8" x14ac:dyDescent="0.3">
      <c r="A6" t="s">
        <v>25</v>
      </c>
      <c r="B6">
        <v>24.75</v>
      </c>
    </row>
    <row r="7" spans="1:8" x14ac:dyDescent="0.3">
      <c r="A7" t="s">
        <v>26</v>
      </c>
      <c r="B7">
        <v>31.05</v>
      </c>
    </row>
    <row r="10" spans="1:8" x14ac:dyDescent="0.3">
      <c r="B10" t="s">
        <v>27</v>
      </c>
      <c r="H10" t="s">
        <v>30</v>
      </c>
    </row>
    <row r="11" spans="1:8" x14ac:dyDescent="0.3">
      <c r="A11" t="s">
        <v>23</v>
      </c>
      <c r="B11">
        <v>45</v>
      </c>
      <c r="H11">
        <f>0.6*D14</f>
        <v>1.9646329763787693E-2</v>
      </c>
    </row>
    <row r="13" spans="1:8" x14ac:dyDescent="0.3">
      <c r="D13">
        <f>303/9000</f>
        <v>3.3666666666666664E-2</v>
      </c>
    </row>
    <row r="14" spans="1:8" x14ac:dyDescent="0.3">
      <c r="D14">
        <f>B15/(B15+8953)</f>
        <v>3.2743882939646154E-2</v>
      </c>
      <c r="E14" t="s">
        <v>29</v>
      </c>
    </row>
    <row r="15" spans="1:8" x14ac:dyDescent="0.3">
      <c r="A15" t="s">
        <v>28</v>
      </c>
      <c r="B15">
        <f>SUM(B2:B7)</f>
        <v>303.08</v>
      </c>
      <c r="D15">
        <f>1000*D14</f>
        <v>32.743882939646156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="85" zoomScaleNormal="85" workbookViewId="0">
      <selection activeCell="P12" sqref="P12"/>
    </sheetView>
  </sheetViews>
  <sheetFormatPr defaultRowHeight="14.4" x14ac:dyDescent="0.3"/>
  <cols>
    <col min="12" max="12" width="12.44140625" bestFit="1" customWidth="1"/>
  </cols>
  <sheetData>
    <row r="1" spans="1:16" x14ac:dyDescent="0.3">
      <c r="A1" s="10">
        <v>42320</v>
      </c>
      <c r="B1" t="s">
        <v>37</v>
      </c>
      <c r="C1">
        <v>0.83</v>
      </c>
      <c r="K1" t="s">
        <v>43</v>
      </c>
      <c r="L1" t="s">
        <v>45</v>
      </c>
      <c r="M1" t="s">
        <v>42</v>
      </c>
      <c r="O1" t="s">
        <v>47</v>
      </c>
    </row>
    <row r="2" spans="1:16" x14ac:dyDescent="0.3">
      <c r="A2" t="s">
        <v>34</v>
      </c>
      <c r="B2" t="s">
        <v>36</v>
      </c>
      <c r="C2" s="10">
        <v>42320</v>
      </c>
      <c r="D2" s="10">
        <v>42324</v>
      </c>
      <c r="E2" s="10">
        <v>42326</v>
      </c>
      <c r="F2" s="10">
        <v>42327</v>
      </c>
      <c r="G2" t="s">
        <v>39</v>
      </c>
      <c r="K2">
        <v>0.83</v>
      </c>
      <c r="L2">
        <f>I7</f>
        <v>0.5499999999999986</v>
      </c>
      <c r="M2">
        <f>I8</f>
        <v>4.9999999999994493E-2</v>
      </c>
      <c r="O2" t="s">
        <v>43</v>
      </c>
      <c r="P2" t="s">
        <v>13</v>
      </c>
    </row>
    <row r="3" spans="1:16" x14ac:dyDescent="0.3">
      <c r="A3" t="s">
        <v>35</v>
      </c>
      <c r="B3">
        <v>2.4350000000000001</v>
      </c>
      <c r="C3">
        <v>2.4430000000000001</v>
      </c>
      <c r="D3">
        <v>2.4390000000000001</v>
      </c>
      <c r="E3">
        <v>2.44</v>
      </c>
      <c r="F3">
        <v>2.4390000000000001</v>
      </c>
      <c r="G3">
        <f>F3-B3</f>
        <v>4.0000000000000036E-3</v>
      </c>
      <c r="H3" t="s">
        <v>38</v>
      </c>
      <c r="I3" t="s">
        <v>44</v>
      </c>
      <c r="K3">
        <v>0.63400000000000001</v>
      </c>
      <c r="L3">
        <f>H15</f>
        <v>0.43333333333333002</v>
      </c>
      <c r="M3">
        <f>H16</f>
        <v>7.6376261582610933E-2</v>
      </c>
      <c r="O3">
        <v>0.83</v>
      </c>
      <c r="P3">
        <v>0.60000000000000053</v>
      </c>
    </row>
    <row r="4" spans="1:16" x14ac:dyDescent="0.3">
      <c r="A4">
        <v>1</v>
      </c>
      <c r="B4">
        <v>2.88</v>
      </c>
      <c r="C4">
        <v>2.8969999999999998</v>
      </c>
      <c r="D4">
        <v>2.8959999999999999</v>
      </c>
      <c r="E4">
        <v>2.8959999999999999</v>
      </c>
      <c r="F4">
        <v>2.8959999999999999</v>
      </c>
      <c r="G4">
        <f t="shared" ref="G4:G6" si="0">F4-B4</f>
        <v>1.6000000000000014E-2</v>
      </c>
      <c r="H4">
        <f>G4-$G$3</f>
        <v>1.2000000000000011E-2</v>
      </c>
      <c r="I4">
        <f>H4/0.02</f>
        <v>0.60000000000000053</v>
      </c>
      <c r="K4">
        <v>0.69199999999999995</v>
      </c>
      <c r="L4">
        <f>G23</f>
        <v>0.40000000000000774</v>
      </c>
      <c r="M4">
        <f>G24</f>
        <v>8.6602540378440729E-2</v>
      </c>
      <c r="O4">
        <v>0.83</v>
      </c>
      <c r="P4">
        <v>0.54999999999998384</v>
      </c>
    </row>
    <row r="5" spans="1:16" x14ac:dyDescent="0.3">
      <c r="A5">
        <v>2</v>
      </c>
      <c r="B5">
        <v>2.9180000000000001</v>
      </c>
      <c r="C5">
        <v>2.9340000000000002</v>
      </c>
      <c r="D5">
        <v>2.9340000000000002</v>
      </c>
      <c r="E5">
        <v>2.9329999999999998</v>
      </c>
      <c r="F5">
        <v>2.9329999999999998</v>
      </c>
      <c r="G5">
        <f t="shared" si="0"/>
        <v>1.499999999999968E-2</v>
      </c>
      <c r="H5">
        <f t="shared" ref="H5:H6" si="1">G5-$G$3</f>
        <v>1.0999999999999677E-2</v>
      </c>
      <c r="I5">
        <f t="shared" ref="I5:I6" si="2">H5/0.02</f>
        <v>0.54999999999998384</v>
      </c>
      <c r="O5">
        <v>0.83</v>
      </c>
      <c r="P5">
        <v>0.50000000000001155</v>
      </c>
    </row>
    <row r="6" spans="1:16" x14ac:dyDescent="0.3">
      <c r="A6">
        <v>3</v>
      </c>
      <c r="B6">
        <v>2.5539999999999998</v>
      </c>
      <c r="C6">
        <v>2.5710000000000002</v>
      </c>
      <c r="D6">
        <v>2.569</v>
      </c>
      <c r="E6">
        <v>2.5680000000000001</v>
      </c>
      <c r="F6">
        <v>2.5680000000000001</v>
      </c>
      <c r="G6">
        <f t="shared" si="0"/>
        <v>1.4000000000000234E-2</v>
      </c>
      <c r="H6">
        <f t="shared" si="1"/>
        <v>1.0000000000000231E-2</v>
      </c>
      <c r="I6">
        <f t="shared" si="2"/>
        <v>0.50000000000001155</v>
      </c>
      <c r="O6">
        <v>0.63400000000000001</v>
      </c>
      <c r="P6">
        <v>0.44999999999999485</v>
      </c>
    </row>
    <row r="7" spans="1:16" x14ac:dyDescent="0.3">
      <c r="F7" t="s">
        <v>40</v>
      </c>
      <c r="G7">
        <f>AVERAGE(G4:G6)</f>
        <v>1.4999999999999977E-2</v>
      </c>
      <c r="H7">
        <f>AVERAGE(H4:H6)</f>
        <v>1.0999999999999973E-2</v>
      </c>
      <c r="I7">
        <f>AVERAGE(I4:I6)</f>
        <v>0.5499999999999986</v>
      </c>
      <c r="O7">
        <v>0.63400000000000001</v>
      </c>
      <c r="P7">
        <v>0.50000000000001155</v>
      </c>
    </row>
    <row r="8" spans="1:16" x14ac:dyDescent="0.3">
      <c r="F8" t="s">
        <v>41</v>
      </c>
      <c r="G8">
        <f>STDEV(G4:G6)</f>
        <v>9.9999999999988987E-4</v>
      </c>
      <c r="H8">
        <f>STDEV(H4:H6)</f>
        <v>9.9999999999988987E-4</v>
      </c>
      <c r="I8">
        <f>STDEV(I4:I6)</f>
        <v>4.9999999999994493E-2</v>
      </c>
      <c r="O8">
        <v>0.63400000000000001</v>
      </c>
      <c r="P8">
        <v>0.34999999999998366</v>
      </c>
    </row>
    <row r="9" spans="1:16" x14ac:dyDescent="0.3">
      <c r="O9">
        <v>0.69199999999999995</v>
      </c>
      <c r="P9">
        <v>0.45000000000001705</v>
      </c>
    </row>
    <row r="10" spans="1:16" x14ac:dyDescent="0.3">
      <c r="A10" s="10">
        <v>42326</v>
      </c>
      <c r="B10" t="s">
        <v>6</v>
      </c>
      <c r="C10">
        <v>0.63400000000000001</v>
      </c>
      <c r="O10">
        <v>0.69199999999999995</v>
      </c>
      <c r="P10">
        <v>0.44999999999999485</v>
      </c>
    </row>
    <row r="11" spans="1:16" x14ac:dyDescent="0.3">
      <c r="A11" t="s">
        <v>34</v>
      </c>
      <c r="B11" t="s">
        <v>36</v>
      </c>
      <c r="C11" s="10">
        <v>42327</v>
      </c>
      <c r="D11" s="10">
        <v>42331</v>
      </c>
      <c r="E11" s="10">
        <v>42339</v>
      </c>
      <c r="F11" t="s">
        <v>39</v>
      </c>
      <c r="G11" t="s">
        <v>38</v>
      </c>
      <c r="H11" t="s">
        <v>44</v>
      </c>
      <c r="O11">
        <v>0.69199999999999995</v>
      </c>
      <c r="P11">
        <v>0.30000000000001137</v>
      </c>
    </row>
    <row r="12" spans="1:16" x14ac:dyDescent="0.3">
      <c r="A12">
        <v>1</v>
      </c>
      <c r="B12">
        <v>2.7930000000000001</v>
      </c>
      <c r="C12">
        <v>2.8050000000000002</v>
      </c>
      <c r="D12">
        <v>2.806</v>
      </c>
      <c r="E12">
        <v>2.806</v>
      </c>
      <c r="F12">
        <f>E12-B12</f>
        <v>1.2999999999999901E-2</v>
      </c>
      <c r="G12">
        <f>F12-$G$3</f>
        <v>8.999999999999897E-3</v>
      </c>
      <c r="H12">
        <f>G12/0.02</f>
        <v>0.44999999999999485</v>
      </c>
    </row>
    <row r="13" spans="1:16" x14ac:dyDescent="0.3">
      <c r="A13">
        <v>2</v>
      </c>
      <c r="B13">
        <v>2.7869999999999999</v>
      </c>
      <c r="C13">
        <v>2.8</v>
      </c>
      <c r="D13">
        <v>2.8010000000000002</v>
      </c>
      <c r="E13">
        <v>2.8010000000000002</v>
      </c>
      <c r="F13">
        <f t="shared" ref="F13:F14" si="3">E13-B13</f>
        <v>1.4000000000000234E-2</v>
      </c>
      <c r="G13">
        <f t="shared" ref="G13:G14" si="4">F13-$G$3</f>
        <v>1.0000000000000231E-2</v>
      </c>
      <c r="H13">
        <f t="shared" ref="H13:H14" si="5">G13/0.02</f>
        <v>0.50000000000001155</v>
      </c>
    </row>
    <row r="14" spans="1:16" x14ac:dyDescent="0.3">
      <c r="A14">
        <v>3</v>
      </c>
      <c r="B14">
        <v>2.99</v>
      </c>
      <c r="C14">
        <v>3.0019999999999998</v>
      </c>
      <c r="D14">
        <v>3.0030000000000001</v>
      </c>
      <c r="E14">
        <v>3.0009999999999999</v>
      </c>
      <c r="F14">
        <f t="shared" si="3"/>
        <v>1.0999999999999677E-2</v>
      </c>
      <c r="G14">
        <f t="shared" si="4"/>
        <v>6.9999999999996732E-3</v>
      </c>
      <c r="H14">
        <f t="shared" si="5"/>
        <v>0.34999999999998366</v>
      </c>
    </row>
    <row r="15" spans="1:16" x14ac:dyDescent="0.3">
      <c r="C15" t="s">
        <v>40</v>
      </c>
      <c r="F15">
        <f>AVERAGE(F12:F14)</f>
        <v>1.2666666666666604E-2</v>
      </c>
      <c r="G15">
        <f>AVERAGE(G12:G14)</f>
        <v>8.6666666666666003E-3</v>
      </c>
      <c r="H15">
        <f>AVERAGE(H12:H14)</f>
        <v>0.43333333333333002</v>
      </c>
    </row>
    <row r="16" spans="1:16" x14ac:dyDescent="0.3">
      <c r="C16" t="s">
        <v>41</v>
      </c>
      <c r="F16">
        <f>STDEV(F12:F14)</f>
        <v>1.5275252316522146E-3</v>
      </c>
      <c r="G16">
        <f>STDEV(G12:G14)</f>
        <v>1.5275252316522146E-3</v>
      </c>
      <c r="H16">
        <f>STDEV(H12:H14)</f>
        <v>7.6376261582610933E-2</v>
      </c>
    </row>
    <row r="18" spans="1:29" x14ac:dyDescent="0.3">
      <c r="A18" s="10">
        <v>42327</v>
      </c>
      <c r="B18" t="s">
        <v>37</v>
      </c>
      <c r="C18">
        <v>0.69199999999999995</v>
      </c>
    </row>
    <row r="19" spans="1:29" x14ac:dyDescent="0.3">
      <c r="B19" t="s">
        <v>36</v>
      </c>
      <c r="C19" s="10">
        <v>42331</v>
      </c>
      <c r="D19" s="10">
        <v>42339</v>
      </c>
      <c r="E19" t="s">
        <v>39</v>
      </c>
      <c r="F19" t="s">
        <v>38</v>
      </c>
      <c r="G19" t="s">
        <v>48</v>
      </c>
    </row>
    <row r="20" spans="1:29" x14ac:dyDescent="0.3">
      <c r="A20">
        <v>1</v>
      </c>
      <c r="B20">
        <v>2.8159999999999998</v>
      </c>
      <c r="C20">
        <v>2.831</v>
      </c>
      <c r="D20">
        <v>2.8290000000000002</v>
      </c>
      <c r="E20">
        <f>D20-B20</f>
        <v>1.3000000000000345E-2</v>
      </c>
      <c r="F20">
        <f>E20-$G$3</f>
        <v>9.0000000000003411E-3</v>
      </c>
      <c r="G20">
        <f>F20/0.02</f>
        <v>0.45000000000001705</v>
      </c>
    </row>
    <row r="21" spans="1:29" x14ac:dyDescent="0.3">
      <c r="A21">
        <v>2</v>
      </c>
      <c r="B21">
        <v>3.2570000000000001</v>
      </c>
      <c r="C21">
        <v>3.2709999999999999</v>
      </c>
      <c r="D21">
        <v>3.27</v>
      </c>
      <c r="E21">
        <f t="shared" ref="E21:E22" si="6">D21-B21</f>
        <v>1.2999999999999901E-2</v>
      </c>
      <c r="F21">
        <f t="shared" ref="F21:F22" si="7">E21-$G$3</f>
        <v>8.999999999999897E-3</v>
      </c>
      <c r="G21">
        <f t="shared" ref="G21:G24" si="8">F21/0.02</f>
        <v>0.44999999999999485</v>
      </c>
    </row>
    <row r="22" spans="1:29" x14ac:dyDescent="0.3">
      <c r="A22">
        <v>3</v>
      </c>
      <c r="B22">
        <v>3.3109999999999999</v>
      </c>
      <c r="C22">
        <v>3.3210000000000002</v>
      </c>
      <c r="D22">
        <v>3.3210000000000002</v>
      </c>
      <c r="E22">
        <f t="shared" si="6"/>
        <v>1.0000000000000231E-2</v>
      </c>
      <c r="F22">
        <f t="shared" si="7"/>
        <v>6.0000000000002274E-3</v>
      </c>
      <c r="G22">
        <f t="shared" si="8"/>
        <v>0.30000000000001137</v>
      </c>
      <c r="X22" t="s">
        <v>49</v>
      </c>
      <c r="Y22" t="s">
        <v>50</v>
      </c>
      <c r="Z22" t="s">
        <v>51</v>
      </c>
      <c r="AA22" t="s">
        <v>52</v>
      </c>
      <c r="AB22" t="s">
        <v>56</v>
      </c>
      <c r="AC22" t="s">
        <v>57</v>
      </c>
    </row>
    <row r="23" spans="1:29" x14ac:dyDescent="0.3">
      <c r="E23" t="s">
        <v>46</v>
      </c>
      <c r="F23">
        <f>AVERAGE(F20:F22)</f>
        <v>8.0000000000001546E-3</v>
      </c>
      <c r="G23">
        <f t="shared" si="8"/>
        <v>0.40000000000000774</v>
      </c>
      <c r="W23" t="s">
        <v>53</v>
      </c>
      <c r="X23">
        <v>7</v>
      </c>
      <c r="Y23">
        <v>2.3E-2</v>
      </c>
      <c r="Z23">
        <f>Y23*1000/X23</f>
        <v>3.2857142857142856</v>
      </c>
      <c r="AA23">
        <f>Z23/LN(2)</f>
        <v>4.7402837057780225</v>
      </c>
      <c r="AB23">
        <v>2.1000000000000001E-2</v>
      </c>
      <c r="AC23">
        <f>AB23/X23*1000</f>
        <v>3</v>
      </c>
    </row>
    <row r="24" spans="1:29" x14ac:dyDescent="0.3">
      <c r="E24" t="s">
        <v>42</v>
      </c>
      <c r="F24">
        <f>STDEV(F20:F22)</f>
        <v>1.7320508075688147E-3</v>
      </c>
      <c r="G24">
        <f t="shared" si="8"/>
        <v>8.6602540378440729E-2</v>
      </c>
      <c r="W24" t="s">
        <v>54</v>
      </c>
      <c r="X24">
        <v>20</v>
      </c>
      <c r="Y24">
        <v>9.8000000000000004E-2</v>
      </c>
      <c r="Z24">
        <f t="shared" ref="Z24:Z25" si="9">Y24*1000/X24</f>
        <v>4.9000000000000004</v>
      </c>
      <c r="AA24">
        <f t="shared" ref="AA24:AA25" si="10">Z24/LN(2)</f>
        <v>7.0692057003559219</v>
      </c>
      <c r="AB24">
        <v>8.5999999999999993E-2</v>
      </c>
      <c r="AC24">
        <f t="shared" ref="AC24:AC25" si="11">AB24/X24*1000</f>
        <v>4.3</v>
      </c>
    </row>
    <row r="25" spans="1:29" x14ac:dyDescent="0.3">
      <c r="W25" t="s">
        <v>55</v>
      </c>
      <c r="X25">
        <v>11.6</v>
      </c>
      <c r="Y25">
        <v>2.9000000000000001E-2</v>
      </c>
      <c r="Z25">
        <f t="shared" si="9"/>
        <v>2.5</v>
      </c>
      <c r="AA25">
        <f t="shared" si="10"/>
        <v>3.6067376022224087</v>
      </c>
      <c r="AB25">
        <v>0.03</v>
      </c>
      <c r="AC25">
        <f t="shared" si="11"/>
        <v>2.5862068965517242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Filtering and Spin</vt:lpstr>
      <vt:lpstr>Trial 1</vt:lpstr>
      <vt:lpstr>Trial 2</vt:lpstr>
      <vt:lpstr>Salts Calculations</vt:lpstr>
      <vt:lpstr>Filtering Method</vt:lpstr>
      <vt:lpstr>OD v Cell Density Chart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2015-04-14T00:27:10Z</dcterms:created>
  <dcterms:modified xsi:type="dcterms:W3CDTF">2015-12-15T02:18:21Z</dcterms:modified>
</cp:coreProperties>
</file>