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tabRatio="769" activeTab="8"/>
  </bookViews>
  <sheets>
    <sheet name="Neatened Compilation" sheetId="14" r:id="rId1"/>
    <sheet name="10_22" sheetId="1" r:id="rId2"/>
    <sheet name="10_27" sheetId="2" r:id="rId3"/>
    <sheet name="11_2" sheetId="3" r:id="rId4"/>
    <sheet name="11_12" sheetId="5" r:id="rId5"/>
    <sheet name="11_19" sheetId="7" r:id="rId6"/>
    <sheet name="12_01" sheetId="11" r:id="rId7"/>
    <sheet name="12_07" sheetId="12" r:id="rId8"/>
    <sheet name="12_11" sheetId="15" r:id="rId9"/>
    <sheet name="Methane Standard Curve" sheetId="6" r:id="rId10"/>
    <sheet name="Compilation" sheetId="8" r:id="rId11"/>
    <sheet name="12_01_Summary of Results" sheetId="10" r:id="rId12"/>
    <sheet name="11_5" sheetId="4" r:id="rId13"/>
  </sheets>
  <calcPr calcId="145621"/>
</workbook>
</file>

<file path=xl/calcChain.xml><?xml version="1.0" encoding="utf-8"?>
<calcChain xmlns="http://schemas.openxmlformats.org/spreadsheetml/2006/main">
  <c r="F34" i="15" l="1"/>
  <c r="F28" i="2"/>
  <c r="F31" i="2" s="1"/>
  <c r="F29" i="2"/>
  <c r="F31" i="15"/>
  <c r="F30" i="15"/>
  <c r="F31" i="12"/>
  <c r="F30" i="12"/>
  <c r="F31" i="11"/>
  <c r="F30" i="11"/>
  <c r="F29" i="7"/>
  <c r="F28" i="7"/>
  <c r="F29" i="5"/>
  <c r="F28" i="5"/>
  <c r="F30" i="3"/>
  <c r="F29" i="3"/>
  <c r="F26" i="2"/>
  <c r="F27" i="3"/>
  <c r="F26" i="5"/>
  <c r="F26" i="7"/>
  <c r="F28" i="11"/>
  <c r="F28" i="12"/>
  <c r="F28" i="15"/>
  <c r="F27" i="15"/>
  <c r="F33" i="15"/>
  <c r="F25" i="15"/>
  <c r="F24" i="15"/>
  <c r="F27" i="12"/>
  <c r="F33" i="12" s="1"/>
  <c r="F25" i="12"/>
  <c r="F24" i="12"/>
  <c r="F27" i="11"/>
  <c r="F25" i="11"/>
  <c r="F24" i="11"/>
  <c r="F25" i="7"/>
  <c r="F23" i="7"/>
  <c r="F22" i="7"/>
  <c r="F25" i="5"/>
  <c r="F31" i="5" s="1"/>
  <c r="F23" i="5"/>
  <c r="F22" i="5"/>
  <c r="F26" i="3"/>
  <c r="F32" i="3" s="1"/>
  <c r="F24" i="3"/>
  <c r="F23" i="3"/>
  <c r="F22" i="2"/>
  <c r="F23" i="2"/>
  <c r="F25" i="2"/>
  <c r="F32" i="1"/>
  <c r="F47" i="1"/>
  <c r="F46" i="1"/>
  <c r="F45" i="1"/>
  <c r="F38" i="1"/>
  <c r="F39" i="1"/>
  <c r="E36" i="1"/>
  <c r="F36" i="1"/>
  <c r="F31" i="1"/>
  <c r="F29" i="1"/>
  <c r="F28" i="1"/>
  <c r="E11" i="12"/>
  <c r="E11" i="11"/>
  <c r="E9" i="7"/>
  <c r="E9" i="5"/>
  <c r="E10" i="3"/>
  <c r="E9" i="2"/>
  <c r="E9" i="1"/>
  <c r="F26" i="1"/>
  <c r="F25" i="1"/>
  <c r="F23" i="1"/>
  <c r="F22" i="1"/>
  <c r="F21" i="1"/>
  <c r="F20" i="1"/>
  <c r="F20" i="2"/>
  <c r="F21" i="3"/>
  <c r="F20" i="5"/>
  <c r="F20" i="7"/>
  <c r="F22" i="11"/>
  <c r="F22" i="12"/>
  <c r="F22" i="15"/>
  <c r="B21" i="15"/>
  <c r="B21" i="12"/>
  <c r="B21" i="11"/>
  <c r="B19" i="7"/>
  <c r="B19" i="5"/>
  <c r="B20" i="3"/>
  <c r="B19" i="2"/>
  <c r="B12" i="1"/>
  <c r="F33" i="11" l="1"/>
  <c r="F31" i="7"/>
  <c r="F34" i="12"/>
  <c r="F34" i="11"/>
  <c r="F32" i="7"/>
  <c r="F32" i="5"/>
  <c r="F33" i="3"/>
  <c r="F32" i="2"/>
  <c r="H9" i="14"/>
  <c r="G9" i="14"/>
  <c r="F9" i="14"/>
  <c r="D9" i="14"/>
  <c r="F20" i="15"/>
  <c r="F21" i="15"/>
  <c r="F23" i="15"/>
  <c r="B18" i="15"/>
  <c r="B17" i="15"/>
  <c r="B16" i="15"/>
  <c r="B15" i="15"/>
  <c r="B19" i="15" s="1"/>
  <c r="B14" i="15"/>
  <c r="C4" i="15"/>
  <c r="D4" i="15"/>
  <c r="E4" i="15" s="1"/>
  <c r="B20" i="15" l="1"/>
  <c r="E9" i="15"/>
  <c r="F9" i="15" s="1"/>
  <c r="B25" i="15"/>
  <c r="I15" i="14"/>
  <c r="H15" i="14"/>
  <c r="B26" i="15" l="1"/>
  <c r="B27" i="15" s="1"/>
  <c r="I16" i="14"/>
  <c r="F2" i="14"/>
  <c r="G2" i="14"/>
  <c r="H2" i="14"/>
  <c r="I2" i="14"/>
  <c r="J2" i="14" s="1"/>
  <c r="J3" i="14"/>
  <c r="J4" i="14"/>
  <c r="J5" i="14"/>
  <c r="J6" i="14"/>
  <c r="J7" i="14"/>
  <c r="J8" i="14"/>
  <c r="I3" i="14"/>
  <c r="I4" i="14"/>
  <c r="I5" i="14"/>
  <c r="I6" i="14"/>
  <c r="I7" i="14"/>
  <c r="I8" i="14"/>
  <c r="I9" i="14"/>
  <c r="J9" i="14" s="1"/>
  <c r="C28" i="15" l="1"/>
  <c r="B28" i="15"/>
  <c r="B30" i="15" s="1"/>
  <c r="H3" i="14"/>
  <c r="H4" i="14"/>
  <c r="H5" i="14"/>
  <c r="H6" i="14"/>
  <c r="H7" i="14"/>
  <c r="H8" i="14"/>
  <c r="G3" i="14"/>
  <c r="G4" i="14"/>
  <c r="G5" i="14"/>
  <c r="G6" i="14"/>
  <c r="G7" i="14"/>
  <c r="G8" i="14"/>
  <c r="F3" i="14"/>
  <c r="F4" i="14"/>
  <c r="F5" i="14"/>
  <c r="F6" i="14"/>
  <c r="F7" i="14"/>
  <c r="F8" i="14"/>
  <c r="F19" i="1"/>
  <c r="F20" i="12" l="1"/>
  <c r="A4" i="12"/>
  <c r="A6" i="12"/>
  <c r="A7" i="12"/>
  <c r="F21" i="12"/>
  <c r="B18" i="12"/>
  <c r="B17" i="12"/>
  <c r="B16" i="12"/>
  <c r="B15" i="12"/>
  <c r="B14" i="12"/>
  <c r="C8" i="12"/>
  <c r="D8" i="12" s="1"/>
  <c r="E8" i="12" s="1"/>
  <c r="C7" i="12"/>
  <c r="C6" i="12"/>
  <c r="C5" i="12"/>
  <c r="D5" i="12" s="1"/>
  <c r="E5" i="12" s="1"/>
  <c r="C4" i="12"/>
  <c r="D4" i="12" s="1"/>
  <c r="E4" i="12" s="1"/>
  <c r="B19" i="12" l="1"/>
  <c r="B20" i="12"/>
  <c r="D7" i="12"/>
  <c r="E7" i="12" s="1"/>
  <c r="D6" i="12"/>
  <c r="E6" i="12" s="1"/>
  <c r="C24" i="8"/>
  <c r="E24" i="8"/>
  <c r="I16" i="8"/>
  <c r="H16" i="8"/>
  <c r="F5" i="8"/>
  <c r="F6" i="8"/>
  <c r="F2" i="8"/>
  <c r="D3" i="8"/>
  <c r="F3" i="8" s="1"/>
  <c r="D4" i="8"/>
  <c r="F4" i="8" s="1"/>
  <c r="D5" i="8"/>
  <c r="D6" i="8"/>
  <c r="D2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3" i="8"/>
  <c r="C22" i="8"/>
  <c r="C21" i="8"/>
  <c r="C20" i="8"/>
  <c r="C19" i="8"/>
  <c r="C18" i="8"/>
  <c r="C17" i="8"/>
  <c r="C16" i="8"/>
  <c r="E10" i="12" l="1"/>
  <c r="E9" i="12"/>
  <c r="F9" i="12" s="1"/>
  <c r="H46" i="8"/>
  <c r="C7" i="11"/>
  <c r="D7" i="11"/>
  <c r="E7" i="11" s="1"/>
  <c r="C8" i="11"/>
  <c r="D8" i="11" s="1"/>
  <c r="E8" i="11" s="1"/>
  <c r="A5" i="11"/>
  <c r="A6" i="11" s="1"/>
  <c r="F21" i="11"/>
  <c r="F20" i="11"/>
  <c r="B18" i="11"/>
  <c r="B17" i="11"/>
  <c r="B16" i="11"/>
  <c r="B15" i="11"/>
  <c r="B14" i="11"/>
  <c r="C6" i="11"/>
  <c r="C5" i="11"/>
  <c r="C4" i="11"/>
  <c r="D4" i="11" s="1"/>
  <c r="E4" i="11" s="1"/>
  <c r="B20" i="11" l="1"/>
  <c r="D5" i="11"/>
  <c r="E5" i="11" s="1"/>
  <c r="E10" i="11" s="1"/>
  <c r="D6" i="11"/>
  <c r="E6" i="11" s="1"/>
  <c r="B19" i="11"/>
  <c r="E12" i="10"/>
  <c r="E13" i="10"/>
  <c r="E14" i="10"/>
  <c r="D12" i="10"/>
  <c r="D13" i="10"/>
  <c r="D14" i="10"/>
  <c r="D11" i="10"/>
  <c r="E11" i="10" s="1"/>
  <c r="C12" i="10"/>
  <c r="C13" i="10"/>
  <c r="C14" i="10"/>
  <c r="C11" i="10"/>
  <c r="D7" i="10"/>
  <c r="D6" i="10"/>
  <c r="D5" i="10"/>
  <c r="D4" i="10"/>
  <c r="D3" i="10"/>
  <c r="E9" i="11" l="1"/>
  <c r="B7" i="8" s="1"/>
  <c r="G31" i="4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29" i="8"/>
  <c r="E30" i="8"/>
  <c r="E31" i="8"/>
  <c r="E32" i="8"/>
  <c r="E33" i="8"/>
  <c r="E34" i="8"/>
  <c r="E35" i="8"/>
  <c r="E36" i="8"/>
  <c r="E18" i="8"/>
  <c r="E19" i="8"/>
  <c r="E20" i="8"/>
  <c r="E21" i="8"/>
  <c r="E22" i="8"/>
  <c r="E23" i="8"/>
  <c r="E25" i="8"/>
  <c r="E26" i="8"/>
  <c r="E27" i="8"/>
  <c r="E28" i="8"/>
  <c r="E17" i="8"/>
  <c r="E16" i="8"/>
  <c r="E4" i="8"/>
  <c r="G4" i="8" s="1"/>
  <c r="E6" i="8"/>
  <c r="G6" i="8" s="1"/>
  <c r="E5" i="8"/>
  <c r="G5" i="8" s="1"/>
  <c r="E3" i="8"/>
  <c r="G3" i="8" s="1"/>
  <c r="E2" i="8"/>
  <c r="G2" i="8" s="1"/>
  <c r="F9" i="11" l="1"/>
  <c r="A5" i="7" l="1"/>
  <c r="F19" i="7"/>
  <c r="F18" i="7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F7" i="7" s="1"/>
  <c r="B17" i="7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F23" i="12" l="1"/>
  <c r="B25" i="12" s="1"/>
  <c r="F23" i="11"/>
  <c r="B25" i="11" s="1"/>
  <c r="F21" i="7"/>
  <c r="B23" i="7" s="1"/>
  <c r="A6" i="4"/>
  <c r="A5" i="4"/>
  <c r="A4" i="4"/>
  <c r="F19" i="5"/>
  <c r="F18" i="5"/>
  <c r="F21" i="5" s="1"/>
  <c r="B16" i="5"/>
  <c r="B15" i="5"/>
  <c r="B14" i="5"/>
  <c r="B13" i="5"/>
  <c r="B12" i="5"/>
  <c r="B18" i="5" s="1"/>
  <c r="C4" i="5"/>
  <c r="D4" i="5" s="1"/>
  <c r="E4" i="5" s="1"/>
  <c r="E7" i="5" s="1"/>
  <c r="F7" i="5" s="1"/>
  <c r="B24" i="7" l="1"/>
  <c r="B25" i="7" s="1"/>
  <c r="B26" i="11"/>
  <c r="B27" i="11" s="1"/>
  <c r="B26" i="12"/>
  <c r="B27" i="12" s="1"/>
  <c r="B23" i="5"/>
  <c r="B17" i="5"/>
  <c r="F19" i="4"/>
  <c r="F18" i="4"/>
  <c r="F21" i="4" s="1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C7" i="3"/>
  <c r="D7" i="3" s="1"/>
  <c r="E7" i="3" s="1"/>
  <c r="A6" i="3"/>
  <c r="A5" i="3"/>
  <c r="A4" i="3"/>
  <c r="F20" i="3"/>
  <c r="F19" i="3"/>
  <c r="F22" i="3" s="1"/>
  <c r="B17" i="3"/>
  <c r="B16" i="3"/>
  <c r="B15" i="3"/>
  <c r="B14" i="3"/>
  <c r="B13" i="3"/>
  <c r="C6" i="3"/>
  <c r="C5" i="3"/>
  <c r="D5" i="3" s="1"/>
  <c r="E5" i="3" s="1"/>
  <c r="C4" i="3"/>
  <c r="D4" i="3"/>
  <c r="E4" i="3" s="1"/>
  <c r="B24" i="5" l="1"/>
  <c r="B25" i="5" s="1"/>
  <c r="B26" i="5" s="1"/>
  <c r="C28" i="11"/>
  <c r="B28" i="11"/>
  <c r="C28" i="12"/>
  <c r="B28" i="12"/>
  <c r="B30" i="12" s="1"/>
  <c r="B26" i="7"/>
  <c r="B28" i="7" s="1"/>
  <c r="C26" i="7"/>
  <c r="B18" i="4"/>
  <c r="E8" i="4"/>
  <c r="E7" i="4"/>
  <c r="F7" i="4" s="1"/>
  <c r="B17" i="4"/>
  <c r="B23" i="4" s="1"/>
  <c r="D6" i="3"/>
  <c r="E6" i="3" s="1"/>
  <c r="E8" i="3" s="1"/>
  <c r="F8" i="3" s="1"/>
  <c r="B19" i="3"/>
  <c r="B18" i="3"/>
  <c r="B24" i="3" s="1"/>
  <c r="F19" i="2"/>
  <c r="F18" i="2"/>
  <c r="F21" i="2" s="1"/>
  <c r="A5" i="2"/>
  <c r="A4" i="2"/>
  <c r="C4" i="2"/>
  <c r="B16" i="2"/>
  <c r="B15" i="2"/>
  <c r="B14" i="2"/>
  <c r="B13" i="2"/>
  <c r="B12" i="2"/>
  <c r="C6" i="2"/>
  <c r="D6" i="2" s="1"/>
  <c r="E6" i="2" s="1"/>
  <c r="C5" i="2"/>
  <c r="F18" i="1"/>
  <c r="B18" i="1"/>
  <c r="B19" i="1" s="1"/>
  <c r="B13" i="1"/>
  <c r="B14" i="1"/>
  <c r="B15" i="1"/>
  <c r="B16" i="1"/>
  <c r="B17" i="1"/>
  <c r="B23" i="1" s="1"/>
  <c r="B24" i="1" s="1"/>
  <c r="B25" i="1" s="1"/>
  <c r="B26" i="1" s="1"/>
  <c r="B28" i="1" s="1"/>
  <c r="B24" i="4" l="1"/>
  <c r="B25" i="4" s="1"/>
  <c r="B26" i="4" s="1"/>
  <c r="B28" i="4" s="1"/>
  <c r="B31" i="4"/>
  <c r="C31" i="4" s="1"/>
  <c r="D31" i="4" s="1"/>
  <c r="E31" i="4" s="1"/>
  <c r="F31" i="4" s="1"/>
  <c r="B30" i="11"/>
  <c r="C7" i="8"/>
  <c r="B25" i="3"/>
  <c r="B26" i="3" s="1"/>
  <c r="B27" i="3" s="1"/>
  <c r="B23" i="2"/>
  <c r="E9" i="3"/>
  <c r="B18" i="2"/>
  <c r="D5" i="2"/>
  <c r="E5" i="2" s="1"/>
  <c r="D4" i="2"/>
  <c r="E4" i="2" s="1"/>
  <c r="B17" i="2"/>
  <c r="D5" i="1"/>
  <c r="E5" i="1" s="1"/>
  <c r="C5" i="1"/>
  <c r="C6" i="1"/>
  <c r="A6" i="1"/>
  <c r="D6" i="1" s="1"/>
  <c r="E6" i="1" s="1"/>
  <c r="A5" i="1"/>
  <c r="E8" i="1" l="1"/>
  <c r="E7" i="1"/>
  <c r="B24" i="2"/>
  <c r="B25" i="2" s="1"/>
  <c r="B26" i="2" s="1"/>
  <c r="B28" i="2" s="1"/>
  <c r="D7" i="8"/>
  <c r="F7" i="8" s="1"/>
  <c r="E7" i="8"/>
  <c r="G7" i="8" s="1"/>
  <c r="E8" i="2"/>
  <c r="E7" i="2"/>
  <c r="F7" i="2" s="1"/>
</calcChain>
</file>

<file path=xl/sharedStrings.xml><?xml version="1.0" encoding="utf-8"?>
<sst xmlns="http://schemas.openxmlformats.org/spreadsheetml/2006/main" count="399" uniqueCount="102">
  <si>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</si>
  <si>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</si>
  <si>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</si>
  <si>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</si>
  <si>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</si>
  <si>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</si>
  <si>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</si>
  <si>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</si>
  <si>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</si>
  <si>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</si>
  <si>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</si>
  <si>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</si>
  <si>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</si>
  <si>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</si>
  <si>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</si>
  <si>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</si>
  <si>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</si>
  <si>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</si>
  <si>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</si>
  <si>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</si>
  <si>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</si>
  <si>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</si>
  <si>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</si>
  <si>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</si>
  <si>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</si>
  <si>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</si>
  <si>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</si>
  <si>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</si>
  <si>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</si>
  <si>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</si>
  <si>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</si>
  <si>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</si>
  <si>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</si>
  <si>
    <t>Methane Amount (mL/(1 L) min):</t>
  </si>
  <si>
    <t>Methane Amount (mmol/(1 L) min):</t>
  </si>
  <si>
    <t>Methane Amount (mmol/(1 L) h)</t>
  </si>
  <si>
    <t>Methane Amount (mmol/(gDCW)h</t>
  </si>
  <si>
    <t>Date</t>
  </si>
  <si>
    <t>Growth Rate</t>
  </si>
  <si>
    <t>Concerns/Notes/Comments</t>
  </si>
  <si>
    <t>MER</t>
  </si>
  <si>
    <t>Very soon after previous; I think this may not have reached steady state</t>
  </si>
  <si>
    <t>Only one growth point, but rate matches previous w/o change in rate I think</t>
  </si>
  <si>
    <t>Yield</t>
  </si>
  <si>
    <t>Kyle's Way</t>
  </si>
  <si>
    <t>Yield (kyle's way)</t>
  </si>
  <si>
    <t>OD660/CH4</t>
  </si>
  <si>
    <t>x 0.34</t>
  </si>
  <si>
    <t>Div. by t1/2</t>
  </si>
  <si>
    <t>t 1/2</t>
  </si>
  <si>
    <t>Mult by 22400</t>
  </si>
  <si>
    <t>My yield his way</t>
  </si>
  <si>
    <t>His yield w/my #s</t>
  </si>
  <si>
    <t>Growth Rate (1/h)</t>
  </si>
  <si>
    <t>MER (mmol/gDCW/h)</t>
  </si>
  <si>
    <t xml:space="preserve">Yield </t>
  </si>
  <si>
    <t>Yield Types</t>
  </si>
  <si>
    <t>Dil. Rate + New OD</t>
  </si>
  <si>
    <t>DT + New OD</t>
  </si>
  <si>
    <t>Dil. Rate + Old OD</t>
  </si>
  <si>
    <t>DT + Old OD</t>
  </si>
  <si>
    <t>Growth, Methane Production, and Yield</t>
  </si>
  <si>
    <t>Yield (t1/2)</t>
  </si>
  <si>
    <t>Alternative amount (OD=0.34)</t>
  </si>
  <si>
    <t>Yield (OD=0.34)</t>
  </si>
  <si>
    <t>MER (OD=0.34)</t>
  </si>
  <si>
    <t>GAM (OD=0.66)</t>
  </si>
  <si>
    <t>NGAM (OD=0.66)</t>
  </si>
  <si>
    <t>GAM (OD=0.34)</t>
  </si>
  <si>
    <t>NGAM (OD=0.34)</t>
  </si>
  <si>
    <t>Kyle's Value (DT)</t>
  </si>
  <si>
    <t>Dilution Rate Value</t>
  </si>
  <si>
    <t>Error</t>
  </si>
  <si>
    <t>**Note that this is at GR of 0.0833</t>
  </si>
  <si>
    <t>OD</t>
  </si>
  <si>
    <t>GC Peaks</t>
  </si>
  <si>
    <t>-</t>
  </si>
  <si>
    <t>Flow Rate (mL/min)</t>
  </si>
  <si>
    <t>Dilution Rate (1/h)</t>
  </si>
  <si>
    <t>Kyle's Values</t>
  </si>
  <si>
    <t xml:space="preserve">Current OD: </t>
  </si>
  <si>
    <t>Kyle's Yield (12 h/L)</t>
  </si>
  <si>
    <t>Predicted Yield (12 h/L)</t>
  </si>
  <si>
    <t>Ch4 Flow (mL/min)</t>
  </si>
  <si>
    <t>Ch4 Flux (mmol/gDCW/h)</t>
  </si>
  <si>
    <t>Simple Yield</t>
  </si>
  <si>
    <t>Model Values</t>
  </si>
  <si>
    <t>&lt;--Error</t>
  </si>
  <si>
    <t>**Throwing this point out; it was measured differently, by me/Tom rather than by me, and I’m concerned about operator error</t>
  </si>
  <si>
    <t xml:space="preserve">95% Conf. Int. </t>
  </si>
  <si>
    <t>95% Conf Int</t>
  </si>
  <si>
    <t>Methane (mL/min)</t>
  </si>
  <si>
    <t>95% CI Error</t>
  </si>
  <si>
    <t>**Change This when OD Changes</t>
  </si>
  <si>
    <t>Yield (gDCW/mol)</t>
  </si>
  <si>
    <t>Sqrt Term</t>
  </si>
  <si>
    <t>Actual Sqrt of it</t>
  </si>
  <si>
    <t>Times R</t>
  </si>
  <si>
    <t>divide by ln(2)</t>
  </si>
  <si>
    <t>D/F</t>
  </si>
  <si>
    <t>Err</t>
  </si>
  <si>
    <t>* 1000/ln(2)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</si>
</sst>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" fontId="0" fillId="2" borderId="8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0" borderId="0" xfId="0" applyFill="1" applyBorder="1"/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 Flux v. Growth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680404195862305"/>
                  <c:y val="3.4467561145162681E-2"/>
                </c:manualLayout>
              </c:layout>
              <c:numFmt formatCode="General" sourceLinked="0"/>
            </c:trendlineLbl>
          </c:trendline>
          <c:xVal>
            <c:numRef>
              <c:f>'Neatened Compilation'!$C$3:$C$9</c:f>
              <c:numCache>
                <c:formatCode>0.0000</c:formatCode>
                <c:ptCount val="7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  <c:pt idx="5">
                  <c:v>6.0233987106893573E-2</c:v>
                </c:pt>
                <c:pt idx="6">
                  <c:v>5.8745537990821016E-2</c:v>
                </c:pt>
              </c:numCache>
            </c:numRef>
          </c:xVal>
          <c:yVal>
            <c:numRef>
              <c:f>'Neatened Compilation'!$I$3:$I$9</c:f>
              <c:numCache>
                <c:formatCode>0.00</c:formatCode>
                <c:ptCount val="7"/>
                <c:pt idx="0">
                  <c:v>48.340161938759181</c:v>
                </c:pt>
                <c:pt idx="1">
                  <c:v>44.105816683252677</c:v>
                </c:pt>
                <c:pt idx="2">
                  <c:v>28.395384527843461</c:v>
                </c:pt>
                <c:pt idx="3">
                  <c:v>41.132831366988491</c:v>
                </c:pt>
                <c:pt idx="4">
                  <c:v>28.116969705221639</c:v>
                </c:pt>
                <c:pt idx="5">
                  <c:v>34.869502561398797</c:v>
                </c:pt>
                <c:pt idx="6">
                  <c:v>35.169436660808579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69472"/>
        <c:axId val="110188032"/>
      </c:scatterChart>
      <c:valAx>
        <c:axId val="11016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</a:t>
                </a:r>
                <a:r>
                  <a:rPr lang="en-US" baseline="0"/>
                  <a:t> Rate (1/h)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10188032"/>
        <c:crosses val="autoZero"/>
        <c:crossBetween val="midCat"/>
      </c:valAx>
      <c:valAx>
        <c:axId val="11018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Ch4 Flux (mmol/gDCW/h)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016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6870342897959"/>
                  <c:y val="-5.18994735484654E-2"/>
                </c:manualLayout>
              </c:layout>
              <c:numFmt formatCode="General" sourceLinked="0"/>
            </c:trendlineLbl>
          </c:trendline>
          <c:xVal>
            <c:numRef>
              <c:f>'Neatened Compilation'!$C$3:$C$9</c:f>
              <c:numCache>
                <c:formatCode>0.0000</c:formatCode>
                <c:ptCount val="7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  <c:pt idx="5">
                  <c:v>6.0233987106893573E-2</c:v>
                </c:pt>
                <c:pt idx="6">
                  <c:v>5.8745537990821016E-2</c:v>
                </c:pt>
              </c:numCache>
            </c:numRef>
          </c:xVal>
          <c:yVal>
            <c:numRef>
              <c:f>'Neatened Compilation'!$H$3:$H$9</c:f>
              <c:numCache>
                <c:formatCode>0.000</c:formatCode>
                <c:ptCount val="7"/>
                <c:pt idx="0">
                  <c:v>2.6932851089400507</c:v>
                </c:pt>
                <c:pt idx="1">
                  <c:v>2.9181809328892121</c:v>
                </c:pt>
                <c:pt idx="2">
                  <c:v>2.3642889846525779</c:v>
                </c:pt>
                <c:pt idx="3">
                  <c:v>2.4722779764312817</c:v>
                </c:pt>
                <c:pt idx="4">
                  <c:v>2.3484803688734086</c:v>
                </c:pt>
                <c:pt idx="5">
                  <c:v>2.4921283100919336</c:v>
                </c:pt>
                <c:pt idx="6">
                  <c:v>2.4098167153230468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17472"/>
        <c:axId val="110227456"/>
      </c:scatterChart>
      <c:valAx>
        <c:axId val="110217472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10227456"/>
        <c:crosses val="autoZero"/>
        <c:crossBetween val="midCat"/>
      </c:valAx>
      <c:valAx>
        <c:axId val="1102274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021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48320"/>
        <c:axId val="110249856"/>
      </c:scatterChart>
      <c:valAx>
        <c:axId val="11024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9856"/>
        <c:crosses val="autoZero"/>
        <c:crossBetween val="midCat"/>
      </c:valAx>
      <c:valAx>
        <c:axId val="110249856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24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Compilation!$B$9:$B$13</c:f>
              <c:numCache>
                <c:formatCode>General</c:formatCode>
                <c:ptCount val="5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</c:numCache>
            </c:numRef>
          </c:xVal>
          <c:yVal>
            <c:numRef>
              <c:f>Compilation!$C$9:$C$13</c:f>
              <c:numCache>
                <c:formatCode>General</c:formatCode>
                <c:ptCount val="5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  <c:pt idx="4">
                  <c:v>20.832118463414211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51328"/>
        <c:axId val="136401280"/>
      </c:scatterChart>
      <c:valAx>
        <c:axId val="1104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401280"/>
        <c:crosses val="autoZero"/>
        <c:crossBetween val="midCat"/>
      </c:valAx>
      <c:valAx>
        <c:axId val="1364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5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08448"/>
        <c:axId val="136422528"/>
      </c:scatterChart>
      <c:valAx>
        <c:axId val="1364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422528"/>
        <c:crosses val="autoZero"/>
        <c:crossBetween val="midCat"/>
      </c:valAx>
      <c:valAx>
        <c:axId val="1364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0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Fitted Growth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854203708407417"/>
                  <c:y val="3.595533609146314E-2"/>
                </c:manualLayout>
              </c:layout>
              <c:numFmt formatCode="General" sourceLinked="0"/>
            </c:trendlineLbl>
          </c:trendline>
          <c:xVal>
            <c:numRef>
              <c:f>Compilation!$B$9:$B$12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Compilation!$C$9:$C$12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59776"/>
        <c:axId val="136461696"/>
      </c:scatterChart>
      <c:valAx>
        <c:axId val="13645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461696"/>
        <c:crosses val="autoZero"/>
        <c:crossBetween val="midCat"/>
      </c:valAx>
      <c:valAx>
        <c:axId val="136461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MER (mmol/gDCW/h)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459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78080"/>
        <c:axId val="136492544"/>
      </c:scatterChart>
      <c:valAx>
        <c:axId val="1364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492544"/>
        <c:crosses val="autoZero"/>
        <c:crossBetween val="midCat"/>
      </c:valAx>
      <c:valAx>
        <c:axId val="136492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 Yield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47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24</xdr:row>
      <xdr:rowOff>66674</xdr:rowOff>
    </xdr:from>
    <xdr:to>
      <xdr:col>7</xdr:col>
      <xdr:colOff>390525</xdr:colOff>
      <xdr:row>42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1543050</xdr:colOff>
      <xdr:row>21</xdr:row>
      <xdr:rowOff>66675</xdr:rowOff>
    </xdr:from>
    <xdr:to>
      <xdr:col>16</xdr:col>
      <xdr:colOff>57150</xdr:colOff>
      <xdr:row>35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933450</xdr:colOff>
      <xdr:row>25</xdr:row>
      <xdr:rowOff>33337</xdr:rowOff>
    </xdr:from>
    <xdr:to>
      <xdr:col>14</xdr:col>
      <xdr:colOff>95250</xdr:colOff>
      <xdr:row>39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40</xdr:row>
      <xdr:rowOff>171450</xdr:rowOff>
    </xdr:from>
    <xdr:to>
      <xdr:col>13</xdr:col>
      <xdr:colOff>409575</xdr:colOff>
      <xdr:row>55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85726</xdr:rowOff>
    </xdr:from>
    <xdr:to>
      <xdr:col>5</xdr:col>
      <xdr:colOff>523875</xdr:colOff>
      <xdr:row>31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32</xdr:row>
      <xdr:rowOff>9525</xdr:rowOff>
    </xdr:from>
    <xdr:to>
      <xdr:col>4</xdr:col>
      <xdr:colOff>742950</xdr:colOff>
      <xdr:row>46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H3" sqref="H3:H9"/>
    </sheetView>
  </sheetViews>
  <sheetFormatPr defaultColWidth="9.140625" defaultRowHeight="15" x14ac:dyDescent="0.25"/>
  <cols>
    <col min="1" max="1" width="12.5703125" style="16" bestFit="1" customWidth="1"/>
    <col min="2" max="2" width="9.140625" style="16"/>
    <col min="3" max="3" width="19" style="16" customWidth="1"/>
    <col min="4" max="4" width="18.7109375" style="16" bestFit="1" customWidth="1"/>
    <col min="5" max="5" width="9.140625" style="16"/>
    <col min="6" max="6" width="11" style="16" bestFit="1" customWidth="1"/>
    <col min="7" max="7" width="22.140625" style="16" customWidth="1"/>
    <col min="8" max="8" width="9.140625" style="16"/>
    <col min="9" max="9" width="24" style="16" bestFit="1" customWidth="1"/>
    <col min="10" max="10" width="12" style="16" bestFit="1" customWidth="1"/>
    <col min="11" max="16384" width="9.140625" style="16"/>
  </cols>
  <sheetData>
    <row r="1" spans="1:11" x14ac:dyDescent="0.25">
      <c r="A1" s="16" t="s">
        <v>37</v>
      </c>
      <c r="B1" s="16" t="s">
        <v>74</v>
      </c>
      <c r="C1" s="16" t="s">
        <v>78</v>
      </c>
      <c r="D1" s="16" t="s">
        <v>77</v>
      </c>
      <c r="E1" s="16" t="s">
        <v>75</v>
      </c>
      <c r="F1" s="16" t="s">
        <v>19</v>
      </c>
      <c r="G1" s="16" t="s">
        <v>83</v>
      </c>
      <c r="H1" s="16" t="s">
        <v>43</v>
      </c>
      <c r="I1" s="16" t="s">
        <v>84</v>
      </c>
      <c r="J1" s="16" t="s">
        <v>85</v>
      </c>
    </row>
    <row r="2" spans="1:11" s="39" customFormat="1" x14ac:dyDescent="0.25">
      <c r="A2" s="35">
        <v>42299</v>
      </c>
      <c r="B2" s="36">
        <v>0.626</v>
      </c>
      <c r="C2" s="37">
        <v>8.1391176422049266E-2</v>
      </c>
      <c r="D2" s="38">
        <v>236.72923300841694</v>
      </c>
      <c r="E2" s="39">
        <v>14510</v>
      </c>
      <c r="F2" s="40">
        <f>E2*'Methane Standard Curve'!$B$13+'Methane Standard Curve'!$C$13</f>
        <v>2.4971655045194385E-2</v>
      </c>
      <c r="G2" s="41">
        <f>F2*D2</f>
        <v>5.9115207457996322</v>
      </c>
      <c r="H2" s="41">
        <f>B2/G2*$B$18*C2/LN(2)*22400/60</f>
        <v>2.2700352806044126</v>
      </c>
      <c r="I2" s="42">
        <f>G2*60/22.4/B2/$B$18</f>
        <v>51.727234197410638</v>
      </c>
      <c r="J2" s="41">
        <f>C2*1000/I2</f>
        <v>1.5734685545225526</v>
      </c>
      <c r="K2" s="43" t="s">
        <v>88</v>
      </c>
    </row>
    <row r="3" spans="1:11" x14ac:dyDescent="0.25">
      <c r="A3" s="29">
        <v>42304</v>
      </c>
      <c r="B3" s="30">
        <v>0.67200000000000004</v>
      </c>
      <c r="C3" s="31">
        <v>9.0243491953218014E-2</v>
      </c>
      <c r="D3" s="32">
        <v>248.86140042339238</v>
      </c>
      <c r="E3" s="16">
        <v>13817</v>
      </c>
      <c r="F3" s="26">
        <f>E3*'Methane Standard Curve'!$B$13+'Methane Standard Curve'!$C$13</f>
        <v>2.3830077808006077E-2</v>
      </c>
      <c r="G3" s="27">
        <f t="shared" ref="G3:G9" si="0">F3*D3</f>
        <v>5.9303865354987968</v>
      </c>
      <c r="H3" s="27">
        <f t="shared" ref="H3:H9" si="1">B3/G3*$B$18*C3/LN(2)*22400/60</f>
        <v>2.6932851089400507</v>
      </c>
      <c r="I3" s="28">
        <f t="shared" ref="I3:I9" si="2">G3*60/22.4/B3/$B$18</f>
        <v>48.340161938759181</v>
      </c>
      <c r="J3" s="27">
        <f t="shared" ref="J3:J8" si="3">C3*1000/I3</f>
        <v>1.8668429797058812</v>
      </c>
    </row>
    <row r="4" spans="1:11" x14ac:dyDescent="0.25">
      <c r="A4" s="29">
        <v>42310</v>
      </c>
      <c r="B4" s="30">
        <v>0.71199999999999997</v>
      </c>
      <c r="C4" s="31">
        <v>8.9214109445657191E-2</v>
      </c>
      <c r="D4" s="32">
        <v>236.1487621304139</v>
      </c>
      <c r="E4" s="16">
        <v>14088.333333333334</v>
      </c>
      <c r="F4" s="26">
        <f>E4*'Methane Standard Curve'!$B$13+'Methane Standard Curve'!$C$13</f>
        <v>2.4277044556958109E-2</v>
      </c>
      <c r="G4" s="27">
        <f t="shared" si="0"/>
        <v>5.73299402031056</v>
      </c>
      <c r="H4" s="27">
        <f t="shared" si="1"/>
        <v>2.9181809328892121</v>
      </c>
      <c r="I4" s="28">
        <f t="shared" si="2"/>
        <v>44.105816683252677</v>
      </c>
      <c r="J4" s="27">
        <f t="shared" si="3"/>
        <v>2.022728885995948</v>
      </c>
    </row>
    <row r="5" spans="1:11" ht="14.45" x14ac:dyDescent="0.3">
      <c r="A5" s="29">
        <v>42320</v>
      </c>
      <c r="B5" s="30">
        <v>0.83</v>
      </c>
      <c r="C5" s="31">
        <v>4.6534363085345594E-2</v>
      </c>
      <c r="D5" s="32">
        <v>235.07847553954838</v>
      </c>
      <c r="E5" s="16">
        <v>10461.666666666666</v>
      </c>
      <c r="F5" s="26">
        <f>E5*'Methane Standard Curve'!$B$13+'Methane Standard Curve'!$C$13</f>
        <v>1.8302845258925997E-2</v>
      </c>
      <c r="G5" s="27">
        <f t="shared" si="0"/>
        <v>4.3026049615045743</v>
      </c>
      <c r="H5" s="27">
        <f t="shared" si="1"/>
        <v>2.3642889846525779</v>
      </c>
      <c r="I5" s="28">
        <f t="shared" si="2"/>
        <v>28.395384527843461</v>
      </c>
      <c r="J5" s="27">
        <f t="shared" si="3"/>
        <v>1.6388002437408702</v>
      </c>
    </row>
    <row r="6" spans="1:11" ht="14.45" x14ac:dyDescent="0.3">
      <c r="A6" s="29">
        <v>42327</v>
      </c>
      <c r="B6" s="30">
        <v>0.68</v>
      </c>
      <c r="C6" s="31">
        <v>7.0487379671178976E-2</v>
      </c>
      <c r="D6" s="32">
        <v>233.75469282166114</v>
      </c>
      <c r="E6" s="30">
        <v>12611.666666666666</v>
      </c>
      <c r="F6" s="33">
        <f>E6*'Methane Standard Curve'!$B$13+'Methane Standard Curve'!$C$13</f>
        <v>2.1844535100130694E-2</v>
      </c>
      <c r="G6" s="34">
        <f t="shared" si="0"/>
        <v>5.1062625921630449</v>
      </c>
      <c r="H6" s="27">
        <f t="shared" si="1"/>
        <v>2.4722779764312817</v>
      </c>
      <c r="I6" s="28">
        <f t="shared" si="2"/>
        <v>41.132831366988491</v>
      </c>
      <c r="J6" s="27">
        <f t="shared" si="3"/>
        <v>1.7136525089237895</v>
      </c>
    </row>
    <row r="7" spans="1:11" ht="14.45" x14ac:dyDescent="0.3">
      <c r="A7" s="29">
        <v>42339</v>
      </c>
      <c r="B7" s="30">
        <v>0.80400000000000005</v>
      </c>
      <c r="C7" s="31">
        <v>4.5769999558765734E-2</v>
      </c>
      <c r="D7" s="32">
        <v>236.97793496562076</v>
      </c>
      <c r="E7" s="30">
        <v>9922.6666666666661</v>
      </c>
      <c r="F7" s="33">
        <f>E7*'Methane Standard Curve'!$B$13+'Methane Standard Curve'!$C$13</f>
        <v>1.7414951852223977E-2</v>
      </c>
      <c r="G7" s="34">
        <f t="shared" si="0"/>
        <v>4.1269593274657508</v>
      </c>
      <c r="H7" s="27">
        <f t="shared" si="1"/>
        <v>2.3484803688734086</v>
      </c>
      <c r="I7" s="28">
        <f t="shared" si="2"/>
        <v>28.116969705221639</v>
      </c>
      <c r="J7" s="27">
        <f t="shared" si="3"/>
        <v>1.6278425462849835</v>
      </c>
    </row>
    <row r="8" spans="1:11" ht="14.45" x14ac:dyDescent="0.3">
      <c r="A8" s="29">
        <v>42345</v>
      </c>
      <c r="B8" s="30">
        <v>0.66</v>
      </c>
      <c r="C8" s="31">
        <v>6.0233987106893573E-2</v>
      </c>
      <c r="D8" s="32">
        <v>252.66502739838626</v>
      </c>
      <c r="E8" s="30">
        <v>9445.18</v>
      </c>
      <c r="F8" s="33">
        <f>E8*'Methane Standard Curve'!$B$13+'Methane Standard Curve'!$C$13</f>
        <v>1.662838921192443E-2</v>
      </c>
      <c r="G8" s="34">
        <f t="shared" si="0"/>
        <v>4.2014124158219168</v>
      </c>
      <c r="H8" s="27">
        <f t="shared" si="1"/>
        <v>2.4921283100919336</v>
      </c>
      <c r="I8" s="28">
        <f t="shared" si="2"/>
        <v>34.869502561398797</v>
      </c>
      <c r="J8" s="27">
        <f t="shared" si="3"/>
        <v>1.7274117117338446</v>
      </c>
    </row>
    <row r="9" spans="1:11" ht="14.45" x14ac:dyDescent="0.3">
      <c r="A9" s="29">
        <v>42349</v>
      </c>
      <c r="B9" s="30">
        <v>0.85</v>
      </c>
      <c r="C9" s="31">
        <v>5.8745537990821016E-2</v>
      </c>
      <c r="D9" s="32">
        <f>AVERAGE(D4:D8)</f>
        <v>238.92497857112608</v>
      </c>
      <c r="E9" s="30">
        <v>13217</v>
      </c>
      <c r="F9" s="33">
        <f>E9*'Methane Standard Curve'!$B$13+'Methane Standard Curve'!$C$13</f>
        <v>2.2841699247669878E-2</v>
      </c>
      <c r="G9" s="34">
        <f t="shared" si="0"/>
        <v>5.457452503277632</v>
      </c>
      <c r="H9" s="27">
        <f t="shared" si="1"/>
        <v>2.4098167153230468</v>
      </c>
      <c r="I9" s="28">
        <f t="shared" si="2"/>
        <v>35.169436660808579</v>
      </c>
      <c r="J9" s="27">
        <f>C9*1000/I9</f>
        <v>1.6703576618923983</v>
      </c>
    </row>
    <row r="10" spans="1:11" ht="14.45" x14ac:dyDescent="0.3">
      <c r="A10" s="30"/>
      <c r="B10" s="30"/>
      <c r="C10" s="30"/>
      <c r="D10" s="30"/>
      <c r="E10" s="30"/>
      <c r="F10" s="30"/>
      <c r="G10" s="30"/>
    </row>
    <row r="11" spans="1:11" ht="14.45" x14ac:dyDescent="0.3">
      <c r="D11" s="30"/>
      <c r="E11" s="30"/>
      <c r="F11" s="30"/>
      <c r="G11" s="30"/>
    </row>
    <row r="12" spans="1:11" ht="14.45" x14ac:dyDescent="0.3">
      <c r="D12" s="30"/>
      <c r="E12" s="30"/>
      <c r="F12" s="30"/>
      <c r="G12" s="30"/>
    </row>
    <row r="14" spans="1:11" x14ac:dyDescent="0.25">
      <c r="I14" s="16" t="s">
        <v>72</v>
      </c>
    </row>
    <row r="15" spans="1:11" x14ac:dyDescent="0.25">
      <c r="A15" s="16" t="s">
        <v>79</v>
      </c>
      <c r="B15" s="16">
        <v>0.68</v>
      </c>
      <c r="C15" s="16">
        <v>8.3000000000000004E-2</v>
      </c>
      <c r="D15" s="16" t="s">
        <v>76</v>
      </c>
      <c r="E15" s="16" t="s">
        <v>76</v>
      </c>
      <c r="F15" s="16" t="s">
        <v>76</v>
      </c>
      <c r="G15" s="16" t="s">
        <v>81</v>
      </c>
      <c r="H15" s="28">
        <f>2.86*B18/0.34</f>
        <v>4.11335294117647</v>
      </c>
      <c r="I15" s="28">
        <f>0.58*B18/0.34</f>
        <v>0.83417647058823519</v>
      </c>
      <c r="J15" s="16" t="s">
        <v>87</v>
      </c>
    </row>
    <row r="16" spans="1:11" x14ac:dyDescent="0.25">
      <c r="A16" s="16" t="s">
        <v>86</v>
      </c>
      <c r="C16" s="16">
        <v>8.3000000000000004E-2</v>
      </c>
      <c r="G16" s="16" t="s">
        <v>82</v>
      </c>
      <c r="H16" s="28">
        <v>2.5950000000000002</v>
      </c>
      <c r="I16" s="28">
        <f>C16*SLOPE(I2:I8,C2:C8)+INTERCEPT(I2:I8,C2:C8)</f>
        <v>45.951016882770382</v>
      </c>
    </row>
    <row r="18" spans="1:2" x14ac:dyDescent="0.25">
      <c r="A18" s="16" t="s">
        <v>80</v>
      </c>
      <c r="B18" s="16">
        <v>0.48899999999999999</v>
      </c>
    </row>
    <row r="19" spans="1:2" x14ac:dyDescent="0.25">
      <c r="A19" s="47" t="s">
        <v>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3" sqref="B13"/>
    </sheetView>
  </sheetViews>
  <sheetFormatPr defaultRowHeight="15" x14ac:dyDescent="0.25"/>
  <cols>
    <col min="1" max="2" width="12" bestFit="1" customWidth="1"/>
    <col min="3" max="3" width="11.7109375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x14ac:dyDescent="0.25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x14ac:dyDescent="0.25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x14ac:dyDescent="0.25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x14ac:dyDescent="0.25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x14ac:dyDescent="0.25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x14ac:dyDescent="0.25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x14ac:dyDescent="0.25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ht="15.75" thickBot="1" x14ac:dyDescent="0.3"/>
    <row r="12" spans="1:6" x14ac:dyDescent="0.25">
      <c r="A12" s="2"/>
      <c r="B12" s="8" t="s">
        <v>25</v>
      </c>
      <c r="C12" s="3" t="s">
        <v>26</v>
      </c>
    </row>
    <row r="13" spans="1:6" ht="15.75" thickBot="1" x14ac:dyDescent="0.3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x14ac:dyDescent="0.25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5" zoomScale="55" zoomScaleNormal="55" workbookViewId="0">
      <selection activeCell="G21" sqref="G21"/>
    </sheetView>
  </sheetViews>
  <sheetFormatPr defaultRowHeight="15" x14ac:dyDescent="0.25"/>
  <cols>
    <col min="2" max="2" width="12" bestFit="1" customWidth="1"/>
    <col min="6" max="6" width="14.7109375" bestFit="1" customWidth="1"/>
    <col min="7" max="7" width="18.42578125" bestFit="1" customWidth="1"/>
    <col min="8" max="8" width="26.28515625" bestFit="1" customWidth="1"/>
  </cols>
  <sheetData>
    <row r="1" spans="1:10" ht="15.75" thickBot="1" x14ac:dyDescent="0.3">
      <c r="A1" t="s">
        <v>37</v>
      </c>
      <c r="B1" t="s">
        <v>38</v>
      </c>
      <c r="C1" t="s">
        <v>40</v>
      </c>
      <c r="D1" t="s">
        <v>65</v>
      </c>
      <c r="E1" t="s">
        <v>43</v>
      </c>
      <c r="F1" t="s">
        <v>64</v>
      </c>
      <c r="G1" t="s">
        <v>62</v>
      </c>
      <c r="H1" t="s">
        <v>39</v>
      </c>
    </row>
    <row r="2" spans="1:10" ht="15.75" thickBot="1" x14ac:dyDescent="0.3">
      <c r="A2" s="11">
        <v>42304</v>
      </c>
      <c r="B2">
        <v>9.0243491953218014E-2</v>
      </c>
      <c r="C2" s="10">
        <v>35.815665436444306</v>
      </c>
      <c r="D2" s="14">
        <f>C2/0.34*0.66</f>
        <v>69.524527023686005</v>
      </c>
      <c r="E2" s="14">
        <f t="shared" ref="E2:E7" si="0">B2/C2*1000</f>
        <v>2.5196653713821706</v>
      </c>
      <c r="F2" s="14">
        <f>B2/D2*1000</f>
        <v>1.2980094337423305</v>
      </c>
      <c r="G2" s="14">
        <f>E2/LN(2)</f>
        <v>3.6351087359927061</v>
      </c>
    </row>
    <row r="3" spans="1:10" x14ac:dyDescent="0.25">
      <c r="A3" s="11">
        <v>42310</v>
      </c>
      <c r="B3">
        <v>8.9214109445657191E-2</v>
      </c>
      <c r="C3">
        <v>32.678400542591753</v>
      </c>
      <c r="D3" s="14">
        <f t="shared" ref="D3:D7" si="1">C3/0.34*0.66</f>
        <v>63.434542229736934</v>
      </c>
      <c r="E3" s="14">
        <f t="shared" si="0"/>
        <v>2.730063527111096</v>
      </c>
      <c r="F3" s="14">
        <f t="shared" ref="F3:F7" si="2">B3/D3*1000</f>
        <v>1.4063963624511704</v>
      </c>
      <c r="G3" s="14">
        <f t="shared" ref="G3:G7" si="3">E3/LN(2)</f>
        <v>3.9386491118750104</v>
      </c>
    </row>
    <row r="4" spans="1:10" s="13" customFormat="1" x14ac:dyDescent="0.25">
      <c r="A4" s="12">
        <v>42313</v>
      </c>
      <c r="B4" s="13">
        <v>4.538924970510174E-2</v>
      </c>
      <c r="C4" s="13">
        <v>36.195339142940391</v>
      </c>
      <c r="D4" s="14">
        <f t="shared" si="1"/>
        <v>70.261540689237222</v>
      </c>
      <c r="E4" s="14">
        <f t="shared" si="0"/>
        <v>1.2540081341924529</v>
      </c>
      <c r="F4" s="14">
        <f t="shared" si="2"/>
        <v>0.64600419034156675</v>
      </c>
      <c r="G4" s="14">
        <f t="shared" si="3"/>
        <v>1.8091513164338737</v>
      </c>
      <c r="H4" s="13" t="s">
        <v>41</v>
      </c>
    </row>
    <row r="5" spans="1:10" x14ac:dyDescent="0.25">
      <c r="A5" s="11">
        <v>42320</v>
      </c>
      <c r="B5">
        <v>4.6534363085345594E-2</v>
      </c>
      <c r="C5">
        <v>21.038398536538562</v>
      </c>
      <c r="D5" s="14">
        <f t="shared" si="1"/>
        <v>40.839244217986618</v>
      </c>
      <c r="E5" s="14">
        <f t="shared" si="0"/>
        <v>2.2118776295889044</v>
      </c>
      <c r="F5" s="14">
        <f t="shared" si="2"/>
        <v>1.1394521122124661</v>
      </c>
      <c r="G5" s="14">
        <f t="shared" si="3"/>
        <v>3.191064887261148</v>
      </c>
      <c r="H5" t="s">
        <v>42</v>
      </c>
    </row>
    <row r="6" spans="1:10" x14ac:dyDescent="0.25">
      <c r="A6" s="11">
        <v>42327</v>
      </c>
      <c r="B6">
        <v>7.0487379671178976E-2</v>
      </c>
      <c r="C6">
        <v>30.475688694632385</v>
      </c>
      <c r="D6" s="14">
        <f t="shared" si="1"/>
        <v>59.158689818992272</v>
      </c>
      <c r="E6" s="14">
        <f t="shared" si="0"/>
        <v>2.3129052267683048</v>
      </c>
      <c r="F6" s="14">
        <f t="shared" si="2"/>
        <v>1.191496631971551</v>
      </c>
      <c r="G6" s="14">
        <f t="shared" si="3"/>
        <v>3.3368169007047968</v>
      </c>
    </row>
    <row r="7" spans="1:10" x14ac:dyDescent="0.25">
      <c r="A7" s="11">
        <v>42339</v>
      </c>
      <c r="B7">
        <f>'12_01'!E9</f>
        <v>4.5769999558765734E-2</v>
      </c>
      <c r="C7">
        <f>'12_01'!B28</f>
        <v>20.832118463414211</v>
      </c>
      <c r="D7" s="14">
        <f t="shared" si="1"/>
        <v>40.438818193686409</v>
      </c>
      <c r="E7" s="14">
        <f t="shared" si="0"/>
        <v>2.1970880992803461</v>
      </c>
      <c r="F7" s="14">
        <f t="shared" si="2"/>
        <v>1.1318332632656329</v>
      </c>
      <c r="G7" s="14">
        <f t="shared" si="3"/>
        <v>3.169728105227914</v>
      </c>
    </row>
    <row r="8" spans="1:10" ht="15.75" thickBot="1" x14ac:dyDescent="0.3"/>
    <row r="9" spans="1:10" ht="15.75" thickBot="1" x14ac:dyDescent="0.3">
      <c r="B9">
        <v>9.0243491953218014E-2</v>
      </c>
      <c r="C9" s="10">
        <v>35.815665436444306</v>
      </c>
      <c r="D9" s="14"/>
      <c r="E9" s="14"/>
      <c r="F9" s="14"/>
      <c r="G9" s="14" t="s">
        <v>66</v>
      </c>
      <c r="H9">
        <v>118.72</v>
      </c>
    </row>
    <row r="10" spans="1:10" x14ac:dyDescent="0.25">
      <c r="B10">
        <v>8.9214109445657191E-2</v>
      </c>
      <c r="C10">
        <v>32.678400542591753</v>
      </c>
      <c r="G10" t="s">
        <v>67</v>
      </c>
      <c r="H10">
        <v>3.5103</v>
      </c>
    </row>
    <row r="11" spans="1:10" x14ac:dyDescent="0.25">
      <c r="B11">
        <v>4.6534363085345594E-2</v>
      </c>
      <c r="C11">
        <v>21.038398536538562</v>
      </c>
      <c r="G11" t="s">
        <v>68</v>
      </c>
      <c r="H11">
        <v>258.17</v>
      </c>
    </row>
    <row r="12" spans="1:10" x14ac:dyDescent="0.25">
      <c r="B12">
        <v>7.0487379671178976E-2</v>
      </c>
      <c r="C12">
        <v>30.475688694632385</v>
      </c>
      <c r="G12" t="s">
        <v>69</v>
      </c>
      <c r="H12">
        <v>6.82</v>
      </c>
    </row>
    <row r="13" spans="1:10" x14ac:dyDescent="0.25">
      <c r="B13">
        <v>4.5769999558765734E-2</v>
      </c>
      <c r="C13">
        <v>20.832118463414211</v>
      </c>
    </row>
    <row r="14" spans="1:10" x14ac:dyDescent="0.25">
      <c r="I14" t="s">
        <v>72</v>
      </c>
    </row>
    <row r="15" spans="1:10" x14ac:dyDescent="0.25">
      <c r="G15" t="s">
        <v>70</v>
      </c>
      <c r="H15">
        <v>2.86</v>
      </c>
      <c r="I15">
        <v>0.28999999999999998</v>
      </c>
      <c r="J15" t="s">
        <v>73</v>
      </c>
    </row>
    <row r="16" spans="1:10" x14ac:dyDescent="0.25">
      <c r="B16">
        <v>0.01</v>
      </c>
      <c r="C16">
        <f>308.49*B16+7.052</f>
        <v>10.136900000000001</v>
      </c>
      <c r="E16" s="14">
        <f>B16/C16*1000</f>
        <v>0.98649488502402116</v>
      </c>
      <c r="F16" s="14"/>
      <c r="G16" s="14" t="s">
        <v>71</v>
      </c>
      <c r="H16">
        <f>H15*LN(2)</f>
        <v>1.9824009364014434</v>
      </c>
      <c r="I16">
        <f>I15*LN(2)</f>
        <v>0.20101268236238412</v>
      </c>
    </row>
    <row r="17" spans="2:7" x14ac:dyDescent="0.25">
      <c r="B17">
        <v>0.02</v>
      </c>
      <c r="C17">
        <f t="shared" ref="C17:C76" si="4">308.49*B17+7.052</f>
        <v>13.2218</v>
      </c>
      <c r="E17" s="14">
        <f>B17/C17*1000</f>
        <v>1.512653345232873</v>
      </c>
      <c r="F17" s="14"/>
      <c r="G17" s="14"/>
    </row>
    <row r="18" spans="2:7" x14ac:dyDescent="0.25">
      <c r="B18">
        <v>0.03</v>
      </c>
      <c r="C18">
        <f t="shared" si="4"/>
        <v>16.306699999999999</v>
      </c>
      <c r="E18" s="14">
        <f t="shared" ref="E18:E28" si="5">B18/C18*1000</f>
        <v>1.8397345876234921</v>
      </c>
      <c r="F18" s="14"/>
      <c r="G18" s="14"/>
    </row>
    <row r="19" spans="2:7" x14ac:dyDescent="0.25">
      <c r="B19">
        <v>0.04</v>
      </c>
      <c r="C19">
        <f t="shared" si="4"/>
        <v>19.3916</v>
      </c>
      <c r="E19" s="14">
        <f t="shared" si="5"/>
        <v>2.062748819076301</v>
      </c>
      <c r="F19" s="14"/>
      <c r="G19" s="14"/>
    </row>
    <row r="20" spans="2:7" x14ac:dyDescent="0.25">
      <c r="B20">
        <v>0.05</v>
      </c>
      <c r="C20">
        <f t="shared" si="4"/>
        <v>22.476500000000001</v>
      </c>
      <c r="E20" s="14">
        <f t="shared" si="5"/>
        <v>2.2245456365537337</v>
      </c>
      <c r="F20" s="14"/>
      <c r="G20" s="14"/>
    </row>
    <row r="21" spans="2:7" x14ac:dyDescent="0.25">
      <c r="B21">
        <v>0.06</v>
      </c>
      <c r="C21">
        <f t="shared" si="4"/>
        <v>25.561399999999999</v>
      </c>
      <c r="E21" s="14">
        <f t="shared" si="5"/>
        <v>2.3472892721055967</v>
      </c>
      <c r="F21" s="14"/>
      <c r="G21" s="14"/>
    </row>
    <row r="22" spans="2:7" x14ac:dyDescent="0.25">
      <c r="B22">
        <v>7.0000000000000007E-2</v>
      </c>
      <c r="C22">
        <f t="shared" si="4"/>
        <v>28.646300000000004</v>
      </c>
      <c r="E22" s="14">
        <f t="shared" si="5"/>
        <v>2.4435965552270278</v>
      </c>
      <c r="F22" s="14"/>
      <c r="G22" s="14"/>
    </row>
    <row r="23" spans="2:7" x14ac:dyDescent="0.25">
      <c r="B23">
        <v>0.08</v>
      </c>
      <c r="C23">
        <f t="shared" si="4"/>
        <v>31.731200000000001</v>
      </c>
      <c r="E23" s="14">
        <f t="shared" si="5"/>
        <v>2.5211778943122227</v>
      </c>
      <c r="F23" s="14"/>
      <c r="G23" s="14"/>
    </row>
    <row r="24" spans="2:7" x14ac:dyDescent="0.25">
      <c r="B24">
        <v>8.3000000000000004E-2</v>
      </c>
      <c r="C24">
        <f t="shared" si="4"/>
        <v>32.656670000000005</v>
      </c>
      <c r="E24" s="25">
        <f t="shared" si="5"/>
        <v>2.5415941061963752</v>
      </c>
      <c r="F24" s="14"/>
      <c r="G24" s="14"/>
    </row>
    <row r="25" spans="2:7" x14ac:dyDescent="0.25">
      <c r="B25">
        <v>0.09</v>
      </c>
      <c r="C25">
        <f t="shared" si="4"/>
        <v>34.816099999999999</v>
      </c>
      <c r="E25" s="14">
        <f t="shared" si="5"/>
        <v>2.5850109575742257</v>
      </c>
      <c r="F25" s="14"/>
      <c r="G25" s="14"/>
    </row>
    <row r="26" spans="2:7" x14ac:dyDescent="0.25">
      <c r="B26">
        <v>0.1</v>
      </c>
      <c r="C26">
        <f t="shared" si="4"/>
        <v>37.901000000000003</v>
      </c>
      <c r="E26" s="14">
        <f t="shared" si="5"/>
        <v>2.6384528112714705</v>
      </c>
      <c r="F26" s="14"/>
      <c r="G26" s="14"/>
    </row>
    <row r="27" spans="2:7" x14ac:dyDescent="0.25">
      <c r="B27">
        <v>0.11</v>
      </c>
      <c r="C27">
        <f t="shared" si="4"/>
        <v>40.985900000000001</v>
      </c>
      <c r="E27" s="14">
        <f t="shared" si="5"/>
        <v>2.6838498117645333</v>
      </c>
      <c r="F27" s="14"/>
      <c r="G27" s="14"/>
    </row>
    <row r="28" spans="2:7" x14ac:dyDescent="0.25">
      <c r="B28">
        <v>0.12</v>
      </c>
      <c r="C28">
        <f t="shared" si="4"/>
        <v>44.070799999999998</v>
      </c>
      <c r="E28" s="14">
        <f t="shared" si="5"/>
        <v>2.722891347558928</v>
      </c>
      <c r="F28" s="14"/>
      <c r="G28" s="14"/>
    </row>
    <row r="29" spans="2:7" x14ac:dyDescent="0.25">
      <c r="B29">
        <v>0.13</v>
      </c>
      <c r="C29">
        <f t="shared" si="4"/>
        <v>47.155700000000003</v>
      </c>
      <c r="E29" s="14">
        <f>B29/C29*1000</f>
        <v>2.7568247316867311</v>
      </c>
      <c r="F29" s="14"/>
      <c r="G29" s="14"/>
    </row>
    <row r="30" spans="2:7" x14ac:dyDescent="0.25">
      <c r="B30">
        <v>0.14000000000000001</v>
      </c>
      <c r="C30">
        <f t="shared" si="4"/>
        <v>50.240600000000008</v>
      </c>
      <c r="E30" s="14">
        <f>B30/C30*1000</f>
        <v>2.7865909244714433</v>
      </c>
      <c r="F30" s="14"/>
      <c r="G30" s="14"/>
    </row>
    <row r="31" spans="2:7" x14ac:dyDescent="0.25">
      <c r="B31">
        <v>0.15</v>
      </c>
      <c r="C31">
        <f t="shared" si="4"/>
        <v>53.325499999999998</v>
      </c>
      <c r="E31" s="14">
        <f t="shared" ref="E31:E50" si="6">B31/C31*1000</f>
        <v>2.8129131466184094</v>
      </c>
      <c r="F31" s="14"/>
      <c r="G31" s="14"/>
    </row>
    <row r="32" spans="2:7" x14ac:dyDescent="0.25">
      <c r="B32">
        <v>0.16</v>
      </c>
      <c r="C32">
        <f t="shared" si="4"/>
        <v>56.410400000000003</v>
      </c>
      <c r="E32" s="14">
        <f t="shared" si="6"/>
        <v>2.8363564165473032</v>
      </c>
      <c r="F32" s="14"/>
      <c r="G32" s="14"/>
    </row>
    <row r="33" spans="2:8" x14ac:dyDescent="0.25">
      <c r="B33">
        <v>0.17</v>
      </c>
      <c r="C33">
        <f t="shared" si="4"/>
        <v>59.495300000000007</v>
      </c>
      <c r="E33" s="14">
        <f t="shared" si="6"/>
        <v>2.8573685652480112</v>
      </c>
      <c r="F33" s="14"/>
      <c r="G33" s="14"/>
    </row>
    <row r="34" spans="2:8" x14ac:dyDescent="0.25">
      <c r="B34">
        <v>0.18</v>
      </c>
      <c r="C34">
        <f t="shared" si="4"/>
        <v>62.580199999999998</v>
      </c>
      <c r="E34" s="14">
        <f t="shared" si="6"/>
        <v>2.8763091201370403</v>
      </c>
      <c r="F34" s="14"/>
      <c r="G34" s="14"/>
    </row>
    <row r="35" spans="2:8" x14ac:dyDescent="0.25">
      <c r="B35">
        <v>0.19</v>
      </c>
      <c r="C35">
        <f t="shared" si="4"/>
        <v>65.665099999999995</v>
      </c>
      <c r="E35" s="14">
        <f t="shared" si="6"/>
        <v>2.8934700472549348</v>
      </c>
      <c r="F35" s="14"/>
      <c r="G35" s="14"/>
    </row>
    <row r="36" spans="2:8" x14ac:dyDescent="0.25">
      <c r="B36">
        <v>0.2</v>
      </c>
      <c r="C36">
        <f t="shared" si="4"/>
        <v>68.75</v>
      </c>
      <c r="E36" s="14">
        <f t="shared" si="6"/>
        <v>2.9090909090909092</v>
      </c>
      <c r="F36" s="14"/>
      <c r="G36" s="14"/>
    </row>
    <row r="37" spans="2:8" x14ac:dyDescent="0.25">
      <c r="B37">
        <v>0.21</v>
      </c>
      <c r="C37">
        <f t="shared" si="4"/>
        <v>71.834900000000005</v>
      </c>
      <c r="E37" s="14">
        <f t="shared" si="6"/>
        <v>2.923370116753834</v>
      </c>
      <c r="F37" s="14"/>
      <c r="G37" s="14"/>
    </row>
    <row r="38" spans="2:8" x14ac:dyDescent="0.25">
      <c r="B38">
        <v>0.22</v>
      </c>
      <c r="C38">
        <f t="shared" si="4"/>
        <v>74.919800000000009</v>
      </c>
      <c r="E38" s="14">
        <f t="shared" si="6"/>
        <v>2.9364734022247787</v>
      </c>
      <c r="F38" s="14"/>
      <c r="G38" s="14"/>
    </row>
    <row r="39" spans="2:8" x14ac:dyDescent="0.25">
      <c r="B39">
        <v>0.23</v>
      </c>
      <c r="C39">
        <f t="shared" si="4"/>
        <v>78.004700000000014</v>
      </c>
      <c r="E39" s="14">
        <f t="shared" si="6"/>
        <v>2.948540280265163</v>
      </c>
      <c r="F39" s="14"/>
      <c r="G39" s="14"/>
    </row>
    <row r="40" spans="2:8" x14ac:dyDescent="0.25">
      <c r="B40">
        <v>0.24</v>
      </c>
      <c r="C40">
        <f t="shared" si="4"/>
        <v>81.08959999999999</v>
      </c>
      <c r="E40" s="14">
        <f t="shared" si="6"/>
        <v>2.9596890353386875</v>
      </c>
      <c r="F40" s="14"/>
      <c r="G40" s="14"/>
    </row>
    <row r="41" spans="2:8" x14ac:dyDescent="0.25">
      <c r="B41">
        <v>0.25</v>
      </c>
      <c r="C41">
        <f t="shared" si="4"/>
        <v>84.174499999999995</v>
      </c>
      <c r="E41" s="14">
        <f t="shared" si="6"/>
        <v>2.9700206119430468</v>
      </c>
      <c r="F41" s="14"/>
      <c r="G41" s="14"/>
    </row>
    <row r="42" spans="2:8" x14ac:dyDescent="0.25">
      <c r="B42">
        <v>0.26</v>
      </c>
      <c r="C42">
        <f t="shared" si="4"/>
        <v>87.259399999999999</v>
      </c>
      <c r="E42" s="14">
        <f t="shared" si="6"/>
        <v>2.9796216797273418</v>
      </c>
      <c r="F42" s="14"/>
      <c r="G42" s="14"/>
    </row>
    <row r="43" spans="2:8" x14ac:dyDescent="0.25">
      <c r="B43">
        <v>0.27</v>
      </c>
      <c r="C43">
        <f t="shared" si="4"/>
        <v>90.344300000000004</v>
      </c>
      <c r="E43" s="14">
        <f t="shared" si="6"/>
        <v>2.9885670706397636</v>
      </c>
      <c r="F43" s="14"/>
      <c r="G43" s="14"/>
    </row>
    <row r="44" spans="2:8" x14ac:dyDescent="0.25">
      <c r="B44">
        <v>0.28000000000000003</v>
      </c>
      <c r="C44">
        <f t="shared" si="4"/>
        <v>93.429200000000009</v>
      </c>
      <c r="E44" s="14">
        <f t="shared" si="6"/>
        <v>2.9969217332482776</v>
      </c>
      <c r="F44" s="14"/>
      <c r="G44" s="14"/>
    </row>
    <row r="45" spans="2:8" x14ac:dyDescent="0.25">
      <c r="B45">
        <v>0.28999999999999998</v>
      </c>
      <c r="C45">
        <f t="shared" si="4"/>
        <v>96.514099999999985</v>
      </c>
      <c r="E45" s="14">
        <f t="shared" si="6"/>
        <v>3.0047423122631827</v>
      </c>
      <c r="F45" s="14"/>
      <c r="G45" s="14"/>
    </row>
    <row r="46" spans="2:8" x14ac:dyDescent="0.25">
      <c r="B46">
        <v>0.3</v>
      </c>
      <c r="C46">
        <f t="shared" si="4"/>
        <v>99.59899999999999</v>
      </c>
      <c r="E46" s="14">
        <f t="shared" si="6"/>
        <v>3.0120784345224352</v>
      </c>
      <c r="F46" s="14"/>
      <c r="G46" s="14"/>
      <c r="H46">
        <f>(10-7.702)/300.87</f>
        <v>7.6378502343204709E-3</v>
      </c>
    </row>
    <row r="47" spans="2:8" x14ac:dyDescent="0.25">
      <c r="B47">
        <v>0.31</v>
      </c>
      <c r="C47">
        <f t="shared" si="4"/>
        <v>102.68389999999999</v>
      </c>
      <c r="E47" s="14">
        <f t="shared" si="6"/>
        <v>3.0189737631702735</v>
      </c>
      <c r="F47" s="14"/>
      <c r="G47" s="14"/>
    </row>
    <row r="48" spans="2:8" x14ac:dyDescent="0.25">
      <c r="B48">
        <v>0.32</v>
      </c>
      <c r="C48">
        <f t="shared" si="4"/>
        <v>105.7688</v>
      </c>
      <c r="E48" s="14">
        <f t="shared" si="6"/>
        <v>3.025466867355969</v>
      </c>
      <c r="F48" s="14"/>
      <c r="G48" s="14"/>
    </row>
    <row r="49" spans="2:7" x14ac:dyDescent="0.25">
      <c r="B49">
        <v>0.33</v>
      </c>
      <c r="C49">
        <f t="shared" si="4"/>
        <v>108.8537</v>
      </c>
      <c r="E49" s="14">
        <f t="shared" si="6"/>
        <v>3.0315919440496741</v>
      </c>
      <c r="F49" s="14"/>
      <c r="G49" s="14"/>
    </row>
    <row r="50" spans="2:7" x14ac:dyDescent="0.25">
      <c r="B50">
        <v>0.34</v>
      </c>
      <c r="C50">
        <f t="shared" si="4"/>
        <v>111.93860000000001</v>
      </c>
      <c r="E50" s="14">
        <f t="shared" si="6"/>
        <v>3.0373794205037403</v>
      </c>
      <c r="F50" s="14"/>
      <c r="G50" s="14"/>
    </row>
    <row r="51" spans="2:7" x14ac:dyDescent="0.25">
      <c r="B51">
        <v>0.35</v>
      </c>
      <c r="C51">
        <f t="shared" si="4"/>
        <v>115.02349999999998</v>
      </c>
      <c r="E51" s="14">
        <f t="shared" ref="E51:E60" si="7">B51/C51*1000</f>
        <v>3.0428564597669174</v>
      </c>
      <c r="F51" s="14"/>
      <c r="G51" s="14"/>
    </row>
    <row r="52" spans="2:7" x14ac:dyDescent="0.25">
      <c r="B52">
        <v>0.36</v>
      </c>
      <c r="C52">
        <f t="shared" si="4"/>
        <v>118.10839999999999</v>
      </c>
      <c r="E52" s="14">
        <f t="shared" si="7"/>
        <v>3.0480473869767097</v>
      </c>
      <c r="F52" s="14"/>
      <c r="G52" s="14"/>
    </row>
    <row r="53" spans="2:7" x14ac:dyDescent="0.25">
      <c r="B53">
        <v>0.37</v>
      </c>
      <c r="C53">
        <f t="shared" si="4"/>
        <v>121.19329999999999</v>
      </c>
      <c r="E53" s="14">
        <f t="shared" si="7"/>
        <v>3.0529740505456986</v>
      </c>
      <c r="F53" s="14"/>
      <c r="G53" s="14"/>
    </row>
    <row r="54" spans="2:7" x14ac:dyDescent="0.25">
      <c r="B54">
        <v>0.38</v>
      </c>
      <c r="C54">
        <f t="shared" si="4"/>
        <v>124.2782</v>
      </c>
      <c r="E54" s="14">
        <f t="shared" si="7"/>
        <v>3.0576561295544997</v>
      </c>
      <c r="F54" s="14"/>
      <c r="G54" s="14"/>
    </row>
    <row r="55" spans="2:7" x14ac:dyDescent="0.25">
      <c r="B55">
        <v>0.39</v>
      </c>
      <c r="C55">
        <f t="shared" si="4"/>
        <v>127.3631</v>
      </c>
      <c r="E55" s="14">
        <f t="shared" si="7"/>
        <v>3.0621113964719764</v>
      </c>
      <c r="F55" s="14"/>
      <c r="G55" s="14"/>
    </row>
    <row r="56" spans="2:7" x14ac:dyDescent="0.25">
      <c r="B56">
        <v>0.4</v>
      </c>
      <c r="C56">
        <f t="shared" si="4"/>
        <v>130.44800000000001</v>
      </c>
      <c r="E56" s="14">
        <f t="shared" si="7"/>
        <v>3.0663559425978169</v>
      </c>
      <c r="F56" s="14"/>
      <c r="G56" s="14"/>
    </row>
    <row r="57" spans="2:7" x14ac:dyDescent="0.25">
      <c r="B57">
        <v>0.41</v>
      </c>
      <c r="C57">
        <f t="shared" si="4"/>
        <v>133.53289999999998</v>
      </c>
      <c r="E57" s="14">
        <f t="shared" si="7"/>
        <v>3.0704043722558261</v>
      </c>
      <c r="F57" s="14"/>
      <c r="G57" s="14"/>
    </row>
    <row r="58" spans="2:7" x14ac:dyDescent="0.25">
      <c r="B58">
        <v>0.42</v>
      </c>
      <c r="C58">
        <f t="shared" si="4"/>
        <v>136.61779999999999</v>
      </c>
      <c r="E58" s="14">
        <f t="shared" si="7"/>
        <v>3.0742699706773204</v>
      </c>
      <c r="F58" s="14"/>
      <c r="G58" s="14"/>
    </row>
    <row r="59" spans="2:7" x14ac:dyDescent="0.25">
      <c r="B59">
        <v>0.43</v>
      </c>
      <c r="C59">
        <f t="shared" si="4"/>
        <v>139.70269999999999</v>
      </c>
      <c r="E59" s="14">
        <f t="shared" si="7"/>
        <v>3.0779648496414169</v>
      </c>
      <c r="F59" s="14"/>
      <c r="G59" s="14"/>
    </row>
    <row r="60" spans="2:7" x14ac:dyDescent="0.25">
      <c r="B60">
        <v>0.44</v>
      </c>
      <c r="C60">
        <f t="shared" si="4"/>
        <v>142.7876</v>
      </c>
      <c r="E60" s="14">
        <f t="shared" si="7"/>
        <v>3.0815000742361383</v>
      </c>
      <c r="F60" s="14"/>
      <c r="G60" s="14"/>
    </row>
    <row r="61" spans="2:7" x14ac:dyDescent="0.25">
      <c r="B61">
        <v>0.45</v>
      </c>
      <c r="C61">
        <f t="shared" si="4"/>
        <v>145.8725</v>
      </c>
      <c r="E61" s="14">
        <f>B61/C61*1000</f>
        <v>3.0848857735351078</v>
      </c>
      <c r="F61" s="14"/>
      <c r="G61" s="14"/>
    </row>
    <row r="62" spans="2:7" x14ac:dyDescent="0.25">
      <c r="B62">
        <v>0.46</v>
      </c>
      <c r="C62">
        <f t="shared" si="4"/>
        <v>148.95740000000001</v>
      </c>
      <c r="E62" s="14">
        <f>B62/C62*1000</f>
        <v>3.0881312375215999</v>
      </c>
      <c r="F62" s="14"/>
      <c r="G62" s="14"/>
    </row>
    <row r="63" spans="2:7" x14ac:dyDescent="0.25">
      <c r="B63">
        <v>0.47</v>
      </c>
      <c r="C63">
        <f t="shared" si="4"/>
        <v>152.04229999999998</v>
      </c>
      <c r="E63" s="14">
        <f t="shared" ref="E63:E72" si="8">B63/C63*1000</f>
        <v>3.0912450022132001</v>
      </c>
      <c r="F63" s="14"/>
      <c r="G63" s="14"/>
    </row>
    <row r="64" spans="2:7" x14ac:dyDescent="0.25">
      <c r="B64">
        <v>0.48</v>
      </c>
      <c r="C64">
        <f t="shared" si="4"/>
        <v>155.12719999999999</v>
      </c>
      <c r="E64" s="14">
        <f t="shared" si="8"/>
        <v>3.0942349246295948</v>
      </c>
      <c r="F64" s="14"/>
      <c r="G64" s="14"/>
    </row>
    <row r="65" spans="2:7" x14ac:dyDescent="0.25">
      <c r="B65">
        <v>0.49</v>
      </c>
      <c r="C65">
        <f t="shared" si="4"/>
        <v>158.21209999999999</v>
      </c>
      <c r="E65" s="14">
        <f t="shared" si="8"/>
        <v>3.0971082489898056</v>
      </c>
      <c r="F65" s="14"/>
      <c r="G65" s="14"/>
    </row>
    <row r="66" spans="2:7" x14ac:dyDescent="0.25">
      <c r="B66">
        <v>0.5</v>
      </c>
      <c r="C66">
        <f t="shared" si="4"/>
        <v>161.297</v>
      </c>
      <c r="E66" s="14">
        <f t="shared" si="8"/>
        <v>3.099871665313056</v>
      </c>
      <c r="F66" s="14"/>
      <c r="G66" s="14"/>
    </row>
    <row r="67" spans="2:7" x14ac:dyDescent="0.25">
      <c r="B67">
        <v>0.51</v>
      </c>
      <c r="C67">
        <f t="shared" si="4"/>
        <v>164.3819</v>
      </c>
      <c r="E67" s="14">
        <f t="shared" si="8"/>
        <v>3.1025313614211787</v>
      </c>
      <c r="F67" s="14"/>
      <c r="G67" s="14"/>
    </row>
    <row r="68" spans="2:7" x14ac:dyDescent="0.25">
      <c r="B68">
        <v>0.52</v>
      </c>
      <c r="C68">
        <f t="shared" si="4"/>
        <v>167.46680000000001</v>
      </c>
      <c r="E68" s="14">
        <f t="shared" si="8"/>
        <v>3.1050930691934164</v>
      </c>
      <c r="F68" s="14"/>
      <c r="G68" s="14"/>
    </row>
    <row r="69" spans="2:7" x14ac:dyDescent="0.25">
      <c r="B69">
        <v>0.53</v>
      </c>
      <c r="C69">
        <f t="shared" si="4"/>
        <v>170.55170000000001</v>
      </c>
      <c r="E69" s="14">
        <f t="shared" si="8"/>
        <v>3.1075621058013492</v>
      </c>
      <c r="F69" s="14"/>
      <c r="G69" s="14"/>
    </row>
    <row r="70" spans="2:7" x14ac:dyDescent="0.25">
      <c r="B70">
        <v>0.54</v>
      </c>
      <c r="C70">
        <f t="shared" si="4"/>
        <v>173.63660000000002</v>
      </c>
      <c r="E70" s="14">
        <f t="shared" si="8"/>
        <v>3.1099434105482371</v>
      </c>
      <c r="F70" s="14"/>
      <c r="G70" s="14"/>
    </row>
    <row r="71" spans="2:7" x14ac:dyDescent="0.25">
      <c r="B71">
        <v>0.55000000000000004</v>
      </c>
      <c r="C71">
        <f t="shared" si="4"/>
        <v>176.72150000000002</v>
      </c>
      <c r="E71" s="14">
        <f t="shared" si="8"/>
        <v>3.1122415778498937</v>
      </c>
      <c r="F71" s="14"/>
      <c r="G71" s="14"/>
    </row>
    <row r="72" spans="2:7" x14ac:dyDescent="0.25">
      <c r="B72">
        <v>0.56000000000000005</v>
      </c>
      <c r="C72">
        <f t="shared" si="4"/>
        <v>179.80640000000002</v>
      </c>
      <c r="E72" s="14">
        <f t="shared" si="8"/>
        <v>3.114460886820491</v>
      </c>
      <c r="F72" s="14"/>
      <c r="G72" s="14"/>
    </row>
    <row r="73" spans="2:7" x14ac:dyDescent="0.25">
      <c r="B73">
        <v>0.56999999999999995</v>
      </c>
      <c r="C73">
        <f t="shared" si="4"/>
        <v>182.89129999999997</v>
      </c>
      <c r="E73" s="14">
        <f>B73/C73*1000</f>
        <v>3.1166053278641472</v>
      </c>
      <c r="F73" s="14"/>
      <c r="G73" s="14"/>
    </row>
    <row r="74" spans="2:7" x14ac:dyDescent="0.25">
      <c r="B74">
        <v>0.57999999999999996</v>
      </c>
      <c r="C74">
        <f t="shared" si="4"/>
        <v>185.97619999999998</v>
      </c>
      <c r="E74" s="14">
        <f>B74/C74*1000</f>
        <v>3.1186786266199658</v>
      </c>
      <c r="F74" s="14"/>
      <c r="G74" s="14"/>
    </row>
    <row r="75" spans="2:7" x14ac:dyDescent="0.25">
      <c r="B75">
        <v>0.59</v>
      </c>
      <c r="C75">
        <f t="shared" si="4"/>
        <v>189.06109999999998</v>
      </c>
      <c r="E75" s="14">
        <f t="shared" ref="E75:E76" si="9">B75/C75*1000</f>
        <v>3.1206842655628257</v>
      </c>
      <c r="F75" s="14"/>
      <c r="G75" s="14"/>
    </row>
    <row r="76" spans="2:7" x14ac:dyDescent="0.25">
      <c r="B76">
        <v>0.6</v>
      </c>
      <c r="C76">
        <f t="shared" si="4"/>
        <v>192.14599999999999</v>
      </c>
      <c r="E76" s="14">
        <f t="shared" si="9"/>
        <v>3.1226255035233628</v>
      </c>
      <c r="F76" s="14"/>
      <c r="G76" s="1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40" sqref="H40"/>
    </sheetView>
  </sheetViews>
  <sheetFormatPr defaultRowHeight="15" x14ac:dyDescent="0.25"/>
  <cols>
    <col min="2" max="2" width="17.85546875" bestFit="1" customWidth="1"/>
    <col min="3" max="3" width="20.28515625" bestFit="1" customWidth="1"/>
    <col min="4" max="4" width="16.7109375" bestFit="1" customWidth="1"/>
    <col min="5" max="5" width="12.5703125" customWidth="1"/>
  </cols>
  <sheetData>
    <row r="1" spans="1:5" x14ac:dyDescent="0.25">
      <c r="A1" s="44" t="s">
        <v>61</v>
      </c>
      <c r="B1" s="45"/>
      <c r="C1" s="45"/>
      <c r="D1" s="46"/>
      <c r="E1" s="16"/>
    </row>
    <row r="2" spans="1:5" x14ac:dyDescent="0.25">
      <c r="A2" s="17" t="s">
        <v>37</v>
      </c>
      <c r="B2" s="17" t="s">
        <v>53</v>
      </c>
      <c r="C2" s="17" t="s">
        <v>54</v>
      </c>
      <c r="D2" s="17" t="s">
        <v>55</v>
      </c>
      <c r="E2" s="16"/>
    </row>
    <row r="3" spans="1:5" x14ac:dyDescent="0.25">
      <c r="A3" s="18">
        <v>42304</v>
      </c>
      <c r="B3" s="19">
        <v>9.0243491953218014E-2</v>
      </c>
      <c r="C3" s="20">
        <v>35.815665436444306</v>
      </c>
      <c r="D3" s="21">
        <f>B3/C3*1000</f>
        <v>2.5196653713821706</v>
      </c>
      <c r="E3" s="16"/>
    </row>
    <row r="4" spans="1:5" x14ac:dyDescent="0.25">
      <c r="A4" s="18">
        <v>42310</v>
      </c>
      <c r="B4" s="19">
        <v>8.9214109445657191E-2</v>
      </c>
      <c r="C4" s="20">
        <v>32.678400542591753</v>
      </c>
      <c r="D4" s="21">
        <f>B4/C4*1000</f>
        <v>2.730063527111096</v>
      </c>
      <c r="E4" s="16"/>
    </row>
    <row r="5" spans="1:5" x14ac:dyDescent="0.25">
      <c r="A5" s="22">
        <v>42313</v>
      </c>
      <c r="B5" s="23">
        <v>4.538924970510174E-2</v>
      </c>
      <c r="C5" s="24">
        <v>36.195339142940391</v>
      </c>
      <c r="D5" s="21">
        <f>B5/C5*1000</f>
        <v>1.2540081341924529</v>
      </c>
      <c r="E5" s="16"/>
    </row>
    <row r="6" spans="1:5" x14ac:dyDescent="0.25">
      <c r="A6" s="18">
        <v>42320</v>
      </c>
      <c r="B6" s="19">
        <v>4.6534363085345594E-2</v>
      </c>
      <c r="C6" s="20">
        <v>21.038398536538562</v>
      </c>
      <c r="D6" s="21">
        <f>B6/C6*1000</f>
        <v>2.2118776295889044</v>
      </c>
      <c r="E6" s="16"/>
    </row>
    <row r="7" spans="1:5" x14ac:dyDescent="0.25">
      <c r="A7" s="18">
        <v>42327</v>
      </c>
      <c r="B7" s="19">
        <v>7.0487379671178976E-2</v>
      </c>
      <c r="C7" s="20">
        <v>30.475688694632385</v>
      </c>
      <c r="D7" s="21">
        <f>B7/C7*1000</f>
        <v>2.3129052267683048</v>
      </c>
      <c r="E7" s="16"/>
    </row>
    <row r="8" spans="1:5" x14ac:dyDescent="0.25">
      <c r="A8" s="16"/>
      <c r="B8" s="16"/>
      <c r="C8" s="16"/>
      <c r="D8" s="16"/>
      <c r="E8" s="16"/>
    </row>
    <row r="9" spans="1:5" x14ac:dyDescent="0.25">
      <c r="A9" s="44" t="s">
        <v>56</v>
      </c>
      <c r="B9" s="45"/>
      <c r="C9" s="45"/>
      <c r="D9" s="45"/>
      <c r="E9" s="46"/>
    </row>
    <row r="10" spans="1:5" x14ac:dyDescent="0.25">
      <c r="A10" s="17" t="s">
        <v>37</v>
      </c>
      <c r="B10" s="17" t="s">
        <v>57</v>
      </c>
      <c r="C10" s="17" t="s">
        <v>58</v>
      </c>
      <c r="D10" s="17" t="s">
        <v>59</v>
      </c>
      <c r="E10" s="17" t="s">
        <v>60</v>
      </c>
    </row>
    <row r="11" spans="1:5" x14ac:dyDescent="0.25">
      <c r="A11" s="18">
        <v>42304</v>
      </c>
      <c r="B11" s="21">
        <v>2.5196653713821706</v>
      </c>
      <c r="C11" s="21">
        <f>B11/LN(2)</f>
        <v>3.6351087359927061</v>
      </c>
      <c r="D11" s="21">
        <f>B11/0.66*0.34</f>
        <v>1.2980094337423302</v>
      </c>
      <c r="E11" s="21">
        <f>D11/LN(2)</f>
        <v>1.8726317730871513</v>
      </c>
    </row>
    <row r="12" spans="1:5" x14ac:dyDescent="0.25">
      <c r="A12" s="18">
        <v>42310</v>
      </c>
      <c r="B12" s="21">
        <v>2.730063527111096</v>
      </c>
      <c r="C12" s="21">
        <f t="shared" ref="C12:C14" si="0">B12/LN(2)</f>
        <v>3.9386491118750104</v>
      </c>
      <c r="D12" s="21">
        <f t="shared" ref="D12:D14" si="1">B12/0.66*0.34</f>
        <v>1.4063963624511708</v>
      </c>
      <c r="E12" s="21">
        <f t="shared" ref="E12:E14" si="2">D12/LN(2)</f>
        <v>2.0290010576325814</v>
      </c>
    </row>
    <row r="13" spans="1:5" x14ac:dyDescent="0.25">
      <c r="A13" s="18">
        <v>42320</v>
      </c>
      <c r="B13" s="21">
        <v>2.2118776295889044</v>
      </c>
      <c r="C13" s="21">
        <f t="shared" si="0"/>
        <v>3.191064887261148</v>
      </c>
      <c r="D13" s="21">
        <f t="shared" si="1"/>
        <v>1.1394521122124659</v>
      </c>
      <c r="E13" s="21">
        <f t="shared" si="2"/>
        <v>1.6438819116193792</v>
      </c>
    </row>
    <row r="14" spans="1:5" x14ac:dyDescent="0.25">
      <c r="A14" s="18">
        <v>42327</v>
      </c>
      <c r="B14" s="21">
        <v>2.3129052267683048</v>
      </c>
      <c r="C14" s="21">
        <f t="shared" si="0"/>
        <v>3.3368169007047968</v>
      </c>
      <c r="D14" s="21">
        <f t="shared" si="1"/>
        <v>1.191496631971551</v>
      </c>
      <c r="E14" s="21">
        <f t="shared" si="2"/>
        <v>1.718966282181259</v>
      </c>
    </row>
  </sheetData>
  <mergeCells count="2">
    <mergeCell ref="A9:E9"/>
    <mergeCell ref="A1:D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:B28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0.67200000000000004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x14ac:dyDescent="0.25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ht="15.75" thickBot="1" x14ac:dyDescent="0.3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  <c r="F6" t="s">
        <v>49</v>
      </c>
    </row>
    <row r="7" spans="1:6" x14ac:dyDescent="0.25">
      <c r="D7" s="2" t="s">
        <v>5</v>
      </c>
      <c r="E7" s="3">
        <f>AVERAGE(E4:E6)</f>
        <v>4.538924970510174E-2</v>
      </c>
      <c r="F7">
        <f>60*LN(2)/E7</f>
        <v>916.2705068667866</v>
      </c>
    </row>
    <row r="8" spans="1:6" ht="15.75" thickBot="1" x14ac:dyDescent="0.3">
      <c r="D8" s="4" t="s">
        <v>17</v>
      </c>
      <c r="E8" s="5">
        <f>STDEV(E4:E6)</f>
        <v>2.8870105582736597E-3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12.48</v>
      </c>
      <c r="B12">
        <f>50/A12*60</f>
        <v>240.38461538461539</v>
      </c>
      <c r="F12">
        <v>13870</v>
      </c>
    </row>
    <row r="13" spans="1:6" x14ac:dyDescent="0.25">
      <c r="A13">
        <v>12.45</v>
      </c>
      <c r="B13">
        <f t="shared" ref="B13:B16" si="3">50/A13*60</f>
        <v>240.96385542168676</v>
      </c>
      <c r="F13">
        <v>14880</v>
      </c>
    </row>
    <row r="14" spans="1:6" x14ac:dyDescent="0.25">
      <c r="A14">
        <v>12.59</v>
      </c>
      <c r="B14">
        <f t="shared" si="3"/>
        <v>238.28435266084193</v>
      </c>
      <c r="F14">
        <v>14742</v>
      </c>
    </row>
    <row r="15" spans="1:6" x14ac:dyDescent="0.25">
      <c r="A15">
        <v>12.57</v>
      </c>
      <c r="B15">
        <f t="shared" si="3"/>
        <v>238.6634844868735</v>
      </c>
    </row>
    <row r="16" spans="1:6" ht="15.75" thickBot="1" x14ac:dyDescent="0.3">
      <c r="A16">
        <v>12.36</v>
      </c>
      <c r="B16">
        <f t="shared" si="3"/>
        <v>242.71844660194179</v>
      </c>
    </row>
    <row r="17" spans="1:7" ht="15.75" thickBot="1" x14ac:dyDescent="0.3">
      <c r="A17" s="2" t="s">
        <v>13</v>
      </c>
      <c r="B17" s="3">
        <f>AVERAGE(B12:B16)</f>
        <v>240.20295091119186</v>
      </c>
    </row>
    <row r="18" spans="1:7" ht="15.75" thickBot="1" x14ac:dyDescent="0.3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7" ht="15.75" thickBot="1" x14ac:dyDescent="0.3">
      <c r="E19" s="4" t="s">
        <v>15</v>
      </c>
      <c r="F19" s="5">
        <f>STDEV(F12:F16)</f>
        <v>547.65074028374454</v>
      </c>
    </row>
    <row r="21" spans="1:7" x14ac:dyDescent="0.25">
      <c r="E21" t="s">
        <v>29</v>
      </c>
      <c r="F21" s="15">
        <f>F18*'Methane Standard Curve'!B13+'Methane Standard Curve'!C13</f>
        <v>2.4950789275587283E-2</v>
      </c>
    </row>
    <row r="23" spans="1:7" x14ac:dyDescent="0.25">
      <c r="A23" t="s">
        <v>30</v>
      </c>
      <c r="B23">
        <f>B17*F21</f>
        <v>5.9932532115593844</v>
      </c>
    </row>
    <row r="24" spans="1:7" x14ac:dyDescent="0.25">
      <c r="A24" t="s">
        <v>31</v>
      </c>
      <c r="B24">
        <f>B23/22.4</f>
        <v>0.26755594694461537</v>
      </c>
    </row>
    <row r="25" spans="1:7" ht="15.75" thickBot="1" x14ac:dyDescent="0.3">
      <c r="A25" t="s">
        <v>32</v>
      </c>
      <c r="B25">
        <f>B24*60</f>
        <v>16.053356816676924</v>
      </c>
    </row>
    <row r="26" spans="1:7" ht="15.75" thickBot="1" x14ac:dyDescent="0.3">
      <c r="A26" t="s">
        <v>36</v>
      </c>
      <c r="B26" s="10">
        <f>B25/(B1*0.66)</f>
        <v>36.195339142940391</v>
      </c>
    </row>
    <row r="28" spans="1:7" x14ac:dyDescent="0.25">
      <c r="A28" t="s">
        <v>63</v>
      </c>
      <c r="B28">
        <f>B26*0.66/0.34</f>
        <v>70.261540689237222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52</v>
      </c>
    </row>
    <row r="31" spans="1:7" x14ac:dyDescent="0.25">
      <c r="B31">
        <f>B1/B23</f>
        <v>0.11212608182545859</v>
      </c>
      <c r="C31">
        <f>B31*0.34</f>
        <v>3.8122867820655923E-2</v>
      </c>
      <c r="D31">
        <f>C31/F7</f>
        <v>4.1606564366038767E-5</v>
      </c>
      <c r="E31">
        <f>D31*22400</f>
        <v>0.93198704179926839</v>
      </c>
      <c r="F31">
        <f>E31/0.34*0.66</f>
        <v>1.8091513164338739</v>
      </c>
      <c r="G31">
        <f>2.31*0.66/0.34</f>
        <v>4.4841176470588238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E22" sqref="E22:F32"/>
    </sheetView>
  </sheetViews>
  <sheetFormatPr defaultRowHeight="15" x14ac:dyDescent="0.25"/>
  <cols>
    <col min="1" max="1" width="28.42578125" customWidth="1"/>
    <col min="2" max="2" width="12.7109375" bestFit="1" customWidth="1"/>
    <col min="3" max="4" width="12" bestFit="1" customWidth="1"/>
    <col min="5" max="5" width="24" bestFit="1" customWidth="1"/>
    <col min="6" max="6" width="16" bestFit="1" customWidth="1"/>
  </cols>
  <sheetData>
    <row r="1" spans="1:7" x14ac:dyDescent="0.25">
      <c r="A1" t="s">
        <v>18</v>
      </c>
      <c r="B1">
        <v>0.626</v>
      </c>
    </row>
    <row r="2" spans="1:7" x14ac:dyDescent="0.25">
      <c r="A2" t="s">
        <v>7</v>
      </c>
    </row>
    <row r="3" spans="1:7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x14ac:dyDescent="0.25">
      <c r="A4" s="1"/>
      <c r="B4" s="1"/>
      <c r="C4" s="1"/>
      <c r="D4" s="1"/>
      <c r="E4" s="1"/>
      <c r="F4" t="s">
        <v>16</v>
      </c>
      <c r="G4" t="s">
        <v>6</v>
      </c>
    </row>
    <row r="5" spans="1:7" x14ac:dyDescent="0.25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ht="15.75" thickBot="1" x14ac:dyDescent="0.3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x14ac:dyDescent="0.25">
      <c r="D7" s="2" t="s">
        <v>5</v>
      </c>
      <c r="E7" s="3">
        <f>AVERAGE(E5:E6)</f>
        <v>8.1391176422049266E-2</v>
      </c>
    </row>
    <row r="8" spans="1:7" ht="15.75" thickBot="1" x14ac:dyDescent="0.3">
      <c r="D8" s="4" t="s">
        <v>17</v>
      </c>
      <c r="E8" s="5">
        <f>STDEV(E5:E6)</f>
        <v>1.5243775110677241E-3</v>
      </c>
    </row>
    <row r="9" spans="1:7" x14ac:dyDescent="0.25">
      <c r="D9" t="s">
        <v>90</v>
      </c>
      <c r="E9">
        <f>0.95*E8/SQRT(COUNT(E4:E6))</f>
        <v>1.0240027914060459E-3</v>
      </c>
    </row>
    <row r="10" spans="1:7" x14ac:dyDescent="0.25">
      <c r="A10" t="s">
        <v>8</v>
      </c>
      <c r="F10" t="s">
        <v>11</v>
      </c>
    </row>
    <row r="11" spans="1:7" x14ac:dyDescent="0.25">
      <c r="A11" t="s">
        <v>9</v>
      </c>
      <c r="B11" t="s">
        <v>10</v>
      </c>
      <c r="F11" t="s">
        <v>12</v>
      </c>
    </row>
    <row r="12" spans="1:7" x14ac:dyDescent="0.25">
      <c r="A12">
        <v>12.84</v>
      </c>
      <c r="B12">
        <f>50/A12*60</f>
        <v>233.64485981308411</v>
      </c>
      <c r="F12">
        <v>14540</v>
      </c>
    </row>
    <row r="13" spans="1:7" x14ac:dyDescent="0.25">
      <c r="A13">
        <v>12.7</v>
      </c>
      <c r="B13">
        <f t="shared" ref="B13:B16" si="3">50/A13*60</f>
        <v>236.22047244094489</v>
      </c>
      <c r="F13">
        <v>14297</v>
      </c>
    </row>
    <row r="14" spans="1:7" x14ac:dyDescent="0.25">
      <c r="A14">
        <v>12.55</v>
      </c>
      <c r="B14">
        <f t="shared" si="3"/>
        <v>239.04382470119521</v>
      </c>
      <c r="F14">
        <v>14693</v>
      </c>
    </row>
    <row r="15" spans="1:7" x14ac:dyDescent="0.25">
      <c r="A15">
        <v>12.36</v>
      </c>
      <c r="B15">
        <f t="shared" si="3"/>
        <v>242.71844660194179</v>
      </c>
    </row>
    <row r="16" spans="1:7" ht="15.75" thickBot="1" x14ac:dyDescent="0.3">
      <c r="A16">
        <v>12.93</v>
      </c>
      <c r="B16">
        <f t="shared" si="3"/>
        <v>232.01856148491879</v>
      </c>
    </row>
    <row r="17" spans="1:6" thickBot="1" x14ac:dyDescent="0.35">
      <c r="A17" s="2" t="s">
        <v>13</v>
      </c>
      <c r="B17" s="3">
        <f>AVERAGE(B12:B16)</f>
        <v>236.72923300841694</v>
      </c>
    </row>
    <row r="18" spans="1:6" thickBot="1" x14ac:dyDescent="0.35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thickBot="1" x14ac:dyDescent="0.35">
      <c r="A19" t="s">
        <v>89</v>
      </c>
      <c r="B19">
        <f>0.95*B18/SQRT(COUNT(B12:B16))</f>
        <v>1.8173407594330229</v>
      </c>
      <c r="E19" s="4" t="s">
        <v>15</v>
      </c>
      <c r="F19" s="5">
        <f>STDEV(F12:F14)</f>
        <v>199.69727088771143</v>
      </c>
    </row>
    <row r="20" spans="1:6" x14ac:dyDescent="0.25">
      <c r="E20" t="s">
        <v>89</v>
      </c>
      <c r="F20">
        <f>0.95*F19/SQRT(COUNT(F12:F17))</f>
        <v>109.53050944828112</v>
      </c>
    </row>
    <row r="21" spans="1:6" ht="14.45" x14ac:dyDescent="0.3">
      <c r="E21" t="s">
        <v>29</v>
      </c>
      <c r="F21" s="15">
        <f>F18*'Methane Standard Curve'!B13+'Methane Standard Curve'!C13</f>
        <v>2.4971655045194385E-2</v>
      </c>
    </row>
    <row r="22" spans="1:6" x14ac:dyDescent="0.25">
      <c r="E22" t="s">
        <v>15</v>
      </c>
      <c r="F22">
        <f>F19*'Methane Standard Curve'!B13+'Methane Standard Curve'!C13</f>
        <v>1.3983276962358229E-3</v>
      </c>
    </row>
    <row r="23" spans="1:6" ht="14.45" x14ac:dyDescent="0.3">
      <c r="A23" t="s">
        <v>30</v>
      </c>
      <c r="B23">
        <f>B17*F21</f>
        <v>5.9115207457996322</v>
      </c>
      <c r="E23" t="s">
        <v>89</v>
      </c>
      <c r="F23">
        <f>F20*'Methane Standard Curve'!B13+'Methane Standard Curve'!C13</f>
        <v>1.2497962064663541E-3</v>
      </c>
    </row>
    <row r="24" spans="1:6" ht="14.45" x14ac:dyDescent="0.3">
      <c r="A24" t="s">
        <v>31</v>
      </c>
      <c r="B24">
        <f>B23/22.4</f>
        <v>0.26390717615176928</v>
      </c>
    </row>
    <row r="25" spans="1:6" thickBot="1" x14ac:dyDescent="0.35">
      <c r="A25" t="s">
        <v>32</v>
      </c>
      <c r="B25">
        <f>B24*60</f>
        <v>15.834430569106157</v>
      </c>
      <c r="E25" t="s">
        <v>91</v>
      </c>
      <c r="F25">
        <f>F21*B17</f>
        <v>5.9115207457996322</v>
      </c>
    </row>
    <row r="26" spans="1:6" ht="15.75" thickBot="1" x14ac:dyDescent="0.3">
      <c r="A26" t="s">
        <v>36</v>
      </c>
      <c r="B26" s="10">
        <f>B25/(B1*0.66)</f>
        <v>38.325178064445147</v>
      </c>
      <c r="E26" t="s">
        <v>92</v>
      </c>
      <c r="F26">
        <f>F25*SQRT((B19/B17)^2+(F23/F21)^2)</f>
        <v>0.29932359955532473</v>
      </c>
    </row>
    <row r="28" spans="1:6" x14ac:dyDescent="0.25">
      <c r="A28" t="s">
        <v>63</v>
      </c>
      <c r="B28">
        <f>B26*0.66/0.34</f>
        <v>74.395933889805278</v>
      </c>
      <c r="E28" s="16" t="s">
        <v>84</v>
      </c>
      <c r="F28">
        <f>F25*60/22.4/'10_22'!B1/'Neatened Compilation'!$B$18</f>
        <v>51.727234197410638</v>
      </c>
    </row>
    <row r="29" spans="1:6" x14ac:dyDescent="0.25">
      <c r="E29" t="s">
        <v>92</v>
      </c>
      <c r="F29">
        <f>F26*60/22.4/'10_22'!B1/'Neatened Compilation'!$B$18</f>
        <v>2.6191537847535504</v>
      </c>
    </row>
    <row r="30" spans="1:6" ht="15.75" thickBot="1" x14ac:dyDescent="0.3"/>
    <row r="31" spans="1:6" x14ac:dyDescent="0.25">
      <c r="E31" s="2" t="s">
        <v>94</v>
      </c>
      <c r="F31" s="3">
        <f>1000*E7/F28/LN(2)</f>
        <v>2.2700352806044122</v>
      </c>
    </row>
    <row r="32" spans="1:6" ht="15.75" thickBot="1" x14ac:dyDescent="0.3">
      <c r="E32" s="4" t="s">
        <v>92</v>
      </c>
      <c r="F32" s="5">
        <f>F31*SQRT((E9/E7)^2+(F29/F28)^2)</f>
        <v>0.11843590032168816</v>
      </c>
    </row>
    <row r="35" spans="5:6" x14ac:dyDescent="0.25">
      <c r="E35" t="s">
        <v>95</v>
      </c>
      <c r="F35" t="s">
        <v>96</v>
      </c>
    </row>
    <row r="36" spans="5:6" x14ac:dyDescent="0.25">
      <c r="E36">
        <f>(F28/F29)^2 + (E7/E9)^2</f>
        <v>6707.6501906161229</v>
      </c>
      <c r="F36">
        <f>SQRT(E36)</f>
        <v>81.900245363589249</v>
      </c>
    </row>
    <row r="38" spans="5:6" x14ac:dyDescent="0.25">
      <c r="E38" t="s">
        <v>97</v>
      </c>
      <c r="F38">
        <f>F36*F31</f>
        <v>185.91644646550552</v>
      </c>
    </row>
    <row r="39" spans="5:6" x14ac:dyDescent="0.25">
      <c r="E39" t="s">
        <v>98</v>
      </c>
      <c r="F39">
        <f>F38/LN(2)</f>
        <v>268.22073533548325</v>
      </c>
    </row>
    <row r="45" spans="5:6" x14ac:dyDescent="0.25">
      <c r="E45" t="s">
        <v>99</v>
      </c>
      <c r="F45">
        <f>E7/F28</f>
        <v>1.5734685545225526E-3</v>
      </c>
    </row>
    <row r="46" spans="5:6" x14ac:dyDescent="0.25">
      <c r="E46" t="s">
        <v>100</v>
      </c>
      <c r="F46">
        <f>F45*SQRT((E9/E7)^2+(F29/F28)^2)</f>
        <v>8.2093510385056865E-5</v>
      </c>
    </row>
    <row r="47" spans="5:6" x14ac:dyDescent="0.25">
      <c r="E47" t="s">
        <v>101</v>
      </c>
      <c r="F47">
        <f>F46*1000/LN(2)</f>
        <v>0.11843590032168817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G45" sqref="G45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24" bestFit="1" customWidth="1"/>
    <col min="6" max="6" width="16" bestFit="1" customWidth="1"/>
  </cols>
  <sheetData>
    <row r="1" spans="1:6" x14ac:dyDescent="0.25">
      <c r="A1" t="s">
        <v>18</v>
      </c>
      <c r="B1">
        <v>0.67200000000000004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x14ac:dyDescent="0.25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ht="15.75" thickBot="1" x14ac:dyDescent="0.3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  <c r="F6" t="s">
        <v>49</v>
      </c>
    </row>
    <row r="7" spans="1:6" x14ac:dyDescent="0.25">
      <c r="D7" s="2" t="s">
        <v>5</v>
      </c>
      <c r="E7" s="3">
        <f>AVERAGE(E4:E6)</f>
        <v>9.0243491953218014E-2</v>
      </c>
      <c r="F7">
        <f>60*LN(2)/E7</f>
        <v>460.85130277489986</v>
      </c>
    </row>
    <row r="8" spans="1:6" ht="15.75" thickBot="1" x14ac:dyDescent="0.3">
      <c r="D8" s="4" t="s">
        <v>17</v>
      </c>
      <c r="E8" s="5">
        <f>STDEV(E4:E6)</f>
        <v>7.96516101052323E-3</v>
      </c>
    </row>
    <row r="9" spans="1:6" x14ac:dyDescent="0.25">
      <c r="D9" t="s">
        <v>90</v>
      </c>
      <c r="E9">
        <f>0.95*E8/SQRT(COUNT(E4:E6))</f>
        <v>4.368753460886084E-3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12.25</v>
      </c>
      <c r="B12">
        <f>50/A12*60</f>
        <v>244.89795918367346</v>
      </c>
      <c r="F12">
        <v>14371</v>
      </c>
    </row>
    <row r="13" spans="1:6" x14ac:dyDescent="0.25">
      <c r="A13">
        <v>11.74</v>
      </c>
      <c r="B13">
        <f t="shared" ref="B13:B16" si="3">50/A13*60</f>
        <v>255.53662691652471</v>
      </c>
      <c r="F13">
        <v>14899</v>
      </c>
    </row>
    <row r="14" spans="1:6" x14ac:dyDescent="0.25">
      <c r="A14">
        <v>12.08</v>
      </c>
      <c r="B14">
        <f t="shared" si="3"/>
        <v>248.34437086092714</v>
      </c>
      <c r="F14">
        <v>11940</v>
      </c>
    </row>
    <row r="15" spans="1:6" x14ac:dyDescent="0.25">
      <c r="A15">
        <v>12.4</v>
      </c>
      <c r="B15">
        <f t="shared" si="3"/>
        <v>241.93548387096774</v>
      </c>
      <c r="F15">
        <v>13665</v>
      </c>
    </row>
    <row r="16" spans="1:6" ht="15.75" thickBot="1" x14ac:dyDescent="0.3">
      <c r="A16">
        <v>11.83</v>
      </c>
      <c r="B16">
        <f t="shared" si="3"/>
        <v>253.59256128486896</v>
      </c>
      <c r="F16">
        <v>14210</v>
      </c>
    </row>
    <row r="17" spans="1:6" ht="15.75" thickBot="1" x14ac:dyDescent="0.3">
      <c r="A17" s="2" t="s">
        <v>13</v>
      </c>
      <c r="B17" s="3">
        <f>AVERAGE(B12:B16)</f>
        <v>248.86140042339238</v>
      </c>
    </row>
    <row r="18" spans="1:6" ht="15.75" thickBot="1" x14ac:dyDescent="0.3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6" ht="15.75" thickBot="1" x14ac:dyDescent="0.3">
      <c r="A19" t="s">
        <v>89</v>
      </c>
      <c r="B19">
        <f>0.95*B18/SQRT(COUNT(B12:B16))</f>
        <v>2.4302834377060933</v>
      </c>
      <c r="E19" s="4" t="s">
        <v>15</v>
      </c>
      <c r="F19" s="5">
        <f>STDEV(F12:F16)</f>
        <v>1137.7963350266164</v>
      </c>
    </row>
    <row r="20" spans="1:6" x14ac:dyDescent="0.25">
      <c r="E20" t="s">
        <v>89</v>
      </c>
      <c r="F20">
        <f>0.95*F19/SQRT(COUNT(F12:F17))</f>
        <v>483.39609043723135</v>
      </c>
    </row>
    <row r="21" spans="1:6" x14ac:dyDescent="0.25">
      <c r="E21" t="s">
        <v>29</v>
      </c>
      <c r="F21" s="15">
        <f>F18*'Methane Standard Curve'!B13+'Methane Standard Curve'!C13</f>
        <v>2.3830077808006077E-2</v>
      </c>
    </row>
    <row r="22" spans="1:6" x14ac:dyDescent="0.25">
      <c r="E22" t="s">
        <v>15</v>
      </c>
      <c r="F22">
        <f>F19*'Methane Standard Curve'!$B$13+'Methane Standard Curve'!$C$13</f>
        <v>2.9436560336797285E-3</v>
      </c>
    </row>
    <row r="23" spans="1:6" x14ac:dyDescent="0.25">
      <c r="A23" t="s">
        <v>30</v>
      </c>
      <c r="B23">
        <f>B17*F21</f>
        <v>5.9303865354987968</v>
      </c>
      <c r="E23" t="s">
        <v>89</v>
      </c>
      <c r="F23">
        <f>F20*'Methane Standard Curve'!$B$13+'Methane Standard Curve'!$C$13</f>
        <v>1.8656640809615438E-3</v>
      </c>
    </row>
    <row r="24" spans="1:6" x14ac:dyDescent="0.25">
      <c r="A24" t="s">
        <v>31</v>
      </c>
      <c r="B24">
        <f>B23/22.4</f>
        <v>0.26474939890619631</v>
      </c>
    </row>
    <row r="25" spans="1:6" ht="15.75" thickBot="1" x14ac:dyDescent="0.3">
      <c r="A25" t="s">
        <v>32</v>
      </c>
      <c r="B25">
        <f>B24*60</f>
        <v>15.884963934371779</v>
      </c>
      <c r="E25" t="s">
        <v>91</v>
      </c>
      <c r="F25">
        <f>F21*B17</f>
        <v>5.9303865354987968</v>
      </c>
    </row>
    <row r="26" spans="1:6" ht="15.75" thickBot="1" x14ac:dyDescent="0.3">
      <c r="A26" t="s">
        <v>36</v>
      </c>
      <c r="B26" s="10">
        <f>B25/(B1*0.66)</f>
        <v>35.815665436444306</v>
      </c>
      <c r="E26" t="s">
        <v>92</v>
      </c>
      <c r="F26">
        <f>F25*SQRT((B19/B17)^2+(F23/F21)^2)</f>
        <v>0.46788980159301863</v>
      </c>
    </row>
    <row r="28" spans="1:6" x14ac:dyDescent="0.25">
      <c r="A28" t="s">
        <v>63</v>
      </c>
      <c r="B28">
        <f>B26*0.66/0.34</f>
        <v>69.524527023686005</v>
      </c>
      <c r="E28" s="16" t="s">
        <v>84</v>
      </c>
      <c r="F28">
        <f>F25*60/22.4/B1/'Neatened Compilation'!$B$18</f>
        <v>48.340161938759181</v>
      </c>
    </row>
    <row r="29" spans="1:6" x14ac:dyDescent="0.25">
      <c r="E29" t="s">
        <v>92</v>
      </c>
      <c r="F29">
        <f>F26*60/22.4/B1/'Neatened Compilation'!$B$18</f>
        <v>3.8138945316821689</v>
      </c>
    </row>
    <row r="30" spans="1:6" ht="15.75" thickBot="1" x14ac:dyDescent="0.3"/>
    <row r="31" spans="1:6" x14ac:dyDescent="0.25">
      <c r="E31" s="2" t="s">
        <v>94</v>
      </c>
      <c r="F31" s="3">
        <f>1000*E7/F28/LN(2)</f>
        <v>2.6932851089400507</v>
      </c>
    </row>
    <row r="32" spans="1:6" ht="15.75" thickBot="1" x14ac:dyDescent="0.3">
      <c r="E32" s="4" t="s">
        <v>92</v>
      </c>
      <c r="F32" s="5">
        <f>F31*SQRT((E9/E7)^2+(F29/F28)^2)</f>
        <v>0.24930479213507378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83" sqref="C83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0.71199999999999997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x14ac:dyDescent="0.25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x14ac:dyDescent="0.25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ht="15.75" thickBot="1" x14ac:dyDescent="0.3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  <c r="F7" t="s">
        <v>49</v>
      </c>
    </row>
    <row r="8" spans="1:6" x14ac:dyDescent="0.25">
      <c r="D8" s="2" t="s">
        <v>5</v>
      </c>
      <c r="E8" s="3">
        <f>AVERAGE(E4:E7)</f>
        <v>8.9214109445657191E-2</v>
      </c>
      <c r="F8">
        <f>60*LN(2)/E8</f>
        <v>466.1687606592053</v>
      </c>
    </row>
    <row r="9" spans="1:6" ht="15.75" thickBot="1" x14ac:dyDescent="0.3">
      <c r="D9" s="4" t="s">
        <v>17</v>
      </c>
      <c r="E9" s="5">
        <f>STDEV(E4:E7)</f>
        <v>3.2243641791387537E-3</v>
      </c>
    </row>
    <row r="10" spans="1:6" x14ac:dyDescent="0.25">
      <c r="D10" t="s">
        <v>90</v>
      </c>
      <c r="E10">
        <f>0.95*E9/SQRT(COUNT(E4:E7))</f>
        <v>1.5315729850909079E-3</v>
      </c>
    </row>
    <row r="11" spans="1:6" x14ac:dyDescent="0.25">
      <c r="A11" t="s">
        <v>8</v>
      </c>
      <c r="F11" t="s">
        <v>11</v>
      </c>
    </row>
    <row r="12" spans="1:6" x14ac:dyDescent="0.25">
      <c r="A12" t="s">
        <v>9</v>
      </c>
      <c r="B12" t="s">
        <v>10</v>
      </c>
      <c r="F12" t="s">
        <v>12</v>
      </c>
    </row>
    <row r="13" spans="1:6" x14ac:dyDescent="0.25">
      <c r="A13">
        <v>12.73</v>
      </c>
      <c r="B13">
        <f>50/A13*60</f>
        <v>235.66378633150038</v>
      </c>
      <c r="F13">
        <v>14866</v>
      </c>
    </row>
    <row r="14" spans="1:6" x14ac:dyDescent="0.25">
      <c r="A14">
        <v>12.7</v>
      </c>
      <c r="B14">
        <f t="shared" ref="B14:B17" si="6">50/A14*60</f>
        <v>236.22047244094489</v>
      </c>
      <c r="F14">
        <v>15913</v>
      </c>
    </row>
    <row r="15" spans="1:6" x14ac:dyDescent="0.25">
      <c r="A15">
        <v>12.77</v>
      </c>
      <c r="B15">
        <f t="shared" si="6"/>
        <v>234.92560689115115</v>
      </c>
      <c r="F15">
        <v>11486</v>
      </c>
    </row>
    <row r="16" spans="1:6" x14ac:dyDescent="0.25">
      <c r="A16">
        <v>12.65</v>
      </c>
      <c r="B16">
        <f t="shared" si="6"/>
        <v>237.15415019762844</v>
      </c>
    </row>
    <row r="17" spans="1:6" ht="15.75" thickBot="1" x14ac:dyDescent="0.3">
      <c r="A17">
        <v>12.67</v>
      </c>
      <c r="B17">
        <f t="shared" si="6"/>
        <v>236.77979479084453</v>
      </c>
    </row>
    <row r="18" spans="1:6" ht="15.75" thickBot="1" x14ac:dyDescent="0.3">
      <c r="A18" s="2" t="s">
        <v>13</v>
      </c>
      <c r="B18" s="3">
        <f>AVERAGE(B13:B17)</f>
        <v>236.1487621304139</v>
      </c>
    </row>
    <row r="19" spans="1:6" ht="15.75" thickBot="1" x14ac:dyDescent="0.3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6" ht="15.75" thickBot="1" x14ac:dyDescent="0.3">
      <c r="A20" t="s">
        <v>89</v>
      </c>
      <c r="B20">
        <f>0.95*B19/SQRT(COUNT(B13:B17))</f>
        <v>0.37674777146009031</v>
      </c>
      <c r="E20" s="4" t="s">
        <v>15</v>
      </c>
      <c r="F20" s="5">
        <f>STDEV(F13:F17)</f>
        <v>2313.6889015883949</v>
      </c>
    </row>
    <row r="21" spans="1:6" x14ac:dyDescent="0.25">
      <c r="E21" t="s">
        <v>89</v>
      </c>
      <c r="F21">
        <f>0.95*F20/SQRT(COUNT(F13:F18))</f>
        <v>1269.0184646454541</v>
      </c>
    </row>
    <row r="22" spans="1:6" x14ac:dyDescent="0.25">
      <c r="E22" t="s">
        <v>29</v>
      </c>
      <c r="F22" s="15">
        <f>F19*'Methane Standard Curve'!B13+'Methane Standard Curve'!C13</f>
        <v>2.4277044556958109E-2</v>
      </c>
    </row>
    <row r="23" spans="1:6" x14ac:dyDescent="0.25">
      <c r="E23" t="s">
        <v>15</v>
      </c>
      <c r="F23">
        <f>F20*'Methane Standard Curve'!$B$13+'Methane Standard Curve'!$C$13</f>
        <v>4.8807010370936696E-3</v>
      </c>
    </row>
    <row r="24" spans="1:6" x14ac:dyDescent="0.25">
      <c r="A24" t="s">
        <v>30</v>
      </c>
      <c r="B24">
        <f>B18*F22</f>
        <v>5.73299402031056</v>
      </c>
      <c r="E24" t="s">
        <v>89</v>
      </c>
      <c r="F24">
        <f>F21*'Methane Standard Curve'!$B$13+'Methane Standard Curve'!$C$13</f>
        <v>3.159817932941256E-3</v>
      </c>
    </row>
    <row r="25" spans="1:6" x14ac:dyDescent="0.25">
      <c r="A25" t="s">
        <v>31</v>
      </c>
      <c r="B25">
        <f>B24/22.4</f>
        <v>0.25593723304957861</v>
      </c>
    </row>
    <row r="26" spans="1:6" ht="15.75" thickBot="1" x14ac:dyDescent="0.3">
      <c r="A26" t="s">
        <v>32</v>
      </c>
      <c r="B26">
        <f>B25*60</f>
        <v>15.356233982974716</v>
      </c>
      <c r="E26" t="s">
        <v>91</v>
      </c>
      <c r="F26">
        <f>F22*B18</f>
        <v>5.73299402031056</v>
      </c>
    </row>
    <row r="27" spans="1:6" ht="15.75" thickBot="1" x14ac:dyDescent="0.3">
      <c r="A27" t="s">
        <v>36</v>
      </c>
      <c r="B27" s="10">
        <f>B26/(B1*0.66)</f>
        <v>32.678400542591753</v>
      </c>
      <c r="E27" t="s">
        <v>92</v>
      </c>
      <c r="F27">
        <f>F26*SQRT((B20/B18)^2+(F24/F22)^2)</f>
        <v>0.74624314643619483</v>
      </c>
    </row>
    <row r="29" spans="1:6" x14ac:dyDescent="0.25">
      <c r="E29" s="16" t="s">
        <v>84</v>
      </c>
      <c r="F29">
        <f>F26*60/22.4/B1/'Neatened Compilation'!$B$18</f>
        <v>44.105816683252677</v>
      </c>
    </row>
    <row r="30" spans="1:6" x14ac:dyDescent="0.25">
      <c r="E30" t="s">
        <v>92</v>
      </c>
      <c r="F30">
        <f>F27*60/22.4/B1/'Neatened Compilation'!$B$18</f>
        <v>5.741095019677962</v>
      </c>
    </row>
    <row r="31" spans="1:6" ht="15.75" thickBot="1" x14ac:dyDescent="0.3"/>
    <row r="32" spans="1:6" x14ac:dyDescent="0.25">
      <c r="E32" s="2" t="s">
        <v>94</v>
      </c>
      <c r="F32" s="3">
        <f>1000*E8/F29/LN(2)</f>
        <v>2.9181809328892117</v>
      </c>
    </row>
    <row r="33" spans="5:6" ht="15.75" thickBot="1" x14ac:dyDescent="0.3">
      <c r="E33" s="4" t="s">
        <v>92</v>
      </c>
      <c r="F33" s="5">
        <f>F32*SQRT((E10/E8)^2+(F30/F29)^2)</f>
        <v>0.3831384723103145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28" sqref="F28:F29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0.83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6" spans="1:6" ht="15.75" thickBot="1" x14ac:dyDescent="0.3">
      <c r="F6" t="s">
        <v>49</v>
      </c>
    </row>
    <row r="7" spans="1:6" x14ac:dyDescent="0.25">
      <c r="D7" s="2" t="s">
        <v>5</v>
      </c>
      <c r="E7" s="3">
        <f>AVERAGE(E4:E6)</f>
        <v>4.6534363085345594E-2</v>
      </c>
      <c r="F7">
        <f>60*LN(2)/E7</f>
        <v>893.72300545558983</v>
      </c>
    </row>
    <row r="8" spans="1:6" ht="15.75" thickBot="1" x14ac:dyDescent="0.3">
      <c r="D8" s="4" t="s">
        <v>17</v>
      </c>
      <c r="E8" s="5">
        <v>0</v>
      </c>
    </row>
    <row r="9" spans="1:6" x14ac:dyDescent="0.25">
      <c r="D9" t="s">
        <v>90</v>
      </c>
      <c r="E9">
        <f>0.95*E8/SQRT(COUNT(E4:E6))</f>
        <v>0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12.8</v>
      </c>
      <c r="B12">
        <f>50/A12*60</f>
        <v>234.375</v>
      </c>
      <c r="F12">
        <v>10464</v>
      </c>
    </row>
    <row r="13" spans="1:6" x14ac:dyDescent="0.25">
      <c r="A13">
        <v>12.81</v>
      </c>
      <c r="B13">
        <f t="shared" ref="B13:B16" si="0">50/A13*60</f>
        <v>234.19203747072598</v>
      </c>
      <c r="F13">
        <v>10676</v>
      </c>
    </row>
    <row r="14" spans="1:6" x14ac:dyDescent="0.25">
      <c r="A14">
        <v>12.64</v>
      </c>
      <c r="B14">
        <f t="shared" si="0"/>
        <v>237.34177215189871</v>
      </c>
      <c r="F14">
        <v>10245</v>
      </c>
    </row>
    <row r="15" spans="1:6" x14ac:dyDescent="0.25">
      <c r="A15">
        <v>12.78</v>
      </c>
      <c r="B15">
        <f t="shared" si="0"/>
        <v>234.74178403755869</v>
      </c>
    </row>
    <row r="16" spans="1:6" ht="15.75" thickBot="1" x14ac:dyDescent="0.3">
      <c r="A16">
        <v>12.78</v>
      </c>
      <c r="B16">
        <f t="shared" si="0"/>
        <v>234.74178403755869</v>
      </c>
    </row>
    <row r="17" spans="1:6" ht="15.75" thickBot="1" x14ac:dyDescent="0.3">
      <c r="A17" s="2" t="s">
        <v>13</v>
      </c>
      <c r="B17" s="3">
        <f>AVERAGE(B12:B16)</f>
        <v>235.07847553954838</v>
      </c>
    </row>
    <row r="18" spans="1:6" ht="15.75" thickBot="1" x14ac:dyDescent="0.3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6" ht="15.75" thickBot="1" x14ac:dyDescent="0.3">
      <c r="A19" t="s">
        <v>89</v>
      </c>
      <c r="B19">
        <f>0.95*B18/SQRT(COUNT(B12:B16))</f>
        <v>0.54696757070363611</v>
      </c>
      <c r="E19" s="4" t="s">
        <v>15</v>
      </c>
      <c r="F19" s="5">
        <f>STDEV(F12:F16)</f>
        <v>215.50947388301361</v>
      </c>
    </row>
    <row r="20" spans="1:6" x14ac:dyDescent="0.25">
      <c r="E20" t="s">
        <v>89</v>
      </c>
      <c r="F20">
        <f>0.95*F19/SQRT(COUNT(F12:F17))</f>
        <v>118.20323012130891</v>
      </c>
    </row>
    <row r="21" spans="1:6" x14ac:dyDescent="0.25">
      <c r="E21" t="s">
        <v>29</v>
      </c>
      <c r="F21" s="15">
        <f>F18*'Methane Standard Curve'!B13+'Methane Standard Curve'!C13</f>
        <v>1.8302845258925997E-2</v>
      </c>
    </row>
    <row r="22" spans="1:6" x14ac:dyDescent="0.25">
      <c r="E22" t="s">
        <v>15</v>
      </c>
      <c r="F22">
        <f>F19*'Methane Standard Curve'!$B$13+'Methane Standard Curve'!$C$13</f>
        <v>1.4243751002895569E-3</v>
      </c>
    </row>
    <row r="23" spans="1:6" x14ac:dyDescent="0.25">
      <c r="A23" t="s">
        <v>30</v>
      </c>
      <c r="B23">
        <f>B17*F21</f>
        <v>4.3026049615045743</v>
      </c>
      <c r="E23" t="s">
        <v>89</v>
      </c>
      <c r="F23">
        <f>F20*'Methane Standard Curve'!$B$13+'Methane Standard Curve'!$C$13</f>
        <v>1.2640827584213625E-3</v>
      </c>
    </row>
    <row r="24" spans="1:6" x14ac:dyDescent="0.25">
      <c r="A24" t="s">
        <v>31</v>
      </c>
      <c r="B24">
        <f>B23/22.4</f>
        <v>0.19208057863859707</v>
      </c>
    </row>
    <row r="25" spans="1:6" ht="15.75" thickBot="1" x14ac:dyDescent="0.3">
      <c r="A25" t="s">
        <v>32</v>
      </c>
      <c r="B25">
        <f>B24*60</f>
        <v>11.524834718315823</v>
      </c>
      <c r="E25" t="s">
        <v>91</v>
      </c>
      <c r="F25">
        <f>F21*B17</f>
        <v>4.3026049615045743</v>
      </c>
    </row>
    <row r="26" spans="1:6" ht="15.75" thickBot="1" x14ac:dyDescent="0.3">
      <c r="A26" t="s">
        <v>36</v>
      </c>
      <c r="B26" s="10">
        <f>B25/(B1*0.66)</f>
        <v>21.038398536538562</v>
      </c>
      <c r="E26" t="s">
        <v>92</v>
      </c>
      <c r="F26">
        <f>F25*SQRT((B19/B17)^2+(F23/F21)^2)</f>
        <v>0.29732723276577994</v>
      </c>
    </row>
    <row r="28" spans="1:6" x14ac:dyDescent="0.25">
      <c r="E28" s="16" t="s">
        <v>84</v>
      </c>
      <c r="F28">
        <f>F25*60/22.4/B1/'Neatened Compilation'!$B$18</f>
        <v>28.395384527843461</v>
      </c>
    </row>
    <row r="29" spans="1:6" x14ac:dyDescent="0.25">
      <c r="E29" t="s">
        <v>92</v>
      </c>
      <c r="F29">
        <f>F26*60/22.4/B1/'Neatened Compilation'!$B$18</f>
        <v>1.9622347811432845</v>
      </c>
    </row>
    <row r="30" spans="1:6" ht="15.75" thickBot="1" x14ac:dyDescent="0.3"/>
    <row r="31" spans="1:6" x14ac:dyDescent="0.25">
      <c r="E31" s="2" t="s">
        <v>94</v>
      </c>
      <c r="F31" s="3">
        <f>1000*E7/F28/LN(2)</f>
        <v>2.3642889846525779</v>
      </c>
    </row>
    <row r="32" spans="1:6" ht="15.75" thickBot="1" x14ac:dyDescent="0.3">
      <c r="E32" s="4" t="s">
        <v>92</v>
      </c>
      <c r="F32" s="5">
        <f>F31*SQRT((E9/E7)^2+(F29/F28)^2)</f>
        <v>0.16338183671399531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28" sqref="F28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0.68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x14ac:dyDescent="0.25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ht="15.75" thickBot="1" x14ac:dyDescent="0.3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  <c r="F6" t="s">
        <v>49</v>
      </c>
    </row>
    <row r="7" spans="1:6" x14ac:dyDescent="0.25">
      <c r="D7" s="2" t="s">
        <v>5</v>
      </c>
      <c r="E7" s="3">
        <f>AVERAGE(E4:E6)</f>
        <v>7.0487379671178976E-2</v>
      </c>
      <c r="F7">
        <f>60*LN(2)/E7</f>
        <v>590.01811427247083</v>
      </c>
    </row>
    <row r="8" spans="1:6" ht="15.75" thickBot="1" x14ac:dyDescent="0.3">
      <c r="D8" s="4" t="s">
        <v>17</v>
      </c>
      <c r="E8" s="5">
        <f>STDEV(E4:E6)</f>
        <v>3.769238730890744E-3</v>
      </c>
    </row>
    <row r="9" spans="1:6" x14ac:dyDescent="0.25">
      <c r="D9" t="s">
        <v>90</v>
      </c>
      <c r="E9">
        <f>0.95*E8/SQRT(COUNT(E4:E6))</f>
        <v>2.0673624461237479E-3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12.85</v>
      </c>
      <c r="B12">
        <f>50/A12*60</f>
        <v>233.46303501945525</v>
      </c>
      <c r="F12">
        <v>12209</v>
      </c>
    </row>
    <row r="13" spans="1:6" x14ac:dyDescent="0.25">
      <c r="A13">
        <v>12.8</v>
      </c>
      <c r="B13">
        <f t="shared" ref="B13:B16" si="3">50/A13*60</f>
        <v>234.375</v>
      </c>
      <c r="F13">
        <v>12955</v>
      </c>
    </row>
    <row r="14" spans="1:6" x14ac:dyDescent="0.25">
      <c r="A14">
        <v>12.83</v>
      </c>
      <c r="B14">
        <f t="shared" si="3"/>
        <v>233.8269680436477</v>
      </c>
      <c r="F14">
        <v>12671</v>
      </c>
    </row>
    <row r="15" spans="1:6" x14ac:dyDescent="0.25">
      <c r="A15">
        <v>12.83</v>
      </c>
      <c r="B15">
        <f t="shared" si="3"/>
        <v>233.8269680436477</v>
      </c>
    </row>
    <row r="16" spans="1:6" ht="15.75" thickBot="1" x14ac:dyDescent="0.3">
      <c r="A16">
        <v>12.86</v>
      </c>
      <c r="B16">
        <f t="shared" si="3"/>
        <v>233.28149300155525</v>
      </c>
    </row>
    <row r="17" spans="1:6" ht="15.75" thickBot="1" x14ac:dyDescent="0.3">
      <c r="A17" s="2" t="s">
        <v>13</v>
      </c>
      <c r="B17" s="3">
        <f>AVERAGE(B12:B16)</f>
        <v>233.75469282166114</v>
      </c>
    </row>
    <row r="18" spans="1:6" ht="15.75" thickBot="1" x14ac:dyDescent="0.3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6" ht="15.75" thickBot="1" x14ac:dyDescent="0.3">
      <c r="A19" t="s">
        <v>89</v>
      </c>
      <c r="B19">
        <f>0.95*B18/SQRT(COUNT(B12:B16))</f>
        <v>0.1782624758215407</v>
      </c>
      <c r="E19" s="4" t="s">
        <v>15</v>
      </c>
      <c r="F19" s="5">
        <f>STDEV(F12:F16)</f>
        <v>376.52268634616604</v>
      </c>
    </row>
    <row r="20" spans="1:6" x14ac:dyDescent="0.25">
      <c r="E20" t="s">
        <v>89</v>
      </c>
      <c r="F20">
        <f>0.95*F19/SQRT(COUNT(F12:F17))</f>
        <v>206.51620060206199</v>
      </c>
    </row>
    <row r="21" spans="1:6" x14ac:dyDescent="0.25">
      <c r="E21" t="s">
        <v>29</v>
      </c>
      <c r="F21" s="15">
        <f>F18*'Methane Standard Curve'!B13+'Methane Standard Curve'!C13</f>
        <v>2.1844535100130694E-2</v>
      </c>
    </row>
    <row r="22" spans="1:6" x14ac:dyDescent="0.25">
      <c r="E22" t="s">
        <v>15</v>
      </c>
      <c r="F22">
        <f>F19*'Methane Standard Curve'!$B$13+'Methane Standard Curve'!$C$13</f>
        <v>1.6896117788386179E-3</v>
      </c>
    </row>
    <row r="23" spans="1:6" x14ac:dyDescent="0.25">
      <c r="A23" t="s">
        <v>33</v>
      </c>
      <c r="B23">
        <f>B17*F21</f>
        <v>5.1062625921630449</v>
      </c>
      <c r="E23" t="s">
        <v>89</v>
      </c>
      <c r="F23">
        <f>F20*'Methane Standard Curve'!$B$13+'Methane Standard Curve'!$C$13</f>
        <v>1.4095605027926619E-3</v>
      </c>
    </row>
    <row r="24" spans="1:6" x14ac:dyDescent="0.25">
      <c r="A24" t="s">
        <v>34</v>
      </c>
      <c r="B24">
        <f>B23/22.4</f>
        <v>0.22795815143585024</v>
      </c>
    </row>
    <row r="25" spans="1:6" ht="15.75" thickBot="1" x14ac:dyDescent="0.3">
      <c r="A25" t="s">
        <v>35</v>
      </c>
      <c r="B25">
        <f>B24*60</f>
        <v>13.677489086151015</v>
      </c>
      <c r="C25" t="s">
        <v>44</v>
      </c>
      <c r="E25" t="s">
        <v>91</v>
      </c>
      <c r="F25">
        <f>F21*B17</f>
        <v>5.1062625921630449</v>
      </c>
    </row>
    <row r="26" spans="1:6" ht="15.75" thickBot="1" x14ac:dyDescent="0.3">
      <c r="A26" t="s">
        <v>36</v>
      </c>
      <c r="B26" s="10">
        <f>B25/(B1*0.66)</f>
        <v>30.475688694632385</v>
      </c>
      <c r="C26">
        <f>B25/(B1*0.34)</f>
        <v>59.158689818992265</v>
      </c>
      <c r="E26" t="s">
        <v>92</v>
      </c>
      <c r="F26">
        <f>F25*SQRT((B19/B17)^2+(F23/F21)^2)</f>
        <v>0.32951439232487173</v>
      </c>
    </row>
    <row r="28" spans="1:6" x14ac:dyDescent="0.25">
      <c r="A28" t="s">
        <v>63</v>
      </c>
      <c r="B28">
        <f>B26*0.66/0.34</f>
        <v>59.158689818992272</v>
      </c>
      <c r="E28" s="16" t="s">
        <v>84</v>
      </c>
      <c r="F28">
        <f>F25*60/22.4/B1/'Neatened Compilation'!$B$18</f>
        <v>41.132831366988491</v>
      </c>
    </row>
    <row r="29" spans="1:6" x14ac:dyDescent="0.25">
      <c r="E29" t="s">
        <v>92</v>
      </c>
      <c r="F29">
        <f>F26*60/22.4/B1/'Neatened Compilation'!$B$18</f>
        <v>2.6543601485158121</v>
      </c>
    </row>
    <row r="30" spans="1:6" ht="15.75" thickBot="1" x14ac:dyDescent="0.3"/>
    <row r="31" spans="1:6" x14ac:dyDescent="0.25">
      <c r="E31" s="2" t="s">
        <v>94</v>
      </c>
      <c r="F31" s="3">
        <f>1000*E7/F28/LN(2)</f>
        <v>2.4722779764312812</v>
      </c>
    </row>
    <row r="32" spans="1:6" ht="15.75" thickBot="1" x14ac:dyDescent="0.3">
      <c r="E32" s="4" t="s">
        <v>92</v>
      </c>
      <c r="F32" s="5">
        <f>F31*SQRT((E9/E7)^2+(F29/F28)^2)</f>
        <v>0.17524469157481251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30" sqref="F30:F31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0.80400000000000005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v>30.25</v>
      </c>
      <c r="B4" s="6">
        <v>3.4</v>
      </c>
      <c r="C4" s="6">
        <f>B4/2.65</f>
        <v>1.2830188679245282</v>
      </c>
      <c r="D4" s="6">
        <f>A4/C4</f>
        <v>23.577205882352942</v>
      </c>
      <c r="E4" s="6">
        <f>1/D4</f>
        <v>4.2413846873538122E-2</v>
      </c>
      <c r="F4" t="s">
        <v>16</v>
      </c>
    </row>
    <row r="5" spans="1:6" x14ac:dyDescent="0.25">
      <c r="A5">
        <f>25+1/6</f>
        <v>25.166666666666668</v>
      </c>
      <c r="B5">
        <v>3.05</v>
      </c>
      <c r="C5">
        <f t="shared" ref="C5:C6" si="0">B5/2.65</f>
        <v>1.1509433962264151</v>
      </c>
      <c r="D5">
        <f t="shared" ref="D5:D6" si="1">A5/C5</f>
        <v>21.866120218579237</v>
      </c>
      <c r="E5">
        <f t="shared" ref="E5:E6" si="2">1/D5</f>
        <v>4.5732850181182054E-2</v>
      </c>
    </row>
    <row r="6" spans="1:6" x14ac:dyDescent="0.25">
      <c r="A6">
        <f>48-A5</f>
        <v>22.833333333333332</v>
      </c>
      <c r="B6">
        <v>2.95</v>
      </c>
      <c r="C6">
        <f t="shared" si="0"/>
        <v>1.1132075471698115</v>
      </c>
      <c r="D6">
        <f t="shared" si="1"/>
        <v>20.511299435028246</v>
      </c>
      <c r="E6">
        <f t="shared" si="2"/>
        <v>4.8753615204517292E-2</v>
      </c>
      <c r="F6" t="s">
        <v>49</v>
      </c>
    </row>
    <row r="7" spans="1:6" x14ac:dyDescent="0.25">
      <c r="A7">
        <v>21</v>
      </c>
      <c r="B7">
        <v>2.4500000000000002</v>
      </c>
      <c r="C7" s="6">
        <f>B7/2.65</f>
        <v>0.92452830188679258</v>
      </c>
      <c r="D7" s="6">
        <f>A7/C7</f>
        <v>22.714285714285712</v>
      </c>
      <c r="E7" s="6">
        <f>1/D7</f>
        <v>4.4025157232704407E-2</v>
      </c>
    </row>
    <row r="8" spans="1:6" ht="15.75" thickBot="1" x14ac:dyDescent="0.3">
      <c r="A8">
        <v>50</v>
      </c>
      <c r="B8">
        <v>6.35</v>
      </c>
      <c r="C8">
        <f t="shared" ref="C8" si="3">B8/2.65</f>
        <v>2.3962264150943398</v>
      </c>
      <c r="D8">
        <f t="shared" ref="D8" si="4">A8/C8</f>
        <v>20.866141732283463</v>
      </c>
      <c r="E8">
        <f t="shared" ref="E8" si="5">1/D8</f>
        <v>4.7924528301886794E-2</v>
      </c>
    </row>
    <row r="9" spans="1:6" x14ac:dyDescent="0.25">
      <c r="D9" s="2" t="s">
        <v>5</v>
      </c>
      <c r="E9" s="3">
        <f>AVERAGE(E4:E8)</f>
        <v>4.5769999558765734E-2</v>
      </c>
      <c r="F9">
        <f>60*LN(2)/E9</f>
        <v>908.64826817835853</v>
      </c>
    </row>
    <row r="10" spans="1:6" ht="15.75" thickBot="1" x14ac:dyDescent="0.3">
      <c r="D10" s="4" t="s">
        <v>17</v>
      </c>
      <c r="E10" s="5">
        <f>STDEV(E4:E8)</f>
        <v>2.6388241743311911E-3</v>
      </c>
    </row>
    <row r="11" spans="1:6" x14ac:dyDescent="0.25">
      <c r="D11" t="s">
        <v>90</v>
      </c>
      <c r="E11">
        <f>0.95*E10/SQRT(COUNT(E4:E8))</f>
        <v>1.1211121445501167E-3</v>
      </c>
    </row>
    <row r="12" spans="1:6" x14ac:dyDescent="0.25">
      <c r="A12" t="s">
        <v>8</v>
      </c>
      <c r="F12" t="s">
        <v>11</v>
      </c>
    </row>
    <row r="13" spans="1:6" x14ac:dyDescent="0.25">
      <c r="A13" t="s">
        <v>9</v>
      </c>
      <c r="B13" t="s">
        <v>10</v>
      </c>
      <c r="F13" t="s">
        <v>12</v>
      </c>
    </row>
    <row r="14" spans="1:6" x14ac:dyDescent="0.25">
      <c r="A14">
        <v>12.74</v>
      </c>
      <c r="B14">
        <f>50/A14*60</f>
        <v>235.47880690737833</v>
      </c>
      <c r="F14">
        <v>10270</v>
      </c>
    </row>
    <row r="15" spans="1:6" x14ac:dyDescent="0.25">
      <c r="A15">
        <v>12.64</v>
      </c>
      <c r="B15">
        <f t="shared" ref="B15:B18" si="6">50/A15*60</f>
        <v>237.34177215189871</v>
      </c>
      <c r="F15">
        <v>9831</v>
      </c>
    </row>
    <row r="16" spans="1:6" x14ac:dyDescent="0.25">
      <c r="A16">
        <v>12.66</v>
      </c>
      <c r="B16">
        <f t="shared" si="6"/>
        <v>236.96682464454977</v>
      </c>
      <c r="F16">
        <v>9667</v>
      </c>
    </row>
    <row r="17" spans="1:6" x14ac:dyDescent="0.25">
      <c r="A17">
        <v>12.75</v>
      </c>
      <c r="B17">
        <f t="shared" si="6"/>
        <v>235.29411764705881</v>
      </c>
    </row>
    <row r="18" spans="1:6" ht="15.75" thickBot="1" x14ac:dyDescent="0.3">
      <c r="A18">
        <v>12.51</v>
      </c>
      <c r="B18">
        <f t="shared" si="6"/>
        <v>239.80815347721824</v>
      </c>
    </row>
    <row r="19" spans="1:6" ht="15.75" thickBot="1" x14ac:dyDescent="0.3">
      <c r="A19" s="2" t="s">
        <v>13</v>
      </c>
      <c r="B19" s="3">
        <f>AVERAGE(B14:B18)</f>
        <v>236.97793496562076</v>
      </c>
    </row>
    <row r="20" spans="1:6" ht="15.75" thickBot="1" x14ac:dyDescent="0.3">
      <c r="A20" s="4" t="s">
        <v>14</v>
      </c>
      <c r="B20" s="5">
        <f>STDEV(B14:B18)</f>
        <v>1.818327765973512</v>
      </c>
      <c r="E20" s="2" t="s">
        <v>13</v>
      </c>
      <c r="F20" s="3">
        <f>AVERAGE(F14:F18)</f>
        <v>9922.6666666666661</v>
      </c>
    </row>
    <row r="21" spans="1:6" ht="15.75" thickBot="1" x14ac:dyDescent="0.3">
      <c r="A21" t="s">
        <v>89</v>
      </c>
      <c r="B21">
        <f>0.95*B20/SQRT(COUNT(B14:B18))</f>
        <v>0.77252185311749932</v>
      </c>
      <c r="E21" s="4" t="s">
        <v>15</v>
      </c>
      <c r="F21" s="5">
        <f>STDEV(F14:F18)</f>
        <v>311.77609487151727</v>
      </c>
    </row>
    <row r="22" spans="1:6" x14ac:dyDescent="0.25">
      <c r="E22" t="s">
        <v>89</v>
      </c>
      <c r="F22">
        <f>0.95*F21/SQRT(COUNT(F14:F19))</f>
        <v>171.00381168591278</v>
      </c>
    </row>
    <row r="23" spans="1:6" x14ac:dyDescent="0.25">
      <c r="E23" t="s">
        <v>29</v>
      </c>
      <c r="F23" s="15">
        <f>F20*'Methane Standard Curve'!B13+'Methane Standard Curve'!C13</f>
        <v>1.7414951852223977E-2</v>
      </c>
    </row>
    <row r="24" spans="1:6" x14ac:dyDescent="0.25">
      <c r="E24" t="s">
        <v>15</v>
      </c>
      <c r="F24">
        <f>F21*'Methane Standard Curve'!$B$13+'Methane Standard Curve'!$C$13</f>
        <v>1.5829548740579694E-3</v>
      </c>
    </row>
    <row r="25" spans="1:6" x14ac:dyDescent="0.25">
      <c r="A25" t="s">
        <v>33</v>
      </c>
      <c r="B25">
        <f>B19*F23</f>
        <v>4.1269593274657508</v>
      </c>
      <c r="E25" t="s">
        <v>89</v>
      </c>
      <c r="F25">
        <f>F22*'Methane Standard Curve'!$B$13+'Methane Standard Curve'!$C$13</f>
        <v>1.3510610297409243E-3</v>
      </c>
    </row>
    <row r="26" spans="1:6" x14ac:dyDescent="0.25">
      <c r="A26" t="s">
        <v>34</v>
      </c>
      <c r="B26">
        <f>B25/22.4</f>
        <v>0.18423925569043531</v>
      </c>
    </row>
    <row r="27" spans="1:6" ht="15.75" thickBot="1" x14ac:dyDescent="0.3">
      <c r="A27" t="s">
        <v>35</v>
      </c>
      <c r="B27">
        <f>B26*60</f>
        <v>11.054355341426119</v>
      </c>
      <c r="C27" t="s">
        <v>44</v>
      </c>
      <c r="E27" t="s">
        <v>91</v>
      </c>
      <c r="F27">
        <f>F23*B19</f>
        <v>4.1269593274657508</v>
      </c>
    </row>
    <row r="28" spans="1:6" ht="15.75" thickBot="1" x14ac:dyDescent="0.3">
      <c r="A28" t="s">
        <v>36</v>
      </c>
      <c r="B28" s="10">
        <f>B27/(B1*0.66)</f>
        <v>20.832118463414211</v>
      </c>
      <c r="C28">
        <f>B27/(B1*0.34)</f>
        <v>40.438818193686409</v>
      </c>
      <c r="E28" t="s">
        <v>92</v>
      </c>
      <c r="F28">
        <f>F27*SQRT((B21/B19)^2+(F25/F23)^2)</f>
        <v>0.32045418094478684</v>
      </c>
    </row>
    <row r="30" spans="1:6" x14ac:dyDescent="0.25">
      <c r="A30" t="s">
        <v>63</v>
      </c>
      <c r="B30">
        <f>B28*0.66/0.34</f>
        <v>40.438818193686409</v>
      </c>
      <c r="E30" s="16" t="s">
        <v>84</v>
      </c>
      <c r="F30">
        <f>F27*60/22.4/B1/'Neatened Compilation'!$B$18</f>
        <v>28.116969705221639</v>
      </c>
    </row>
    <row r="31" spans="1:6" x14ac:dyDescent="0.25">
      <c r="E31" t="s">
        <v>92</v>
      </c>
      <c r="F31">
        <f>F28*60/22.4/B1/'Neatened Compilation'!$B$18</f>
        <v>2.1832540092099948</v>
      </c>
    </row>
    <row r="32" spans="1:6" ht="15.75" thickBot="1" x14ac:dyDescent="0.3"/>
    <row r="33" spans="5:6" x14ac:dyDescent="0.25">
      <c r="E33" s="2" t="s">
        <v>94</v>
      </c>
      <c r="F33" s="3">
        <f>1000*E9/F30/LN(2)</f>
        <v>2.3484803688734086</v>
      </c>
    </row>
    <row r="34" spans="5:6" ht="15.75" thickBot="1" x14ac:dyDescent="0.3">
      <c r="E34" s="4" t="s">
        <v>92</v>
      </c>
      <c r="F34" s="5">
        <f>F33*SQRT((E11/E9)^2+(F31/F30)^2)</f>
        <v>0.19121510303856742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30" sqref="F30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0.66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35/60+16</f>
        <v>16.583333333333332</v>
      </c>
      <c r="B4" s="6">
        <v>2.6</v>
      </c>
      <c r="C4" s="6">
        <f>B4/2.65</f>
        <v>0.98113207547169823</v>
      </c>
      <c r="D4" s="6">
        <f>A4/C4</f>
        <v>16.902243589743588</v>
      </c>
      <c r="E4" s="6">
        <f>1/D4</f>
        <v>5.9163743244524516E-2</v>
      </c>
      <c r="F4" t="s">
        <v>16</v>
      </c>
    </row>
    <row r="5" spans="1:6" x14ac:dyDescent="0.25">
      <c r="A5">
        <v>24</v>
      </c>
      <c r="B5">
        <v>4.0999999999999996</v>
      </c>
      <c r="C5">
        <f t="shared" ref="C5:C6" si="0">B5/2.65</f>
        <v>1.5471698113207546</v>
      </c>
      <c r="D5">
        <f t="shared" ref="D5:D6" si="1">A5/C5</f>
        <v>15.512195121951221</v>
      </c>
      <c r="E5">
        <f t="shared" ref="E5:E6" si="2">1/D5</f>
        <v>6.4465408805031446E-2</v>
      </c>
    </row>
    <row r="6" spans="1:6" x14ac:dyDescent="0.25">
      <c r="A6">
        <f>24+1/3</f>
        <v>24.333333333333332</v>
      </c>
      <c r="B6">
        <v>3.75</v>
      </c>
      <c r="C6">
        <f t="shared" si="0"/>
        <v>1.4150943396226416</v>
      </c>
      <c r="D6">
        <f t="shared" si="1"/>
        <v>17.195555555555554</v>
      </c>
      <c r="E6">
        <f t="shared" si="2"/>
        <v>5.8154561902300339E-2</v>
      </c>
      <c r="F6" t="s">
        <v>49</v>
      </c>
    </row>
    <row r="7" spans="1:6" x14ac:dyDescent="0.25">
      <c r="A7">
        <f>26+55/60</f>
        <v>26.916666666666668</v>
      </c>
      <c r="B7">
        <v>4.05</v>
      </c>
      <c r="C7" s="6">
        <f>B7/2.65</f>
        <v>1.5283018867924527</v>
      </c>
      <c r="D7" s="6">
        <f>A7/C7</f>
        <v>17.612139917695476</v>
      </c>
      <c r="E7" s="6">
        <f>1/D7</f>
        <v>5.6779017465973469E-2</v>
      </c>
    </row>
    <row r="8" spans="1:6" ht="15.75" thickBot="1" x14ac:dyDescent="0.3">
      <c r="A8">
        <v>22</v>
      </c>
      <c r="B8">
        <v>3.65</v>
      </c>
      <c r="C8">
        <f t="shared" ref="C8" si="3">B8/2.65</f>
        <v>1.3773584905660377</v>
      </c>
      <c r="D8">
        <f t="shared" ref="D8" si="4">A8/C8</f>
        <v>15.972602739726028</v>
      </c>
      <c r="E8">
        <f t="shared" ref="E8" si="5">1/D8</f>
        <v>6.2607204116638074E-2</v>
      </c>
    </row>
    <row r="9" spans="1:6" x14ac:dyDescent="0.25">
      <c r="D9" s="2" t="s">
        <v>5</v>
      </c>
      <c r="E9" s="3">
        <f>AVERAGE(E4:E8)</f>
        <v>6.0233987106893573E-2</v>
      </c>
      <c r="F9">
        <f>60*LN(2)/E9</f>
        <v>690.45455615932519</v>
      </c>
    </row>
    <row r="10" spans="1:6" ht="15.75" thickBot="1" x14ac:dyDescent="0.3">
      <c r="D10" s="4" t="s">
        <v>17</v>
      </c>
      <c r="E10" s="5">
        <f>STDEV(E4:E8)</f>
        <v>3.1993489528702739E-3</v>
      </c>
    </row>
    <row r="11" spans="1:6" x14ac:dyDescent="0.25">
      <c r="D11" t="s">
        <v>90</v>
      </c>
      <c r="E11">
        <f>0.95*E10/SQRT(COUNT(E4:E8))</f>
        <v>1.3592527310485336E-3</v>
      </c>
    </row>
    <row r="12" spans="1:6" x14ac:dyDescent="0.25">
      <c r="A12" t="s">
        <v>8</v>
      </c>
      <c r="F12" t="s">
        <v>11</v>
      </c>
    </row>
    <row r="13" spans="1:6" x14ac:dyDescent="0.25">
      <c r="A13" t="s">
        <v>9</v>
      </c>
      <c r="B13" t="s">
        <v>10</v>
      </c>
      <c r="F13" t="s">
        <v>12</v>
      </c>
    </row>
    <row r="14" spans="1:6" x14ac:dyDescent="0.25">
      <c r="A14">
        <v>11.83</v>
      </c>
      <c r="B14">
        <f>50/A14*60</f>
        <v>253.59256128486896</v>
      </c>
      <c r="F14">
        <v>9371.4</v>
      </c>
    </row>
    <row r="15" spans="1:6" x14ac:dyDescent="0.25">
      <c r="A15">
        <v>11.87</v>
      </c>
      <c r="B15">
        <f t="shared" ref="B15:B18" si="6">50/A15*60</f>
        <v>252.73799494524013</v>
      </c>
      <c r="F15">
        <v>8942.6</v>
      </c>
    </row>
    <row r="16" spans="1:6" x14ac:dyDescent="0.25">
      <c r="A16">
        <v>12.02</v>
      </c>
      <c r="B16">
        <f t="shared" si="6"/>
        <v>249.58402662229616</v>
      </c>
      <c r="F16">
        <v>9899.7000000000007</v>
      </c>
    </row>
    <row r="17" spans="1:6" x14ac:dyDescent="0.25">
      <c r="A17">
        <v>11.77</v>
      </c>
      <c r="B17">
        <f t="shared" si="6"/>
        <v>254.88530161427357</v>
      </c>
      <c r="F17">
        <v>9318.2000000000007</v>
      </c>
    </row>
    <row r="18" spans="1:6" ht="15.75" thickBot="1" x14ac:dyDescent="0.3">
      <c r="A18">
        <v>11.88</v>
      </c>
      <c r="B18">
        <f t="shared" si="6"/>
        <v>252.52525252525251</v>
      </c>
      <c r="F18">
        <v>9694</v>
      </c>
    </row>
    <row r="19" spans="1:6" ht="15.75" thickBot="1" x14ac:dyDescent="0.3">
      <c r="A19" s="2" t="s">
        <v>13</v>
      </c>
      <c r="B19" s="3">
        <f>AVERAGE(B14:B18)</f>
        <v>252.66502739838626</v>
      </c>
    </row>
    <row r="20" spans="1:6" ht="15.75" thickBot="1" x14ac:dyDescent="0.3">
      <c r="A20" s="4" t="s">
        <v>14</v>
      </c>
      <c r="B20" s="5">
        <f>STDEV(B14:B18)</f>
        <v>1.9562313107496343</v>
      </c>
      <c r="E20" s="2" t="s">
        <v>13</v>
      </c>
      <c r="F20" s="3">
        <f>AVERAGE(F14:F18)</f>
        <v>9445.18</v>
      </c>
    </row>
    <row r="21" spans="1:6" ht="15.75" thickBot="1" x14ac:dyDescent="0.3">
      <c r="A21" t="s">
        <v>89</v>
      </c>
      <c r="B21">
        <f>0.95*B20/SQRT(COUNT(B14:B18))</f>
        <v>0.8311105762044424</v>
      </c>
      <c r="E21" s="4" t="s">
        <v>15</v>
      </c>
      <c r="F21" s="5">
        <f>STDEV(F14:F18)</f>
        <v>368.32522585345691</v>
      </c>
    </row>
    <row r="22" spans="1:6" x14ac:dyDescent="0.25">
      <c r="E22" t="s">
        <v>89</v>
      </c>
      <c r="F22">
        <f>0.95*F21/SQRT(COUNT(F14:F19))</f>
        <v>156.48404613889559</v>
      </c>
    </row>
    <row r="23" spans="1:6" x14ac:dyDescent="0.25">
      <c r="E23" t="s">
        <v>29</v>
      </c>
      <c r="F23" s="15">
        <f>F20*'Methane Standard Curve'!B13+'Methane Standard Curve'!C13</f>
        <v>1.662838921192443E-2</v>
      </c>
    </row>
    <row r="24" spans="1:6" x14ac:dyDescent="0.25">
      <c r="E24" t="s">
        <v>15</v>
      </c>
      <c r="F24">
        <f>F21*'Methane Standard Curve'!$B$13+'Methane Standard Curve'!$C$13</f>
        <v>1.6761081218382903E-3</v>
      </c>
    </row>
    <row r="25" spans="1:6" x14ac:dyDescent="0.25">
      <c r="A25" t="s">
        <v>33</v>
      </c>
      <c r="B25">
        <f>B19*F23</f>
        <v>4.2014124158219168</v>
      </c>
      <c r="E25" t="s">
        <v>89</v>
      </c>
      <c r="F25">
        <f>F22*'Methane Standard Curve'!$B$13+'Methane Standard Curve'!$C$13</f>
        <v>1.3271426547946245E-3</v>
      </c>
    </row>
    <row r="26" spans="1:6" x14ac:dyDescent="0.25">
      <c r="A26" t="s">
        <v>34</v>
      </c>
      <c r="B26">
        <f>B25/22.4</f>
        <v>0.18756305427776415</v>
      </c>
    </row>
    <row r="27" spans="1:6" ht="15.75" thickBot="1" x14ac:dyDescent="0.3">
      <c r="A27" t="s">
        <v>35</v>
      </c>
      <c r="B27">
        <f>B26*60</f>
        <v>11.25378325666585</v>
      </c>
      <c r="C27" t="s">
        <v>44</v>
      </c>
      <c r="E27" t="s">
        <v>91</v>
      </c>
      <c r="F27">
        <f>F23*B19</f>
        <v>4.2014124158219168</v>
      </c>
    </row>
    <row r="28" spans="1:6" ht="15.75" thickBot="1" x14ac:dyDescent="0.3">
      <c r="A28" t="s">
        <v>36</v>
      </c>
      <c r="B28" s="10">
        <f>B27/(B1*0.66)</f>
        <v>25.835131443218202</v>
      </c>
      <c r="C28">
        <f>B27/(B1*0.34)</f>
        <v>50.150549272129453</v>
      </c>
      <c r="E28" t="s">
        <v>92</v>
      </c>
      <c r="F28">
        <f>F27*SQRT((B21/B19)^2+(F25/F23)^2)</f>
        <v>0.33560720473441347</v>
      </c>
    </row>
    <row r="30" spans="1:6" x14ac:dyDescent="0.25">
      <c r="A30" t="s">
        <v>63</v>
      </c>
      <c r="B30">
        <f>B28*0.66/0.34</f>
        <v>50.150549272129453</v>
      </c>
      <c r="E30" s="16" t="s">
        <v>84</v>
      </c>
      <c r="F30">
        <f>F27*60/22.4/B1/'Neatened Compilation'!$B$18</f>
        <v>34.869502561398797</v>
      </c>
    </row>
    <row r="31" spans="1:6" x14ac:dyDescent="0.25">
      <c r="E31" t="s">
        <v>92</v>
      </c>
      <c r="F31">
        <f>F28*60/22.4/B1/'Neatened Compilation'!$B$18</f>
        <v>2.7853624274162536</v>
      </c>
    </row>
    <row r="32" spans="1:6" ht="15.75" thickBot="1" x14ac:dyDescent="0.3"/>
    <row r="33" spans="5:6" x14ac:dyDescent="0.25">
      <c r="E33" s="2" t="s">
        <v>94</v>
      </c>
      <c r="F33" s="3">
        <f>1000*E9/F30/LN(2)</f>
        <v>2.4921283100919331</v>
      </c>
    </row>
    <row r="34" spans="5:6" ht="15.75" thickBot="1" x14ac:dyDescent="0.3">
      <c r="E34" s="4" t="s">
        <v>92</v>
      </c>
      <c r="F34" s="5">
        <f>F33*SQRT((E11/E9)^2+(F31/F30)^2)</f>
        <v>0.20686146109774942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E12" sqref="E12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0.85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v>46.25</v>
      </c>
      <c r="B4" s="6">
        <v>7.2</v>
      </c>
      <c r="C4" s="6">
        <f>B4/2.65</f>
        <v>2.716981132075472</v>
      </c>
      <c r="D4" s="6">
        <f>A4/C4</f>
        <v>17.022569444444443</v>
      </c>
      <c r="E4" s="6">
        <f>1/D4</f>
        <v>5.8745537990821016E-2</v>
      </c>
      <c r="F4" t="s">
        <v>16</v>
      </c>
    </row>
    <row r="6" spans="1:6" ht="14.45" x14ac:dyDescent="0.3">
      <c r="F6" t="s">
        <v>49</v>
      </c>
    </row>
    <row r="7" spans="1:6" ht="14.45" x14ac:dyDescent="0.3">
      <c r="C7" s="6"/>
      <c r="D7" s="6"/>
      <c r="E7" s="6"/>
    </row>
    <row r="8" spans="1:6" thickBot="1" x14ac:dyDescent="0.35"/>
    <row r="9" spans="1:6" ht="14.45" x14ac:dyDescent="0.3">
      <c r="D9" s="2" t="s">
        <v>5</v>
      </c>
      <c r="E9" s="3">
        <f>AVERAGE(E4:E8)</f>
        <v>5.8745537990821016E-2</v>
      </c>
      <c r="F9">
        <f>60*LN(2)/E9</f>
        <v>707.94876097815234</v>
      </c>
    </row>
    <row r="10" spans="1:6" thickBot="1" x14ac:dyDescent="0.35">
      <c r="D10" s="4" t="s">
        <v>17</v>
      </c>
      <c r="E10" s="5">
        <v>0</v>
      </c>
    </row>
    <row r="11" spans="1:6" x14ac:dyDescent="0.25">
      <c r="D11" t="s">
        <v>90</v>
      </c>
      <c r="E11">
        <v>0</v>
      </c>
    </row>
    <row r="12" spans="1:6" ht="14.45" x14ac:dyDescent="0.3">
      <c r="A12" t="s">
        <v>8</v>
      </c>
      <c r="F12" t="s">
        <v>11</v>
      </c>
    </row>
    <row r="13" spans="1:6" ht="14.45" x14ac:dyDescent="0.3">
      <c r="A13" t="s">
        <v>9</v>
      </c>
      <c r="B13" t="s">
        <v>10</v>
      </c>
      <c r="F13" t="s">
        <v>12</v>
      </c>
    </row>
    <row r="14" spans="1:6" ht="14.45" x14ac:dyDescent="0.3">
      <c r="A14">
        <v>12.17</v>
      </c>
      <c r="B14">
        <f>50/A14*60</f>
        <v>246.50780608052588</v>
      </c>
      <c r="F14">
        <v>12568</v>
      </c>
    </row>
    <row r="15" spans="1:6" ht="14.45" x14ac:dyDescent="0.3">
      <c r="A15">
        <v>12.08</v>
      </c>
      <c r="B15">
        <f t="shared" ref="B15:B18" si="0">50/A15*60</f>
        <v>248.34437086092714</v>
      </c>
      <c r="F15">
        <v>13705</v>
      </c>
    </row>
    <row r="16" spans="1:6" ht="14.45" x14ac:dyDescent="0.3">
      <c r="A16">
        <v>11.91</v>
      </c>
      <c r="B16">
        <f t="shared" si="0"/>
        <v>251.88916876574308</v>
      </c>
      <c r="F16">
        <v>13862</v>
      </c>
    </row>
    <row r="17" spans="1:6" ht="14.45" x14ac:dyDescent="0.3">
      <c r="A17">
        <v>12.32</v>
      </c>
      <c r="B17">
        <f t="shared" si="0"/>
        <v>243.50649350649348</v>
      </c>
      <c r="F17">
        <v>12991</v>
      </c>
    </row>
    <row r="18" spans="1:6" thickBot="1" x14ac:dyDescent="0.35">
      <c r="A18">
        <v>12.34</v>
      </c>
      <c r="B18">
        <f t="shared" si="0"/>
        <v>243.11183144246351</v>
      </c>
      <c r="F18">
        <v>12977</v>
      </c>
    </row>
    <row r="19" spans="1:6" thickBot="1" x14ac:dyDescent="0.35">
      <c r="A19" s="2" t="s">
        <v>13</v>
      </c>
      <c r="B19" s="3">
        <f>AVERAGE(B14:B18)</f>
        <v>246.67193413123064</v>
      </c>
      <c r="F19">
        <v>13199</v>
      </c>
    </row>
    <row r="20" spans="1:6" thickBot="1" x14ac:dyDescent="0.35">
      <c r="A20" s="4" t="s">
        <v>14</v>
      </c>
      <c r="B20" s="5">
        <f>STDEV(B14:B18)</f>
        <v>3.6310420462563333</v>
      </c>
      <c r="E20" s="2" t="s">
        <v>13</v>
      </c>
      <c r="F20" s="3">
        <f>AVERAGE(F14:F19)</f>
        <v>13217</v>
      </c>
    </row>
    <row r="21" spans="1:6" thickBot="1" x14ac:dyDescent="0.35">
      <c r="A21" t="s">
        <v>89</v>
      </c>
      <c r="B21">
        <f>0.95*B20/SQRT(COUNT(B14:B18))</f>
        <v>1.5426588004719284</v>
      </c>
      <c r="E21" s="4" t="s">
        <v>15</v>
      </c>
      <c r="F21" s="5">
        <f>STDEV(F14:F19)</f>
        <v>486.6970310162165</v>
      </c>
    </row>
    <row r="22" spans="1:6" x14ac:dyDescent="0.25">
      <c r="E22" t="s">
        <v>89</v>
      </c>
      <c r="F22">
        <f>0.95*F21/SQRT(COUNT(F14:F19))</f>
        <v>188.7585693418977</v>
      </c>
    </row>
    <row r="23" spans="1:6" x14ac:dyDescent="0.25">
      <c r="E23" t="s">
        <v>29</v>
      </c>
      <c r="F23" s="15">
        <f>F20*'Methane Standard Curve'!B13+'Methane Standard Curve'!C13</f>
        <v>2.2841699247669878E-2</v>
      </c>
    </row>
    <row r="24" spans="1:6" x14ac:dyDescent="0.25">
      <c r="E24" t="s">
        <v>15</v>
      </c>
      <c r="F24">
        <f>F21*'Methane Standard Curve'!$B$13+'Methane Standard Curve'!$C$13</f>
        <v>1.8711017124568984E-3</v>
      </c>
    </row>
    <row r="25" spans="1:6" x14ac:dyDescent="0.25">
      <c r="A25" t="s">
        <v>33</v>
      </c>
      <c r="B25">
        <f>B19*F23</f>
        <v>5.634406132266605</v>
      </c>
      <c r="E25" t="s">
        <v>89</v>
      </c>
      <c r="F25">
        <f>F22*'Methane Standard Curve'!$B$13+'Methane Standard Curve'!$C$13</f>
        <v>1.3803083994261584E-3</v>
      </c>
    </row>
    <row r="26" spans="1:6" x14ac:dyDescent="0.25">
      <c r="A26" t="s">
        <v>34</v>
      </c>
      <c r="B26">
        <f>B25/22.4</f>
        <v>0.25153598804761629</v>
      </c>
    </row>
    <row r="27" spans="1:6" ht="15.75" thickBot="1" x14ac:dyDescent="0.3">
      <c r="A27" t="s">
        <v>35</v>
      </c>
      <c r="B27">
        <f>B26*60</f>
        <v>15.092159282856977</v>
      </c>
      <c r="C27" t="s">
        <v>44</v>
      </c>
      <c r="E27" t="s">
        <v>91</v>
      </c>
      <c r="F27">
        <f>F23*B19</f>
        <v>5.634406132266605</v>
      </c>
    </row>
    <row r="28" spans="1:6" ht="15.75" thickBot="1" x14ac:dyDescent="0.3">
      <c r="A28" t="s">
        <v>36</v>
      </c>
      <c r="B28" s="10">
        <f>B27/(B1*0.66)</f>
        <v>26.902244710975001</v>
      </c>
      <c r="C28">
        <f>B27/(B1*0.34)</f>
        <v>52.222004438951473</v>
      </c>
      <c r="E28" t="s">
        <v>92</v>
      </c>
      <c r="F28">
        <f>F27*SQRT((B21/B19)^2+(F25/F23)^2)</f>
        <v>0.34230183918155244</v>
      </c>
    </row>
    <row r="30" spans="1:6" x14ac:dyDescent="0.25">
      <c r="A30" t="s">
        <v>63</v>
      </c>
      <c r="B30">
        <f>B28*0.66/0.34</f>
        <v>52.222004438951473</v>
      </c>
      <c r="E30" s="16" t="s">
        <v>84</v>
      </c>
      <c r="F30">
        <f>F27*60/22.4/B1/'Neatened Compilation'!$B$18</f>
        <v>36.309778137512282</v>
      </c>
    </row>
    <row r="31" spans="1:6" x14ac:dyDescent="0.25">
      <c r="E31" t="s">
        <v>92</v>
      </c>
      <c r="F31">
        <f>F28*60/22.4/B1/'Neatened Compilation'!$B$18</f>
        <v>2.2058942051705963</v>
      </c>
    </row>
    <row r="32" spans="1:6" ht="15.75" thickBot="1" x14ac:dyDescent="0.3"/>
    <row r="33" spans="5:6" x14ac:dyDescent="0.25">
      <c r="E33" s="2" t="s">
        <v>94</v>
      </c>
      <c r="F33" s="3">
        <f>1000*E9/F30/LN(2)</f>
        <v>2.3341342382412682</v>
      </c>
    </row>
    <row r="34" spans="5:6" ht="15.75" thickBot="1" x14ac:dyDescent="0.3">
      <c r="E34" s="4" t="s">
        <v>92</v>
      </c>
      <c r="F34" s="5">
        <f>F33*SQRT((E11/E9)^2+(F31/F30)^2)</f>
        <v>0.14180348805016038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Neatened Compilation</vt:lpstr>
      <vt:lpstr>10_22</vt:lpstr>
      <vt:lpstr>10_27</vt:lpstr>
      <vt:lpstr>11_2</vt:lpstr>
      <vt:lpstr>11_12</vt:lpstr>
      <vt:lpstr>11_19</vt:lpstr>
      <vt:lpstr>12_01</vt:lpstr>
      <vt:lpstr>12_07</vt:lpstr>
      <vt:lpstr>12_11</vt:lpstr>
      <vt:lpstr>Methane Standard Curve</vt:lpstr>
      <vt:lpstr>Compilation</vt:lpstr>
      <vt:lpstr>12_01_Summary of Results</vt:lpstr>
      <vt:lpstr>11_5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cp:lastPrinted>2015-12-01T19:29:33Z</cp:lastPrinted>
  <dcterms:created xsi:type="dcterms:W3CDTF">2015-10-26T23:35:27Z</dcterms:created>
  <dcterms:modified xsi:type="dcterms:W3CDTF">2015-12-15T23:23:10Z</dcterms:modified>
</cp:coreProperties>
</file>