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4340" windowHeight="5835" firstSheet="1" activeTab="6"/>
  </bookViews>
  <sheets>
    <sheet name="10_22" sheetId="1" r:id="rId1"/>
    <sheet name="10_27" sheetId="2" r:id="rId2"/>
    <sheet name="11_2" sheetId="3" r:id="rId3"/>
    <sheet name="11_5" sheetId="4" r:id="rId4"/>
    <sheet name="11_12" sheetId="5" r:id="rId5"/>
    <sheet name="11_19" sheetId="7" r:id="rId6"/>
    <sheet name="Methane Standard Curve" sheetId="6" r:id="rId7"/>
    <sheet name="Compilation" sheetId="8" r:id="rId8"/>
  </sheets>
  <calcPr calcId="145621"/>
</workbook>
</file>

<file path=xl/calcChain.xml><?xml version="1.0" encoding="utf-8"?>
<calcChain xmlns="http://schemas.openxmlformats.org/spreadsheetml/2006/main">
  <c r="G31" i="2" l="1"/>
  <c r="G31" i="3"/>
  <c r="G31" i="4"/>
  <c r="G31" i="5"/>
  <c r="G31" i="7"/>
  <c r="E32" i="7"/>
  <c r="E36" i="7"/>
  <c r="E35" i="7"/>
  <c r="F31" i="7"/>
  <c r="F31" i="5"/>
  <c r="F31" i="4"/>
  <c r="F31" i="3"/>
  <c r="F31" i="2"/>
  <c r="D31" i="3"/>
  <c r="B31" i="3"/>
  <c r="F7" i="2"/>
  <c r="F8" i="3"/>
  <c r="F7" i="4"/>
  <c r="E7" i="5"/>
  <c r="F7" i="5" s="1"/>
  <c r="B31" i="2"/>
  <c r="C31" i="2" s="1"/>
  <c r="D31" i="2" s="1"/>
  <c r="E31" i="2" s="1"/>
  <c r="C31" i="3"/>
  <c r="C31" i="4"/>
  <c r="D31" i="4" s="1"/>
  <c r="E31" i="4" s="1"/>
  <c r="B31" i="4"/>
  <c r="B31" i="5"/>
  <c r="C31" i="5" s="1"/>
  <c r="E31" i="7"/>
  <c r="D31" i="7"/>
  <c r="F7" i="7"/>
  <c r="C31" i="7"/>
  <c r="B31" i="7"/>
  <c r="C59" i="8"/>
  <c r="D59" i="8" s="1"/>
  <c r="C60" i="8"/>
  <c r="D60" i="8"/>
  <c r="C61" i="8"/>
  <c r="D61" i="8" s="1"/>
  <c r="C62" i="8"/>
  <c r="D62" i="8"/>
  <c r="C63" i="8"/>
  <c r="D63" i="8" s="1"/>
  <c r="C64" i="8"/>
  <c r="D64" i="8"/>
  <c r="C65" i="8"/>
  <c r="D65" i="8" s="1"/>
  <c r="C66" i="8"/>
  <c r="D66" i="8"/>
  <c r="C67" i="8"/>
  <c r="D67" i="8" s="1"/>
  <c r="C68" i="8"/>
  <c r="D68" i="8"/>
  <c r="C69" i="8"/>
  <c r="D69" i="8" s="1"/>
  <c r="C70" i="8"/>
  <c r="D70" i="8"/>
  <c r="C71" i="8"/>
  <c r="D71" i="8" s="1"/>
  <c r="C72" i="8"/>
  <c r="D72" i="8"/>
  <c r="C73" i="8"/>
  <c r="D73" i="8" s="1"/>
  <c r="C74" i="8"/>
  <c r="D74" i="8"/>
  <c r="C35" i="8"/>
  <c r="D35" i="8"/>
  <c r="C36" i="8"/>
  <c r="D36" i="8" s="1"/>
  <c r="C37" i="8"/>
  <c r="D37" i="8"/>
  <c r="C38" i="8"/>
  <c r="D38" i="8" s="1"/>
  <c r="C39" i="8"/>
  <c r="D39" i="8"/>
  <c r="C40" i="8"/>
  <c r="D40" i="8" s="1"/>
  <c r="C41" i="8"/>
  <c r="D41" i="8"/>
  <c r="C42" i="8"/>
  <c r="D42" i="8" s="1"/>
  <c r="C43" i="8"/>
  <c r="D43" i="8"/>
  <c r="C44" i="8"/>
  <c r="D44" i="8" s="1"/>
  <c r="C45" i="8"/>
  <c r="D45" i="8"/>
  <c r="C46" i="8"/>
  <c r="D46" i="8" s="1"/>
  <c r="C47" i="8"/>
  <c r="D47" i="8"/>
  <c r="C48" i="8"/>
  <c r="D48" i="8" s="1"/>
  <c r="C49" i="8"/>
  <c r="D49" i="8"/>
  <c r="C50" i="8"/>
  <c r="D50" i="8" s="1"/>
  <c r="C51" i="8"/>
  <c r="D51" i="8"/>
  <c r="C52" i="8"/>
  <c r="D52" i="8" s="1"/>
  <c r="C53" i="8"/>
  <c r="D53" i="8"/>
  <c r="C54" i="8"/>
  <c r="D54" i="8" s="1"/>
  <c r="C55" i="8"/>
  <c r="D55" i="8"/>
  <c r="C56" i="8"/>
  <c r="D56" i="8" s="1"/>
  <c r="C57" i="8"/>
  <c r="D57" i="8"/>
  <c r="C58" i="8"/>
  <c r="D58" i="8" s="1"/>
  <c r="C27" i="8"/>
  <c r="D27" i="8"/>
  <c r="C28" i="8"/>
  <c r="D28" i="8" s="1"/>
  <c r="C29" i="8"/>
  <c r="D29" i="8"/>
  <c r="C30" i="8"/>
  <c r="D30" i="8" s="1"/>
  <c r="C31" i="8"/>
  <c r="D31" i="8"/>
  <c r="C32" i="8"/>
  <c r="D32" i="8" s="1"/>
  <c r="C33" i="8"/>
  <c r="D33" i="8"/>
  <c r="C34" i="8"/>
  <c r="D34" i="8" s="1"/>
  <c r="C17" i="8"/>
  <c r="D17" i="8"/>
  <c r="C18" i="8"/>
  <c r="D18" i="8" s="1"/>
  <c r="C19" i="8"/>
  <c r="D19" i="8"/>
  <c r="C20" i="8"/>
  <c r="D20" i="8" s="1"/>
  <c r="C21" i="8"/>
  <c r="D21" i="8"/>
  <c r="C22" i="8"/>
  <c r="D22" i="8" s="1"/>
  <c r="C23" i="8"/>
  <c r="D23" i="8"/>
  <c r="C24" i="8"/>
  <c r="D24" i="8" s="1"/>
  <c r="C25" i="8"/>
  <c r="D25" i="8"/>
  <c r="C26" i="8"/>
  <c r="D26" i="8" s="1"/>
  <c r="D16" i="8"/>
  <c r="D15" i="8"/>
  <c r="C16" i="8"/>
  <c r="C15" i="8"/>
  <c r="E44" i="8"/>
  <c r="C26" i="7"/>
  <c r="D4" i="8"/>
  <c r="D6" i="8"/>
  <c r="D5" i="8"/>
  <c r="D3" i="8"/>
  <c r="D2" i="8"/>
  <c r="B26" i="1"/>
  <c r="B26" i="2"/>
  <c r="B27" i="3"/>
  <c r="B26" i="4"/>
  <c r="B26" i="5"/>
  <c r="B26" i="7"/>
  <c r="E31" i="3" l="1"/>
  <c r="D31" i="5"/>
  <c r="E31" i="5" s="1"/>
  <c r="A5" i="7" l="1"/>
  <c r="F19" i="7"/>
  <c r="F18" i="7"/>
  <c r="F21" i="7" s="1"/>
  <c r="B16" i="7"/>
  <c r="B15" i="7"/>
  <c r="B14" i="7"/>
  <c r="B13" i="7"/>
  <c r="B12" i="7"/>
  <c r="C6" i="7"/>
  <c r="D6" i="7" s="1"/>
  <c r="E6" i="7" s="1"/>
  <c r="C5" i="7"/>
  <c r="D5" i="7" s="1"/>
  <c r="E5" i="7" s="1"/>
  <c r="C4" i="7"/>
  <c r="D4" i="7" s="1"/>
  <c r="E4" i="7" s="1"/>
  <c r="B18" i="7" l="1"/>
  <c r="E8" i="7"/>
  <c r="E7" i="7"/>
  <c r="B17" i="7"/>
  <c r="B23" i="7" s="1"/>
  <c r="B24" i="7" s="1"/>
  <c r="B25" i="7" s="1"/>
  <c r="F21" i="5"/>
  <c r="B23" i="5" s="1"/>
  <c r="B24" i="5" s="1"/>
  <c r="B25" i="5" s="1"/>
  <c r="F21" i="4"/>
  <c r="B23" i="4" s="1"/>
  <c r="B24" i="4" s="1"/>
  <c r="B25" i="4" s="1"/>
  <c r="F22" i="3"/>
  <c r="B24" i="3"/>
  <c r="B25" i="3" s="1"/>
  <c r="B26" i="3" s="1"/>
  <c r="F21" i="2"/>
  <c r="B23" i="2" s="1"/>
  <c r="B24" i="2" s="1"/>
  <c r="B25" i="2" s="1"/>
  <c r="B25" i="1"/>
  <c r="B24" i="1"/>
  <c r="B23" i="1"/>
  <c r="F21" i="1"/>
  <c r="C14" i="6"/>
  <c r="C13" i="6"/>
  <c r="B14" i="6"/>
  <c r="B13" i="6"/>
  <c r="A9" i="6"/>
  <c r="F3" i="6"/>
  <c r="F4" i="6"/>
  <c r="F5" i="6"/>
  <c r="F6" i="6"/>
  <c r="F7" i="6"/>
  <c r="F8" i="6"/>
  <c r="F9" i="6"/>
  <c r="F2" i="6"/>
  <c r="E3" i="6"/>
  <c r="E4" i="6"/>
  <c r="E5" i="6"/>
  <c r="E6" i="6"/>
  <c r="E7" i="6"/>
  <c r="E8" i="6"/>
  <c r="E9" i="6"/>
  <c r="E2" i="6"/>
  <c r="A8" i="6"/>
  <c r="A7" i="6"/>
  <c r="A6" i="6"/>
  <c r="A5" i="6"/>
  <c r="A4" i="6"/>
  <c r="A3" i="6"/>
  <c r="A2" i="6"/>
  <c r="A6" i="4" l="1"/>
  <c r="A5" i="4"/>
  <c r="A4" i="4"/>
  <c r="F19" i="5"/>
  <c r="F18" i="5"/>
  <c r="B16" i="5"/>
  <c r="B15" i="5"/>
  <c r="B14" i="5"/>
  <c r="B13" i="5"/>
  <c r="B12" i="5"/>
  <c r="B18" i="5" s="1"/>
  <c r="C4" i="5"/>
  <c r="D4" i="5" s="1"/>
  <c r="E4" i="5" s="1"/>
  <c r="E8" i="5" l="1"/>
  <c r="B17" i="5"/>
  <c r="F19" i="4"/>
  <c r="F18" i="4"/>
  <c r="B16" i="4"/>
  <c r="B15" i="4"/>
  <c r="B14" i="4"/>
  <c r="B13" i="4"/>
  <c r="B12" i="4"/>
  <c r="C6" i="4"/>
  <c r="D6" i="4" s="1"/>
  <c r="E6" i="4" s="1"/>
  <c r="C5" i="4"/>
  <c r="D5" i="4" s="1"/>
  <c r="E5" i="4" s="1"/>
  <c r="C4" i="4"/>
  <c r="D4" i="4" s="1"/>
  <c r="E4" i="4" s="1"/>
  <c r="E8" i="2"/>
  <c r="E7" i="2"/>
  <c r="E9" i="3"/>
  <c r="E8" i="3"/>
  <c r="C7" i="3"/>
  <c r="D7" i="3" s="1"/>
  <c r="E7" i="3" s="1"/>
  <c r="A6" i="3"/>
  <c r="A5" i="3"/>
  <c r="A4" i="3"/>
  <c r="F20" i="3"/>
  <c r="F19" i="3"/>
  <c r="B17" i="3"/>
  <c r="B16" i="3"/>
  <c r="B15" i="3"/>
  <c r="B14" i="3"/>
  <c r="B13" i="3"/>
  <c r="C6" i="3"/>
  <c r="C5" i="3"/>
  <c r="D5" i="3" s="1"/>
  <c r="E5" i="3" s="1"/>
  <c r="C4" i="3"/>
  <c r="D4" i="3"/>
  <c r="E4" i="3" s="1"/>
  <c r="B18" i="4" l="1"/>
  <c r="E8" i="4"/>
  <c r="E7" i="4"/>
  <c r="B17" i="4"/>
  <c r="D6" i="3"/>
  <c r="E6" i="3" s="1"/>
  <c r="B19" i="3"/>
  <c r="B18" i="3"/>
  <c r="F19" i="2"/>
  <c r="F18" i="2"/>
  <c r="A5" i="2"/>
  <c r="A4" i="2"/>
  <c r="C4" i="2"/>
  <c r="B16" i="2"/>
  <c r="B15" i="2"/>
  <c r="B14" i="2"/>
  <c r="B13" i="2"/>
  <c r="B12" i="2"/>
  <c r="C6" i="2"/>
  <c r="D6" i="2" s="1"/>
  <c r="E6" i="2" s="1"/>
  <c r="C5" i="2"/>
  <c r="E8" i="1"/>
  <c r="F19" i="1"/>
  <c r="F18" i="1"/>
  <c r="B18" i="1"/>
  <c r="B17" i="1"/>
  <c r="B13" i="1"/>
  <c r="B14" i="1"/>
  <c r="B15" i="1"/>
  <c r="B16" i="1"/>
  <c r="B12" i="1"/>
  <c r="B18" i="2" l="1"/>
  <c r="D5" i="2"/>
  <c r="E5" i="2" s="1"/>
  <c r="D4" i="2"/>
  <c r="E4" i="2" s="1"/>
  <c r="B17" i="2"/>
  <c r="E7" i="1"/>
  <c r="E5" i="1"/>
  <c r="E6" i="1"/>
  <c r="E4" i="1"/>
  <c r="D5" i="1"/>
  <c r="D6" i="1"/>
  <c r="D4" i="1"/>
  <c r="C5" i="1"/>
  <c r="C6" i="1"/>
  <c r="C4" i="1"/>
  <c r="A6" i="1"/>
  <c r="A5" i="1"/>
  <c r="A4" i="1"/>
</calcChain>
</file>

<file path=xl/sharedStrings.xml><?xml version="1.0" encoding="utf-8"?>
<sst xmlns="http://schemas.openxmlformats.org/spreadsheetml/2006/main" count="206" uniqueCount="56">
  <si>
    <t>Liters</t>
  </si>
  <si>
    <t>Time (h)</t>
  </si>
  <si>
    <t>Distance (cm)</t>
  </si>
  <si>
    <t>h/L</t>
  </si>
  <si>
    <t>Dilution Rate (-h)</t>
  </si>
  <si>
    <t>Average:</t>
  </si>
  <si>
    <t xml:space="preserve">*These values are for non-steady state. </t>
  </si>
  <si>
    <t>Dilution Rate</t>
  </si>
  <si>
    <t>Bubble Flow Measurements</t>
  </si>
  <si>
    <t>50 mL Time (s)</t>
  </si>
  <si>
    <t>Flow (mL/min)</t>
  </si>
  <si>
    <t>GC Measurements</t>
  </si>
  <si>
    <t>Peak Area</t>
  </si>
  <si>
    <t>AVERAGE:</t>
  </si>
  <si>
    <t>Standard Dev.</t>
  </si>
  <si>
    <t>St Dev:</t>
  </si>
  <si>
    <t>*</t>
  </si>
  <si>
    <t xml:space="preserve">St Dev: </t>
  </si>
  <si>
    <t xml:space="preserve">OD: </t>
  </si>
  <si>
    <t>Methane %</t>
  </si>
  <si>
    <t>Area 1</t>
  </si>
  <si>
    <t>Area 2</t>
  </si>
  <si>
    <t>Area 3</t>
  </si>
  <si>
    <t>Average</t>
  </si>
  <si>
    <t>Stdev</t>
  </si>
  <si>
    <t>Slope</t>
  </si>
  <si>
    <t>Y-intercept</t>
  </si>
  <si>
    <t>w/o 100%</t>
  </si>
  <si>
    <t>W/ 100%</t>
  </si>
  <si>
    <t xml:space="preserve">% Methane: </t>
  </si>
  <si>
    <t>Methane Amount (mL/min):</t>
  </si>
  <si>
    <t>Methane Amount (mmol/min):</t>
  </si>
  <si>
    <t>Methane Amount (mmol/h)</t>
  </si>
  <si>
    <t>Methane Amount (mL/(1 L) min):</t>
  </si>
  <si>
    <t>Methane Amount (mmol/(1 L) min):</t>
  </si>
  <si>
    <t>Methane Amount (mmol/(1 L) h)</t>
  </si>
  <si>
    <t>Methane Amount (mmol/(gDCW)h</t>
  </si>
  <si>
    <t>Date</t>
  </si>
  <si>
    <t>Growth Rate</t>
  </si>
  <si>
    <t>Concerns/Notes/Comments</t>
  </si>
  <si>
    <t>MER</t>
  </si>
  <si>
    <t>Very soon after previous; I think this may not have reached steady state</t>
  </si>
  <si>
    <t>Only one growth point, but rate matches previous w/o change in rate I think</t>
  </si>
  <si>
    <t>Yield</t>
  </si>
  <si>
    <t>Kyle's Way</t>
  </si>
  <si>
    <t>Yield (kyle's way)</t>
  </si>
  <si>
    <t>OD660/CH4</t>
  </si>
  <si>
    <t>x 0.34</t>
  </si>
  <si>
    <t>Div. by t1/2</t>
  </si>
  <si>
    <t>t 1/2</t>
  </si>
  <si>
    <t>Mult by 22400</t>
  </si>
  <si>
    <t>My yield his way</t>
  </si>
  <si>
    <t>ln(2)</t>
  </si>
  <si>
    <t>my adj. yield</t>
  </si>
  <si>
    <t>adj by ln(2)</t>
  </si>
  <si>
    <t>His yield w/my #s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</si>
</sst>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ont="1"/>
    <xf numFmtId="9" fontId="0" fillId="0" borderId="0" xfId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16" fontId="0" fillId="0" borderId="0" xfId="0" applyNumberFormat="1"/>
    <xf numFmtId="16" fontId="0" fillId="2" borderId="0" xfId="0" applyNumberFormat="1" applyFill="1"/>
    <xf numFmtId="0" fontId="0" fillId="2" borderId="0" xfId="0" applyFill="1"/>
    <xf numFmtId="0" fontId="0" fillId="0" borderId="0" xfId="0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'Methane Standard Curve'!$E$1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5242782152230968E-3"/>
                  <c:y val="-0.16702573636628754"/>
                </c:manualLayout>
              </c:layout>
              <c:numFmt formatCode="General" sourceLinked="0"/>
            </c:trendlineLbl>
          </c:trendline>
          <c:xVal>
            <c:numRef>
              <c:f>'Methane Standard Curve'!$E$2:$E$8</c:f>
              <c:numCache>
                <c:formatCode>General</c:formatCode>
                <c:ptCount val="7"/>
                <c:pt idx="0">
                  <c:v>5.0433333333333339</c:v>
                </c:pt>
                <c:pt idx="1">
                  <c:v>605.20000000000005</c:v>
                </c:pt>
                <c:pt idx="2">
                  <c:v>1502.5333333333335</c:v>
                </c:pt>
                <c:pt idx="3">
                  <c:v>2821.9333333333329</c:v>
                </c:pt>
                <c:pt idx="4">
                  <c:v>4092.2000000000003</c:v>
                </c:pt>
                <c:pt idx="5">
                  <c:v>5239.7333333333327</c:v>
                </c:pt>
                <c:pt idx="6">
                  <c:v>23749</c:v>
                </c:pt>
              </c:numCache>
            </c:numRef>
          </c:xVal>
          <c:yVal>
            <c:numRef>
              <c:f>'Methane Standard Curve'!$A$2:$A$8</c:f>
              <c:numCache>
                <c:formatCode>0%</c:formatCode>
                <c:ptCount val="7"/>
                <c:pt idx="0">
                  <c:v>0</c:v>
                </c:pt>
                <c:pt idx="1">
                  <c:v>1.996007984031936E-3</c:v>
                </c:pt>
                <c:pt idx="2">
                  <c:v>3.9840637450199202E-3</c:v>
                </c:pt>
                <c:pt idx="3">
                  <c:v>6.0347887823926161E-3</c:v>
                </c:pt>
                <c:pt idx="4">
                  <c:v>8.0068022390703611E-3</c:v>
                </c:pt>
                <c:pt idx="5">
                  <c:v>1.0076012020505568E-2</c:v>
                </c:pt>
                <c:pt idx="6">
                  <c:v>4.0010971303185108E-2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68512"/>
        <c:axId val="98378496"/>
      </c:scatterChart>
      <c:valAx>
        <c:axId val="9836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378496"/>
        <c:crosses val="autoZero"/>
        <c:crossBetween val="midCat"/>
      </c:valAx>
      <c:valAx>
        <c:axId val="98378496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8368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Compilation!$B$8:$B$11</c:f>
              <c:numCache>
                <c:formatCode>General</c:formatCode>
                <c:ptCount val="4"/>
                <c:pt idx="0">
                  <c:v>9.0243491953218014E-2</c:v>
                </c:pt>
                <c:pt idx="1">
                  <c:v>8.9214109445657191E-2</c:v>
                </c:pt>
                <c:pt idx="2">
                  <c:v>4.6534363085345594E-2</c:v>
                </c:pt>
                <c:pt idx="3">
                  <c:v>7.0487379671178976E-2</c:v>
                </c:pt>
              </c:numCache>
            </c:numRef>
          </c:xVal>
          <c:yVal>
            <c:numRef>
              <c:f>Compilation!$C$8:$C$11</c:f>
              <c:numCache>
                <c:formatCode>General</c:formatCode>
                <c:ptCount val="4"/>
                <c:pt idx="0">
                  <c:v>35.815665436444306</c:v>
                </c:pt>
                <c:pt idx="1">
                  <c:v>32.678400542591753</c:v>
                </c:pt>
                <c:pt idx="2">
                  <c:v>21.038398536538562</c:v>
                </c:pt>
                <c:pt idx="3">
                  <c:v>30.475688694632385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11264"/>
        <c:axId val="104012800"/>
      </c:scatterChart>
      <c:valAx>
        <c:axId val="10401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012800"/>
        <c:crosses val="autoZero"/>
        <c:crossBetween val="midCat"/>
      </c:valAx>
      <c:valAx>
        <c:axId val="10401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011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1</xdr:row>
      <xdr:rowOff>95250</xdr:rowOff>
    </xdr:from>
    <xdr:to>
      <xdr:col>14</xdr:col>
      <xdr:colOff>22860</xdr:colOff>
      <xdr:row>16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933450</xdr:colOff>
      <xdr:row>23</xdr:row>
      <xdr:rowOff>33337</xdr:rowOff>
    </xdr:from>
    <xdr:to>
      <xdr:col>11</xdr:col>
      <xdr:colOff>95250</xdr:colOff>
      <xdr:row>37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47" sqref="E47"/>
    </sheetView>
  </sheetViews>
  <sheetFormatPr defaultRowHeight="15" x14ac:dyDescent="0.25"/>
  <cols>
    <col min="1" max="1" width="28.42578125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7" ht="14.45" x14ac:dyDescent="0.3">
      <c r="A1" t="s">
        <v>18</v>
      </c>
      <c r="B1">
        <v>0.626</v>
      </c>
    </row>
    <row r="2" spans="1:7" ht="14.45" x14ac:dyDescent="0.3">
      <c r="A2" t="s">
        <v>7</v>
      </c>
    </row>
    <row r="3" spans="1:7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7" ht="14.45" x14ac:dyDescent="0.3">
      <c r="A4" s="1">
        <f>26+20/60</f>
        <v>26.333333333333332</v>
      </c>
      <c r="B4" s="1">
        <v>5.25</v>
      </c>
      <c r="C4" s="1">
        <f>B4/2.65</f>
        <v>1.9811320754716981</v>
      </c>
      <c r="D4" s="1">
        <f>A4/C4</f>
        <v>13.292063492063491</v>
      </c>
      <c r="E4" s="1">
        <f>1/D4</f>
        <v>7.5232863625507532E-2</v>
      </c>
      <c r="F4" t="s">
        <v>16</v>
      </c>
      <c r="G4" t="s">
        <v>6</v>
      </c>
    </row>
    <row r="5" spans="1:7" ht="14.45" x14ac:dyDescent="0.3">
      <c r="A5">
        <f>22+1/12</f>
        <v>22.083333333333332</v>
      </c>
      <c r="B5">
        <v>4.7</v>
      </c>
      <c r="C5">
        <f t="shared" ref="C5:C6" si="0">B5/2.65</f>
        <v>1.7735849056603774</v>
      </c>
      <c r="D5">
        <f t="shared" ref="D5:D6" si="1">A5/C5</f>
        <v>12.451241134751772</v>
      </c>
      <c r="E5">
        <f t="shared" ref="E5:E6" si="2">1/D5</f>
        <v>8.0313278746885014E-2</v>
      </c>
    </row>
    <row r="6" spans="1:7" thickBot="1" x14ac:dyDescent="0.35">
      <c r="A6">
        <f>25+10/60</f>
        <v>25.166666666666668</v>
      </c>
      <c r="B6">
        <v>5.5</v>
      </c>
      <c r="C6">
        <f t="shared" si="0"/>
        <v>2.0754716981132075</v>
      </c>
      <c r="D6">
        <f t="shared" si="1"/>
        <v>12.125757575757577</v>
      </c>
      <c r="E6">
        <f t="shared" si="2"/>
        <v>8.2469074097213532E-2</v>
      </c>
    </row>
    <row r="7" spans="1:7" ht="14.45" x14ac:dyDescent="0.3">
      <c r="D7" s="2" t="s">
        <v>5</v>
      </c>
      <c r="E7" s="3">
        <f>AVERAGE(E5:E6)</f>
        <v>8.1391176422049266E-2</v>
      </c>
    </row>
    <row r="8" spans="1:7" thickBot="1" x14ac:dyDescent="0.35">
      <c r="D8" s="4" t="s">
        <v>17</v>
      </c>
      <c r="E8" s="5">
        <f>STDEV(E5:E6)</f>
        <v>1.5243775110677241E-3</v>
      </c>
    </row>
    <row r="10" spans="1:7" ht="14.45" x14ac:dyDescent="0.3">
      <c r="A10" t="s">
        <v>8</v>
      </c>
      <c r="F10" t="s">
        <v>11</v>
      </c>
    </row>
    <row r="11" spans="1:7" ht="14.45" x14ac:dyDescent="0.3">
      <c r="A11" t="s">
        <v>9</v>
      </c>
      <c r="B11" t="s">
        <v>10</v>
      </c>
      <c r="F11" t="s">
        <v>12</v>
      </c>
    </row>
    <row r="12" spans="1:7" ht="14.45" x14ac:dyDescent="0.3">
      <c r="A12">
        <v>12.84</v>
      </c>
      <c r="B12">
        <f>50/A12*60</f>
        <v>233.64485981308411</v>
      </c>
      <c r="F12">
        <v>14540</v>
      </c>
    </row>
    <row r="13" spans="1:7" ht="14.45" x14ac:dyDescent="0.3">
      <c r="A13">
        <v>12.7</v>
      </c>
      <c r="B13">
        <f t="shared" ref="B13:B16" si="3">50/A13*60</f>
        <v>236.22047244094489</v>
      </c>
      <c r="F13">
        <v>14297</v>
      </c>
    </row>
    <row r="14" spans="1:7" ht="14.45" x14ac:dyDescent="0.3">
      <c r="A14">
        <v>12.55</v>
      </c>
      <c r="B14">
        <f t="shared" si="3"/>
        <v>239.04382470119521</v>
      </c>
      <c r="F14">
        <v>14693</v>
      </c>
    </row>
    <row r="15" spans="1:7" ht="14.45" x14ac:dyDescent="0.3">
      <c r="A15">
        <v>12.36</v>
      </c>
      <c r="B15">
        <f t="shared" si="3"/>
        <v>242.71844660194179</v>
      </c>
    </row>
    <row r="16" spans="1:7" thickBot="1" x14ac:dyDescent="0.35">
      <c r="A16">
        <v>12.93</v>
      </c>
      <c r="B16">
        <f t="shared" si="3"/>
        <v>232.01856148491879</v>
      </c>
    </row>
    <row r="17" spans="1:6" thickBot="1" x14ac:dyDescent="0.35">
      <c r="A17" s="2" t="s">
        <v>13</v>
      </c>
      <c r="B17" s="3">
        <f>AVERAGE(B12:B16)</f>
        <v>236.72923300841694</v>
      </c>
    </row>
    <row r="18" spans="1:6" thickBot="1" x14ac:dyDescent="0.35">
      <c r="A18" s="4" t="s">
        <v>14</v>
      </c>
      <c r="B18" s="5">
        <f>STDEV(B12:B16)</f>
        <v>4.2775762909192965</v>
      </c>
      <c r="E18" s="2" t="s">
        <v>13</v>
      </c>
      <c r="F18" s="3">
        <f>AVERAGE(F12:F14)</f>
        <v>14510</v>
      </c>
    </row>
    <row r="19" spans="1:6" thickBot="1" x14ac:dyDescent="0.35">
      <c r="E19" s="4" t="s">
        <v>15</v>
      </c>
      <c r="F19" s="5">
        <f>STDEV(F12:F14)</f>
        <v>199.69727088771143</v>
      </c>
    </row>
    <row r="21" spans="1:6" ht="14.45" x14ac:dyDescent="0.3">
      <c r="E21" t="s">
        <v>29</v>
      </c>
      <c r="F21" s="7">
        <f>F18*'Methane Standard Curve'!B13+'Methane Standard Curve'!C13</f>
        <v>2.4971655045194385E-2</v>
      </c>
    </row>
    <row r="23" spans="1:6" ht="14.45" x14ac:dyDescent="0.3">
      <c r="A23" t="s">
        <v>30</v>
      </c>
      <c r="B23">
        <f>B17*F21</f>
        <v>5.9115207457996322</v>
      </c>
    </row>
    <row r="24" spans="1:6" ht="14.45" x14ac:dyDescent="0.3">
      <c r="A24" t="s">
        <v>31</v>
      </c>
      <c r="B24">
        <f>B23/22.4</f>
        <v>0.26390717615176928</v>
      </c>
    </row>
    <row r="25" spans="1:6" ht="15.75" thickBot="1" x14ac:dyDescent="0.3">
      <c r="A25" t="s">
        <v>32</v>
      </c>
      <c r="B25">
        <f>B24*60</f>
        <v>15.834430569106157</v>
      </c>
    </row>
    <row r="26" spans="1:6" ht="15.75" thickBot="1" x14ac:dyDescent="0.3">
      <c r="A26" t="s">
        <v>36</v>
      </c>
      <c r="B26" s="10">
        <f>B25/(B1*0.66)</f>
        <v>38.325178064445147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H23" sqref="H23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0.67200000000000004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f>25+55/60</f>
        <v>25.916666666666668</v>
      </c>
      <c r="B4" s="6">
        <v>6</v>
      </c>
      <c r="C4" s="6">
        <f>B4/2.65</f>
        <v>2.2641509433962264</v>
      </c>
      <c r="D4" s="6">
        <f>A4/C4</f>
        <v>11.446527777777778</v>
      </c>
      <c r="E4" s="6">
        <f>1/D4</f>
        <v>8.7362737365770798E-2</v>
      </c>
      <c r="F4" t="s">
        <v>16</v>
      </c>
    </row>
    <row r="5" spans="1:6" ht="14.45" x14ac:dyDescent="0.3">
      <c r="A5">
        <f>23+23/60</f>
        <v>23.383333333333333</v>
      </c>
      <c r="B5">
        <v>6.15</v>
      </c>
      <c r="C5">
        <f t="shared" ref="C5:C6" si="0">B5/2.65</f>
        <v>2.3207547169811322</v>
      </c>
      <c r="D5">
        <f t="shared" ref="D5:D6" si="1">A5/C5</f>
        <v>10.075745257452574</v>
      </c>
      <c r="E5">
        <f t="shared" ref="E5:E6" si="2">1/D5</f>
        <v>9.9248241638537363E-2</v>
      </c>
    </row>
    <row r="6" spans="1:6" thickBot="1" x14ac:dyDescent="0.35">
      <c r="A6">
        <v>24</v>
      </c>
      <c r="B6">
        <v>5.35</v>
      </c>
      <c r="C6">
        <f t="shared" si="0"/>
        <v>2.0188679245283017</v>
      </c>
      <c r="D6">
        <f t="shared" si="1"/>
        <v>11.887850467289722</v>
      </c>
      <c r="E6">
        <f t="shared" si="2"/>
        <v>8.4119496855345893E-2</v>
      </c>
      <c r="F6" t="s">
        <v>49</v>
      </c>
    </row>
    <row r="7" spans="1:6" ht="14.45" x14ac:dyDescent="0.3">
      <c r="D7" s="2" t="s">
        <v>5</v>
      </c>
      <c r="E7" s="3">
        <f>AVERAGE(E4:E6)</f>
        <v>9.0243491953218014E-2</v>
      </c>
      <c r="F7">
        <f>60*LN(2)/E7</f>
        <v>460.85130277489986</v>
      </c>
    </row>
    <row r="8" spans="1:6" thickBot="1" x14ac:dyDescent="0.35">
      <c r="D8" s="4" t="s">
        <v>17</v>
      </c>
      <c r="E8" s="5">
        <f>STDEV(E4:E6)</f>
        <v>7.96516101052323E-3</v>
      </c>
    </row>
    <row r="10" spans="1:6" ht="14.45" x14ac:dyDescent="0.3">
      <c r="A10" t="s">
        <v>8</v>
      </c>
      <c r="F10" t="s">
        <v>11</v>
      </c>
    </row>
    <row r="11" spans="1:6" ht="14.45" x14ac:dyDescent="0.3">
      <c r="A11" t="s">
        <v>9</v>
      </c>
      <c r="B11" t="s">
        <v>10</v>
      </c>
      <c r="F11" t="s">
        <v>12</v>
      </c>
    </row>
    <row r="12" spans="1:6" ht="14.45" x14ac:dyDescent="0.3">
      <c r="A12">
        <v>12.25</v>
      </c>
      <c r="B12">
        <f>50/A12*60</f>
        <v>244.89795918367346</v>
      </c>
      <c r="F12">
        <v>14371</v>
      </c>
    </row>
    <row r="13" spans="1:6" ht="14.45" x14ac:dyDescent="0.3">
      <c r="A13">
        <v>11.74</v>
      </c>
      <c r="B13">
        <f t="shared" ref="B13:B16" si="3">50/A13*60</f>
        <v>255.53662691652471</v>
      </c>
      <c r="F13">
        <v>14899</v>
      </c>
    </row>
    <row r="14" spans="1:6" ht="14.45" x14ac:dyDescent="0.3">
      <c r="A14">
        <v>12.08</v>
      </c>
      <c r="B14">
        <f t="shared" si="3"/>
        <v>248.34437086092714</v>
      </c>
      <c r="F14">
        <v>11940</v>
      </c>
    </row>
    <row r="15" spans="1:6" ht="14.45" x14ac:dyDescent="0.3">
      <c r="A15">
        <v>12.4</v>
      </c>
      <c r="B15">
        <f t="shared" si="3"/>
        <v>241.93548387096774</v>
      </c>
      <c r="F15">
        <v>13665</v>
      </c>
    </row>
    <row r="16" spans="1:6" thickBot="1" x14ac:dyDescent="0.35">
      <c r="A16">
        <v>11.83</v>
      </c>
      <c r="B16">
        <f t="shared" si="3"/>
        <v>253.59256128486896</v>
      </c>
      <c r="F16">
        <v>14210</v>
      </c>
    </row>
    <row r="17" spans="1:7" thickBot="1" x14ac:dyDescent="0.35">
      <c r="A17" s="2" t="s">
        <v>13</v>
      </c>
      <c r="B17" s="3">
        <f>AVERAGE(B12:B16)</f>
        <v>248.86140042339238</v>
      </c>
    </row>
    <row r="18" spans="1:7" thickBot="1" x14ac:dyDescent="0.35">
      <c r="A18" s="4" t="s">
        <v>14</v>
      </c>
      <c r="B18" s="5">
        <f>STDEV(B12:B16)</f>
        <v>5.7202936540028428</v>
      </c>
      <c r="E18" s="2" t="s">
        <v>13</v>
      </c>
      <c r="F18" s="3">
        <f>AVERAGE(F12:F16)</f>
        <v>13817</v>
      </c>
    </row>
    <row r="19" spans="1:7" thickBot="1" x14ac:dyDescent="0.35">
      <c r="E19" s="4" t="s">
        <v>15</v>
      </c>
      <c r="F19" s="5">
        <f>STDEV(F12:F16)</f>
        <v>1137.7963350266164</v>
      </c>
    </row>
    <row r="21" spans="1:7" ht="14.45" x14ac:dyDescent="0.3">
      <c r="E21" t="s">
        <v>29</v>
      </c>
      <c r="F21" s="15">
        <f>F18*'Methane Standard Curve'!B13+'Methane Standard Curve'!C13</f>
        <v>2.3830077808006077E-2</v>
      </c>
    </row>
    <row r="23" spans="1:7" ht="14.45" x14ac:dyDescent="0.3">
      <c r="A23" t="s">
        <v>30</v>
      </c>
      <c r="B23">
        <f>B17*F21</f>
        <v>5.9303865354987968</v>
      </c>
    </row>
    <row r="24" spans="1:7" ht="14.45" x14ac:dyDescent="0.3">
      <c r="A24" t="s">
        <v>31</v>
      </c>
      <c r="B24">
        <f>B23/22.4</f>
        <v>0.26474939890619631</v>
      </c>
    </row>
    <row r="25" spans="1:7" ht="15.75" thickBot="1" x14ac:dyDescent="0.3">
      <c r="A25" t="s">
        <v>32</v>
      </c>
      <c r="B25">
        <f>B24*60</f>
        <v>15.884963934371779</v>
      </c>
    </row>
    <row r="26" spans="1:7" ht="15.75" thickBot="1" x14ac:dyDescent="0.3">
      <c r="A26" t="s">
        <v>36</v>
      </c>
      <c r="B26" s="10">
        <f>B25/(B1*0.66)</f>
        <v>35.815665436444306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B1/B23</f>
        <v>0.11331470486408675</v>
      </c>
      <c r="C31">
        <f>B31*0.34</f>
        <v>3.8526999653789494E-2</v>
      </c>
      <c r="D31">
        <f>C31/F7</f>
        <v>8.3599632727105001E-5</v>
      </c>
      <c r="E31">
        <f>D31*22400</f>
        <v>1.872631773087152</v>
      </c>
      <c r="F31">
        <f>E31/0.34*0.66</f>
        <v>3.6351087359927066</v>
      </c>
      <c r="G31">
        <f>2.31*0.66/0.34</f>
        <v>4.4841176470588238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30" sqref="G30:G31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0.71199999999999997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f>22+50/60</f>
        <v>22.833333333333332</v>
      </c>
      <c r="B4" s="6">
        <v>5.15</v>
      </c>
      <c r="C4" s="6">
        <f>B4/2.65</f>
        <v>1.9433962264150946</v>
      </c>
      <c r="D4" s="6">
        <f>A4/C4</f>
        <v>11.749190938511324</v>
      </c>
      <c r="E4" s="6">
        <f>1/D4</f>
        <v>8.5112243492631884E-2</v>
      </c>
      <c r="F4" t="s">
        <v>16</v>
      </c>
    </row>
    <row r="5" spans="1:6" ht="14.45" x14ac:dyDescent="0.3">
      <c r="A5">
        <f>20+0.25</f>
        <v>20.25</v>
      </c>
      <c r="B5">
        <v>4.8499999999999996</v>
      </c>
      <c r="C5">
        <f t="shared" ref="C5:C6" si="0">B5/2.65</f>
        <v>1.8301886792452831</v>
      </c>
      <c r="D5">
        <f t="shared" ref="D5:D6" si="1">A5/C5</f>
        <v>11.064432989690722</v>
      </c>
      <c r="E5">
        <f t="shared" ref="E5:E6" si="2">1/D5</f>
        <v>9.0379687863964595E-2</v>
      </c>
    </row>
    <row r="6" spans="1:6" ht="14.45" x14ac:dyDescent="0.3">
      <c r="A6">
        <f>49+50/60</f>
        <v>49.833333333333336</v>
      </c>
      <c r="B6">
        <v>11.7</v>
      </c>
      <c r="C6">
        <f t="shared" si="0"/>
        <v>4.415094339622641</v>
      </c>
      <c r="D6">
        <f t="shared" si="1"/>
        <v>11.287037037037038</v>
      </c>
      <c r="E6">
        <f t="shared" si="2"/>
        <v>8.8597210828547976E-2</v>
      </c>
    </row>
    <row r="7" spans="1:6" thickBot="1" x14ac:dyDescent="0.35">
      <c r="A7">
        <v>24</v>
      </c>
      <c r="B7">
        <v>5.9</v>
      </c>
      <c r="C7">
        <f t="shared" ref="C7" si="3">B7/2.65</f>
        <v>2.226415094339623</v>
      </c>
      <c r="D7">
        <f t="shared" ref="D7" si="4">A7/C7</f>
        <v>10.77966101694915</v>
      </c>
      <c r="E7">
        <f t="shared" ref="E7" si="5">1/D7</f>
        <v>9.2767295597484298E-2</v>
      </c>
      <c r="F7" t="s">
        <v>49</v>
      </c>
    </row>
    <row r="8" spans="1:6" ht="14.45" x14ac:dyDescent="0.3">
      <c r="D8" s="2" t="s">
        <v>5</v>
      </c>
      <c r="E8" s="3">
        <f>AVERAGE(E4:E7)</f>
        <v>8.9214109445657191E-2</v>
      </c>
      <c r="F8">
        <f>60*LN(2)/E8</f>
        <v>466.1687606592053</v>
      </c>
    </row>
    <row r="9" spans="1:6" thickBot="1" x14ac:dyDescent="0.35">
      <c r="D9" s="4" t="s">
        <v>17</v>
      </c>
      <c r="E9" s="5">
        <f>STDEV(E4:E7)</f>
        <v>3.2243641791387537E-3</v>
      </c>
    </row>
    <row r="11" spans="1:6" ht="14.45" x14ac:dyDescent="0.3">
      <c r="A11" t="s">
        <v>8</v>
      </c>
      <c r="F11" t="s">
        <v>11</v>
      </c>
    </row>
    <row r="12" spans="1:6" ht="14.45" x14ac:dyDescent="0.3">
      <c r="A12" t="s">
        <v>9</v>
      </c>
      <c r="B12" t="s">
        <v>10</v>
      </c>
      <c r="F12" t="s">
        <v>12</v>
      </c>
    </row>
    <row r="13" spans="1:6" ht="14.45" x14ac:dyDescent="0.3">
      <c r="A13">
        <v>12.73</v>
      </c>
      <c r="B13">
        <f>50/A13*60</f>
        <v>235.66378633150038</v>
      </c>
      <c r="F13">
        <v>14866</v>
      </c>
    </row>
    <row r="14" spans="1:6" ht="14.45" x14ac:dyDescent="0.3">
      <c r="A14">
        <v>12.7</v>
      </c>
      <c r="B14">
        <f t="shared" ref="B14:B17" si="6">50/A14*60</f>
        <v>236.22047244094489</v>
      </c>
      <c r="F14">
        <v>15913</v>
      </c>
    </row>
    <row r="15" spans="1:6" ht="14.45" x14ac:dyDescent="0.3">
      <c r="A15">
        <v>12.77</v>
      </c>
      <c r="B15">
        <f t="shared" si="6"/>
        <v>234.92560689115115</v>
      </c>
      <c r="F15">
        <v>11486</v>
      </c>
    </row>
    <row r="16" spans="1:6" ht="14.45" x14ac:dyDescent="0.3">
      <c r="A16">
        <v>12.65</v>
      </c>
      <c r="B16">
        <f t="shared" si="6"/>
        <v>237.15415019762844</v>
      </c>
    </row>
    <row r="17" spans="1:7" thickBot="1" x14ac:dyDescent="0.35">
      <c r="A17">
        <v>12.67</v>
      </c>
      <c r="B17">
        <f t="shared" si="6"/>
        <v>236.77979479084453</v>
      </c>
    </row>
    <row r="18" spans="1:7" thickBot="1" x14ac:dyDescent="0.35">
      <c r="A18" s="2" t="s">
        <v>13</v>
      </c>
      <c r="B18" s="3">
        <f>AVERAGE(B13:B17)</f>
        <v>236.1487621304139</v>
      </c>
    </row>
    <row r="19" spans="1:7" thickBot="1" x14ac:dyDescent="0.35">
      <c r="A19" s="4" t="s">
        <v>14</v>
      </c>
      <c r="B19" s="5">
        <f>STDEV(B13:B17)</f>
        <v>0.8867722393224392</v>
      </c>
      <c r="E19" s="2" t="s">
        <v>13</v>
      </c>
      <c r="F19" s="3">
        <f>AVERAGE(F13:F17)</f>
        <v>14088.333333333334</v>
      </c>
    </row>
    <row r="20" spans="1:7" thickBot="1" x14ac:dyDescent="0.35">
      <c r="E20" s="4" t="s">
        <v>15</v>
      </c>
      <c r="F20" s="5">
        <f>STDEV(F13:F17)</f>
        <v>2313.6889015883949</v>
      </c>
    </row>
    <row r="22" spans="1:7" ht="14.45" x14ac:dyDescent="0.3">
      <c r="E22" t="s">
        <v>29</v>
      </c>
      <c r="F22" s="15">
        <f>F19*'Methane Standard Curve'!B13+'Methane Standard Curve'!C13</f>
        <v>2.4277044556958109E-2</v>
      </c>
    </row>
    <row r="24" spans="1:7" ht="14.45" x14ac:dyDescent="0.3">
      <c r="A24" t="s">
        <v>30</v>
      </c>
      <c r="B24">
        <f>B18*F22</f>
        <v>5.73299402031056</v>
      </c>
    </row>
    <row r="25" spans="1:7" ht="14.45" x14ac:dyDescent="0.3">
      <c r="A25" t="s">
        <v>31</v>
      </c>
      <c r="B25">
        <f>B24/22.4</f>
        <v>0.25593723304957861</v>
      </c>
    </row>
    <row r="26" spans="1:7" ht="15.75" thickBot="1" x14ac:dyDescent="0.3">
      <c r="A26" t="s">
        <v>32</v>
      </c>
      <c r="B26">
        <f>B25*60</f>
        <v>15.356233982974716</v>
      </c>
    </row>
    <row r="27" spans="1:7" ht="15.75" thickBot="1" x14ac:dyDescent="0.3">
      <c r="A27" t="s">
        <v>36</v>
      </c>
      <c r="B27" s="10">
        <f>B26/(B1*0.66)</f>
        <v>32.678400542591753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B1/B24</f>
        <v>0.12419339658781477</v>
      </c>
      <c r="C31">
        <f>B31*0.34</f>
        <v>4.2225754839857021E-2</v>
      </c>
      <c r="D31">
        <f>C31/F8</f>
        <v>9.058040435859739E-5</v>
      </c>
      <c r="E31">
        <f>D31*22400</f>
        <v>2.0290010576325814</v>
      </c>
      <c r="F31">
        <f>E31/0.34*0.66</f>
        <v>3.9386491118750109</v>
      </c>
      <c r="G31">
        <f>2.31*0.66/0.34</f>
        <v>4.4841176470588238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30" sqref="G30:G31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0.67200000000000004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f>24+7+3/4</f>
        <v>31.75</v>
      </c>
      <c r="B4" s="6">
        <v>3.55</v>
      </c>
      <c r="C4" s="6">
        <f>B4/2.65</f>
        <v>1.3396226415094339</v>
      </c>
      <c r="D4" s="6">
        <f>A4/C4</f>
        <v>23.700704225352116</v>
      </c>
      <c r="E4" s="6">
        <f>1/D4</f>
        <v>4.2192839102659335E-2</v>
      </c>
      <c r="F4" t="s">
        <v>16</v>
      </c>
    </row>
    <row r="5" spans="1:6" ht="14.45" x14ac:dyDescent="0.3">
      <c r="A5">
        <f>24+40/60</f>
        <v>24.666666666666668</v>
      </c>
      <c r="B5">
        <v>3.125</v>
      </c>
      <c r="C5">
        <f t="shared" ref="C5:C6" si="0">B5/2.65</f>
        <v>1.179245283018868</v>
      </c>
      <c r="D5">
        <f t="shared" ref="D5:D6" si="1">A5/C5</f>
        <v>20.917333333333332</v>
      </c>
      <c r="E5">
        <f t="shared" ref="E5:E6" si="2">1/D5</f>
        <v>4.7807241203467625E-2</v>
      </c>
    </row>
    <row r="6" spans="1:6" thickBot="1" x14ac:dyDescent="0.35">
      <c r="A6">
        <f>48+20+0.25</f>
        <v>68.25</v>
      </c>
      <c r="B6">
        <v>8.35</v>
      </c>
      <c r="C6">
        <f t="shared" si="0"/>
        <v>3.1509433962264151</v>
      </c>
      <c r="D6">
        <f t="shared" si="1"/>
        <v>21.660179640718564</v>
      </c>
      <c r="E6">
        <f t="shared" si="2"/>
        <v>4.616766880917824E-2</v>
      </c>
      <c r="F6" t="s">
        <v>49</v>
      </c>
    </row>
    <row r="7" spans="1:6" ht="14.45" x14ac:dyDescent="0.3">
      <c r="D7" s="2" t="s">
        <v>5</v>
      </c>
      <c r="E7" s="3">
        <f>AVERAGE(E4:E6)</f>
        <v>4.538924970510174E-2</v>
      </c>
      <c r="F7">
        <f>60*LN(2)/E7</f>
        <v>916.2705068667866</v>
      </c>
    </row>
    <row r="8" spans="1:6" thickBot="1" x14ac:dyDescent="0.35">
      <c r="D8" s="4" t="s">
        <v>17</v>
      </c>
      <c r="E8" s="5">
        <f>STDEV(E4:E6)</f>
        <v>2.8870105582736597E-3</v>
      </c>
    </row>
    <row r="10" spans="1:6" ht="14.45" x14ac:dyDescent="0.3">
      <c r="A10" t="s">
        <v>8</v>
      </c>
      <c r="F10" t="s">
        <v>11</v>
      </c>
    </row>
    <row r="11" spans="1:6" ht="14.45" x14ac:dyDescent="0.3">
      <c r="A11" t="s">
        <v>9</v>
      </c>
      <c r="B11" t="s">
        <v>10</v>
      </c>
      <c r="F11" t="s">
        <v>12</v>
      </c>
    </row>
    <row r="12" spans="1:6" ht="14.45" x14ac:dyDescent="0.3">
      <c r="A12">
        <v>12.48</v>
      </c>
      <c r="B12">
        <f>50/A12*60</f>
        <v>240.38461538461539</v>
      </c>
      <c r="F12">
        <v>13870</v>
      </c>
    </row>
    <row r="13" spans="1:6" ht="14.45" x14ac:dyDescent="0.3">
      <c r="A13">
        <v>12.45</v>
      </c>
      <c r="B13">
        <f t="shared" ref="B13:B16" si="3">50/A13*60</f>
        <v>240.96385542168676</v>
      </c>
      <c r="F13">
        <v>14880</v>
      </c>
    </row>
    <row r="14" spans="1:6" ht="14.45" x14ac:dyDescent="0.3">
      <c r="A14">
        <v>12.59</v>
      </c>
      <c r="B14">
        <f t="shared" si="3"/>
        <v>238.28435266084193</v>
      </c>
      <c r="F14">
        <v>14742</v>
      </c>
    </row>
    <row r="15" spans="1:6" ht="14.45" x14ac:dyDescent="0.3">
      <c r="A15">
        <v>12.57</v>
      </c>
      <c r="B15">
        <f t="shared" si="3"/>
        <v>238.6634844868735</v>
      </c>
    </row>
    <row r="16" spans="1:6" thickBot="1" x14ac:dyDescent="0.35">
      <c r="A16">
        <v>12.36</v>
      </c>
      <c r="B16">
        <f t="shared" si="3"/>
        <v>242.71844660194179</v>
      </c>
    </row>
    <row r="17" spans="1:7" thickBot="1" x14ac:dyDescent="0.35">
      <c r="A17" s="2" t="s">
        <v>13</v>
      </c>
      <c r="B17" s="3">
        <f>AVERAGE(B12:B16)</f>
        <v>240.20295091119186</v>
      </c>
    </row>
    <row r="18" spans="1:7" thickBot="1" x14ac:dyDescent="0.35">
      <c r="A18" s="4" t="s">
        <v>14</v>
      </c>
      <c r="B18" s="5">
        <f>STDEV(B12:B16)</f>
        <v>1.8021287650322444</v>
      </c>
      <c r="E18" s="2" t="s">
        <v>13</v>
      </c>
      <c r="F18" s="3">
        <f>AVERAGE(F12:F16)</f>
        <v>14497.333333333334</v>
      </c>
    </row>
    <row r="19" spans="1:7" thickBot="1" x14ac:dyDescent="0.35">
      <c r="E19" s="4" t="s">
        <v>15</v>
      </c>
      <c r="F19" s="5">
        <f>STDEV(F12:F16)</f>
        <v>547.65074028374454</v>
      </c>
    </row>
    <row r="21" spans="1:7" ht="14.45" x14ac:dyDescent="0.3">
      <c r="E21" t="s">
        <v>29</v>
      </c>
      <c r="F21" s="15">
        <f>F18*'Methane Standard Curve'!B13+'Methane Standard Curve'!C13</f>
        <v>2.4950789275587283E-2</v>
      </c>
    </row>
    <row r="23" spans="1:7" ht="14.45" x14ac:dyDescent="0.3">
      <c r="A23" t="s">
        <v>30</v>
      </c>
      <c r="B23">
        <f>B17*F21</f>
        <v>5.9932532115593844</v>
      </c>
    </row>
    <row r="24" spans="1:7" ht="14.45" x14ac:dyDescent="0.3">
      <c r="A24" t="s">
        <v>31</v>
      </c>
      <c r="B24">
        <f>B23/22.4</f>
        <v>0.26755594694461537</v>
      </c>
    </row>
    <row r="25" spans="1:7" ht="15.75" thickBot="1" x14ac:dyDescent="0.3">
      <c r="A25" t="s">
        <v>32</v>
      </c>
      <c r="B25">
        <f>B24*60</f>
        <v>16.053356816676924</v>
      </c>
    </row>
    <row r="26" spans="1:7" ht="15.75" thickBot="1" x14ac:dyDescent="0.3">
      <c r="A26" t="s">
        <v>36</v>
      </c>
      <c r="B26" s="10">
        <f>B25/(B1*0.66)</f>
        <v>36.195339142940391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B1/B23</f>
        <v>0.11212608182545859</v>
      </c>
      <c r="C31">
        <f>B31*0.34</f>
        <v>3.8122867820655923E-2</v>
      </c>
      <c r="D31">
        <f>C31/F7</f>
        <v>4.1606564366038767E-5</v>
      </c>
      <c r="E31">
        <f>D31*22400</f>
        <v>0.93198704179926839</v>
      </c>
      <c r="F31">
        <f>E31/0.34*0.66</f>
        <v>1.8091513164338739</v>
      </c>
      <c r="G31">
        <f>2.31*0.66/0.34</f>
        <v>4.4841176470588238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30" sqref="G30:G31"/>
    </sheetView>
  </sheetViews>
  <sheetFormatPr defaultRowHeight="15" x14ac:dyDescent="0.25"/>
  <cols>
    <col min="1" max="1" width="23.7109375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0.83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v>48.25</v>
      </c>
      <c r="B4" s="6">
        <v>5.95</v>
      </c>
      <c r="C4" s="6">
        <f>B4/2.65</f>
        <v>2.2452830188679247</v>
      </c>
      <c r="D4" s="6">
        <f>A4/C4</f>
        <v>21.489495798319325</v>
      </c>
      <c r="E4" s="6">
        <f>1/D4</f>
        <v>4.6534363085345594E-2</v>
      </c>
      <c r="F4" t="s">
        <v>16</v>
      </c>
    </row>
    <row r="5" spans="1:6" ht="14.45" x14ac:dyDescent="0.3"/>
    <row r="6" spans="1:6" thickBot="1" x14ac:dyDescent="0.35">
      <c r="F6" t="s">
        <v>49</v>
      </c>
    </row>
    <row r="7" spans="1:6" ht="14.45" x14ac:dyDescent="0.3">
      <c r="D7" s="2" t="s">
        <v>5</v>
      </c>
      <c r="E7" s="3">
        <f>AVERAGE(E4:E6)</f>
        <v>4.6534363085345594E-2</v>
      </c>
      <c r="F7">
        <f>60*LN(2)/E7</f>
        <v>893.72300545558983</v>
      </c>
    </row>
    <row r="8" spans="1:6" thickBot="1" x14ac:dyDescent="0.35">
      <c r="D8" s="4" t="s">
        <v>17</v>
      </c>
      <c r="E8" s="5" t="e">
        <f>STDEV(E4:E6)</f>
        <v>#DIV/0!</v>
      </c>
    </row>
    <row r="10" spans="1:6" ht="14.45" x14ac:dyDescent="0.3">
      <c r="A10" t="s">
        <v>8</v>
      </c>
      <c r="F10" t="s">
        <v>11</v>
      </c>
    </row>
    <row r="11" spans="1:6" ht="14.45" x14ac:dyDescent="0.3">
      <c r="A11" t="s">
        <v>9</v>
      </c>
      <c r="B11" t="s">
        <v>10</v>
      </c>
      <c r="F11" t="s">
        <v>12</v>
      </c>
    </row>
    <row r="12" spans="1:6" ht="14.45" x14ac:dyDescent="0.3">
      <c r="A12">
        <v>12.8</v>
      </c>
      <c r="B12">
        <f>50/A12*60</f>
        <v>234.375</v>
      </c>
      <c r="F12">
        <v>10464</v>
      </c>
    </row>
    <row r="13" spans="1:6" ht="14.45" x14ac:dyDescent="0.3">
      <c r="A13">
        <v>12.81</v>
      </c>
      <c r="B13">
        <f t="shared" ref="B13:B16" si="0">50/A13*60</f>
        <v>234.19203747072598</v>
      </c>
      <c r="F13">
        <v>10676</v>
      </c>
    </row>
    <row r="14" spans="1:6" ht="14.45" x14ac:dyDescent="0.3">
      <c r="A14">
        <v>12.64</v>
      </c>
      <c r="B14">
        <f t="shared" si="0"/>
        <v>237.34177215189871</v>
      </c>
      <c r="F14">
        <v>10245</v>
      </c>
    </row>
    <row r="15" spans="1:6" ht="14.45" x14ac:dyDescent="0.3">
      <c r="A15">
        <v>12.78</v>
      </c>
      <c r="B15">
        <f t="shared" si="0"/>
        <v>234.74178403755869</v>
      </c>
    </row>
    <row r="16" spans="1:6" thickBot="1" x14ac:dyDescent="0.35">
      <c r="A16">
        <v>12.78</v>
      </c>
      <c r="B16">
        <f t="shared" si="0"/>
        <v>234.74178403755869</v>
      </c>
    </row>
    <row r="17" spans="1:7" thickBot="1" x14ac:dyDescent="0.35">
      <c r="A17" s="2" t="s">
        <v>13</v>
      </c>
      <c r="B17" s="3">
        <f>AVERAGE(B12:B16)</f>
        <v>235.07847553954838</v>
      </c>
    </row>
    <row r="18" spans="1:7" thickBot="1" x14ac:dyDescent="0.35">
      <c r="A18" s="4" t="s">
        <v>14</v>
      </c>
      <c r="B18" s="5">
        <f>STDEV(B12:B16)</f>
        <v>1.287428073243424</v>
      </c>
      <c r="E18" s="2" t="s">
        <v>13</v>
      </c>
      <c r="F18" s="3">
        <f>AVERAGE(F12:F16)</f>
        <v>10461.666666666666</v>
      </c>
    </row>
    <row r="19" spans="1:7" thickBot="1" x14ac:dyDescent="0.35">
      <c r="E19" s="4" t="s">
        <v>15</v>
      </c>
      <c r="F19" s="5">
        <f>STDEV(F12:F16)</f>
        <v>215.50947388301361</v>
      </c>
    </row>
    <row r="21" spans="1:7" ht="14.45" x14ac:dyDescent="0.3">
      <c r="E21" t="s">
        <v>29</v>
      </c>
      <c r="F21" s="15">
        <f>F18*'Methane Standard Curve'!B13+'Methane Standard Curve'!C13</f>
        <v>1.8302845258925997E-2</v>
      </c>
    </row>
    <row r="23" spans="1:7" ht="14.45" x14ac:dyDescent="0.3">
      <c r="A23" t="s">
        <v>30</v>
      </c>
      <c r="B23">
        <f>B17*F21</f>
        <v>4.3026049615045743</v>
      </c>
    </row>
    <row r="24" spans="1:7" ht="14.45" x14ac:dyDescent="0.3">
      <c r="A24" t="s">
        <v>31</v>
      </c>
      <c r="B24">
        <f>B23/22.4</f>
        <v>0.19208057863859707</v>
      </c>
    </row>
    <row r="25" spans="1:7" ht="15.75" thickBot="1" x14ac:dyDescent="0.3">
      <c r="A25" t="s">
        <v>32</v>
      </c>
      <c r="B25">
        <f>B24*60</f>
        <v>11.524834718315823</v>
      </c>
    </row>
    <row r="26" spans="1:7" ht="15.75" thickBot="1" x14ac:dyDescent="0.3">
      <c r="A26" t="s">
        <v>36</v>
      </c>
      <c r="B26" s="10">
        <f>B25/(B1*0.66)</f>
        <v>21.038398536538562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B1/B23</f>
        <v>0.19290639215684768</v>
      </c>
      <c r="C31">
        <f>B31*0.34</f>
        <v>6.5588173333328212E-2</v>
      </c>
      <c r="D31">
        <f>C31/F7</f>
        <v>7.3387585340150855E-5</v>
      </c>
      <c r="E31">
        <f>D31*22400</f>
        <v>1.6438819116193792</v>
      </c>
      <c r="F31">
        <f>E31/0.34*0.66</f>
        <v>3.1910648872611476</v>
      </c>
      <c r="G31">
        <f>2.31*0.66/0.34</f>
        <v>4.4841176470588238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30" sqref="G30:G31"/>
    </sheetView>
  </sheetViews>
  <sheetFormatPr defaultRowHeight="15" x14ac:dyDescent="0.25"/>
  <cols>
    <col min="1" max="1" width="29" bestFit="1" customWidth="1"/>
    <col min="2" max="2" width="12.7109375" bestFit="1" customWidth="1"/>
    <col min="3" max="4" width="12" bestFit="1" customWidth="1"/>
    <col min="5" max="5" width="14.85546875" bestFit="1" customWidth="1"/>
    <col min="6" max="6" width="16" bestFit="1" customWidth="1"/>
  </cols>
  <sheetData>
    <row r="1" spans="1:6" ht="14.45" x14ac:dyDescent="0.3">
      <c r="A1" t="s">
        <v>18</v>
      </c>
      <c r="B1">
        <v>0.68</v>
      </c>
    </row>
    <row r="2" spans="1:6" ht="14.45" x14ac:dyDescent="0.3">
      <c r="A2" t="s">
        <v>7</v>
      </c>
    </row>
    <row r="3" spans="1:6" ht="14.45" x14ac:dyDescent="0.3">
      <c r="A3" t="s">
        <v>1</v>
      </c>
      <c r="B3" t="s">
        <v>2</v>
      </c>
      <c r="C3" t="s">
        <v>0</v>
      </c>
      <c r="D3" t="s">
        <v>3</v>
      </c>
      <c r="E3" t="s">
        <v>4</v>
      </c>
    </row>
    <row r="4" spans="1:6" ht="14.45" x14ac:dyDescent="0.3">
      <c r="A4" s="6">
        <v>20.25</v>
      </c>
      <c r="B4" s="6">
        <v>3.55</v>
      </c>
      <c r="C4" s="6">
        <f>B4/2.65</f>
        <v>1.3396226415094339</v>
      </c>
      <c r="D4" s="6">
        <f>A4/C4</f>
        <v>15.116197183098592</v>
      </c>
      <c r="E4" s="6">
        <f>1/D4</f>
        <v>6.6154204518984391E-2</v>
      </c>
      <c r="F4" t="s">
        <v>16</v>
      </c>
    </row>
    <row r="5" spans="1:6" ht="14.45" x14ac:dyDescent="0.3">
      <c r="A5">
        <f>20+25/60</f>
        <v>20.416666666666668</v>
      </c>
      <c r="B5">
        <v>3.95</v>
      </c>
      <c r="C5">
        <f t="shared" ref="C5:C6" si="0">B5/2.65</f>
        <v>1.4905660377358492</v>
      </c>
      <c r="D5">
        <f t="shared" ref="D5:D6" si="1">A5/C5</f>
        <v>13.697257383966244</v>
      </c>
      <c r="E5">
        <f t="shared" ref="E5:E6" si="2">1/D5</f>
        <v>7.3007316134000771E-2</v>
      </c>
    </row>
    <row r="6" spans="1:6" thickBot="1" x14ac:dyDescent="0.35">
      <c r="A6">
        <v>29.75</v>
      </c>
      <c r="B6">
        <v>5.7</v>
      </c>
      <c r="C6">
        <f t="shared" si="0"/>
        <v>2.1509433962264151</v>
      </c>
      <c r="D6">
        <f t="shared" si="1"/>
        <v>13.831140350877194</v>
      </c>
      <c r="E6">
        <f t="shared" si="2"/>
        <v>7.2300618360551766E-2</v>
      </c>
      <c r="F6" t="s">
        <v>49</v>
      </c>
    </row>
    <row r="7" spans="1:6" ht="14.45" x14ac:dyDescent="0.3">
      <c r="D7" s="2" t="s">
        <v>5</v>
      </c>
      <c r="E7" s="3">
        <f>AVERAGE(E4:E6)</f>
        <v>7.0487379671178976E-2</v>
      </c>
      <c r="F7">
        <f>60*LN(2)/E7</f>
        <v>590.01811427247083</v>
      </c>
    </row>
    <row r="8" spans="1:6" thickBot="1" x14ac:dyDescent="0.35">
      <c r="D8" s="4" t="s">
        <v>17</v>
      </c>
      <c r="E8" s="5">
        <f>STDEV(E4:E6)</f>
        <v>3.769238730890744E-3</v>
      </c>
    </row>
    <row r="10" spans="1:6" ht="14.45" x14ac:dyDescent="0.3">
      <c r="A10" t="s">
        <v>8</v>
      </c>
      <c r="F10" t="s">
        <v>11</v>
      </c>
    </row>
    <row r="11" spans="1:6" ht="14.45" x14ac:dyDescent="0.3">
      <c r="A11" t="s">
        <v>9</v>
      </c>
      <c r="B11" t="s">
        <v>10</v>
      </c>
      <c r="F11" t="s">
        <v>12</v>
      </c>
    </row>
    <row r="12" spans="1:6" ht="14.45" x14ac:dyDescent="0.3">
      <c r="A12">
        <v>12.85</v>
      </c>
      <c r="B12">
        <f>50/A12*60</f>
        <v>233.46303501945525</v>
      </c>
      <c r="F12">
        <v>12209</v>
      </c>
    </row>
    <row r="13" spans="1:6" ht="14.45" x14ac:dyDescent="0.3">
      <c r="A13">
        <v>12.8</v>
      </c>
      <c r="B13">
        <f t="shared" ref="B13:B16" si="3">50/A13*60</f>
        <v>234.375</v>
      </c>
      <c r="F13">
        <v>12955</v>
      </c>
    </row>
    <row r="14" spans="1:6" ht="14.45" x14ac:dyDescent="0.3">
      <c r="A14">
        <v>12.83</v>
      </c>
      <c r="B14">
        <f t="shared" si="3"/>
        <v>233.8269680436477</v>
      </c>
      <c r="F14">
        <v>12671</v>
      </c>
    </row>
    <row r="15" spans="1:6" ht="14.45" x14ac:dyDescent="0.3">
      <c r="A15">
        <v>12.83</v>
      </c>
      <c r="B15">
        <f t="shared" si="3"/>
        <v>233.8269680436477</v>
      </c>
    </row>
    <row r="16" spans="1:6" thickBot="1" x14ac:dyDescent="0.35">
      <c r="A16">
        <v>12.86</v>
      </c>
      <c r="B16">
        <f t="shared" si="3"/>
        <v>233.28149300155525</v>
      </c>
    </row>
    <row r="17" spans="1:7" thickBot="1" x14ac:dyDescent="0.35">
      <c r="A17" s="2" t="s">
        <v>13</v>
      </c>
      <c r="B17" s="3">
        <f>AVERAGE(B12:B16)</f>
        <v>233.75469282166114</v>
      </c>
    </row>
    <row r="18" spans="1:7" thickBot="1" x14ac:dyDescent="0.35">
      <c r="A18" s="4" t="s">
        <v>14</v>
      </c>
      <c r="B18" s="5">
        <f>STDEV(B12:B16)</f>
        <v>0.41958633028881864</v>
      </c>
      <c r="E18" s="2" t="s">
        <v>13</v>
      </c>
      <c r="F18" s="3">
        <f>AVERAGE(F12:F16)</f>
        <v>12611.666666666666</v>
      </c>
    </row>
    <row r="19" spans="1:7" thickBot="1" x14ac:dyDescent="0.35">
      <c r="E19" s="4" t="s">
        <v>15</v>
      </c>
      <c r="F19" s="5">
        <f>STDEV(F12:F16)</f>
        <v>376.52268634616604</v>
      </c>
    </row>
    <row r="21" spans="1:7" ht="14.45" x14ac:dyDescent="0.3">
      <c r="E21" t="s">
        <v>29</v>
      </c>
      <c r="F21" s="15">
        <f>F18*'Methane Standard Curve'!B13+'Methane Standard Curve'!C13</f>
        <v>2.1844535100130694E-2</v>
      </c>
    </row>
    <row r="23" spans="1:7" ht="14.45" x14ac:dyDescent="0.3">
      <c r="A23" t="s">
        <v>33</v>
      </c>
      <c r="B23">
        <f>B17*F21</f>
        <v>5.1062625921630449</v>
      </c>
    </row>
    <row r="24" spans="1:7" ht="14.45" x14ac:dyDescent="0.3">
      <c r="A24" t="s">
        <v>34</v>
      </c>
      <c r="B24">
        <f>B23/22.4</f>
        <v>0.22795815143585024</v>
      </c>
    </row>
    <row r="25" spans="1:7" ht="15.75" thickBot="1" x14ac:dyDescent="0.3">
      <c r="A25" t="s">
        <v>35</v>
      </c>
      <c r="B25">
        <f>B24*60</f>
        <v>13.677489086151015</v>
      </c>
      <c r="C25" t="s">
        <v>44</v>
      </c>
    </row>
    <row r="26" spans="1:7" ht="15.75" thickBot="1" x14ac:dyDescent="0.3">
      <c r="A26" t="s">
        <v>36</v>
      </c>
      <c r="B26" s="10">
        <f>B25/(B1*0.66)</f>
        <v>30.475688694632385</v>
      </c>
      <c r="C26">
        <f>B25/(B1*0.34)</f>
        <v>59.158689818992265</v>
      </c>
    </row>
    <row r="30" spans="1:7" x14ac:dyDescent="0.25">
      <c r="A30" t="s">
        <v>45</v>
      </c>
      <c r="B30" t="s">
        <v>46</v>
      </c>
      <c r="C30" t="s">
        <v>47</v>
      </c>
      <c r="D30" t="s">
        <v>48</v>
      </c>
      <c r="E30" t="s">
        <v>50</v>
      </c>
      <c r="F30" t="s">
        <v>51</v>
      </c>
      <c r="G30" t="s">
        <v>55</v>
      </c>
    </row>
    <row r="31" spans="1:7" x14ac:dyDescent="0.25">
      <c r="B31">
        <f>B1/B23</f>
        <v>0.13316980623825453</v>
      </c>
      <c r="C31">
        <f>B31*0.34</f>
        <v>4.5277734121006545E-2</v>
      </c>
      <c r="D31">
        <f>C31/F7</f>
        <v>7.6739566168806226E-5</v>
      </c>
      <c r="E31">
        <f>D31*22400</f>
        <v>1.7189662821812595</v>
      </c>
      <c r="F31">
        <f>E31/0.34*0.66</f>
        <v>3.3368169007047981</v>
      </c>
      <c r="G31">
        <f>2.31*0.66/0.34</f>
        <v>4.4841176470588238</v>
      </c>
    </row>
    <row r="32" spans="1:7" x14ac:dyDescent="0.25">
      <c r="D32" t="s">
        <v>54</v>
      </c>
      <c r="E32">
        <f>E31/E35</f>
        <v>2.4799441307582417</v>
      </c>
    </row>
    <row r="35" spans="4:5" x14ac:dyDescent="0.25">
      <c r="D35" t="s">
        <v>52</v>
      </c>
      <c r="E35">
        <f>LN(2)</f>
        <v>0.69314718055994529</v>
      </c>
    </row>
    <row r="36" spans="4:5" x14ac:dyDescent="0.25">
      <c r="D36" t="s">
        <v>53</v>
      </c>
      <c r="E36">
        <f>F31*E35</f>
        <v>2.3129052267683057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16" sqref="D16"/>
    </sheetView>
  </sheetViews>
  <sheetFormatPr defaultRowHeight="15" x14ac:dyDescent="0.25"/>
  <cols>
    <col min="1" max="2" width="12" bestFit="1" customWidth="1"/>
    <col min="3" max="3" width="11.7109375" customWidth="1"/>
  </cols>
  <sheetData>
    <row r="1" spans="1:6" ht="14.45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ht="14.45" x14ac:dyDescent="0.3">
      <c r="A2" s="7">
        <f>0/28</f>
        <v>0</v>
      </c>
      <c r="B2">
        <v>15.13</v>
      </c>
      <c r="C2">
        <v>0</v>
      </c>
      <c r="D2">
        <v>0</v>
      </c>
      <c r="E2">
        <f>AVERAGE(B2:D2)</f>
        <v>5.0433333333333339</v>
      </c>
      <c r="F2">
        <f>STDEV(B2:D2)</f>
        <v>8.7353095728390375</v>
      </c>
    </row>
    <row r="3" spans="1:6" ht="14.45" x14ac:dyDescent="0.3">
      <c r="A3" s="7">
        <f>0.056/28.056</f>
        <v>1.996007984031936E-3</v>
      </c>
      <c r="B3">
        <v>619.20000000000005</v>
      </c>
      <c r="C3">
        <v>598.70000000000005</v>
      </c>
      <c r="D3">
        <v>597.70000000000005</v>
      </c>
      <c r="E3">
        <f t="shared" ref="E3:E9" si="0">AVERAGE(B3:D3)</f>
        <v>605.20000000000005</v>
      </c>
      <c r="F3">
        <f t="shared" ref="F3:F9" si="1">STDEV(B3:D3)</f>
        <v>12.134661099511597</v>
      </c>
    </row>
    <row r="4" spans="1:6" ht="14.45" x14ac:dyDescent="0.3">
      <c r="A4" s="7">
        <f>0.112/28.112</f>
        <v>3.9840637450199202E-3</v>
      </c>
      <c r="B4">
        <v>1474.2</v>
      </c>
      <c r="C4">
        <v>1505.6</v>
      </c>
      <c r="D4">
        <v>1527.8</v>
      </c>
      <c r="E4">
        <f t="shared" si="0"/>
        <v>1502.5333333333335</v>
      </c>
      <c r="F4">
        <f t="shared" si="1"/>
        <v>26.931270548069776</v>
      </c>
    </row>
    <row r="5" spans="1:6" ht="14.45" x14ac:dyDescent="0.3">
      <c r="A5" s="7">
        <f>0.17/28.17</f>
        <v>6.0347887823926161E-3</v>
      </c>
      <c r="B5">
        <v>2848.5</v>
      </c>
      <c r="C5">
        <v>2757.7</v>
      </c>
      <c r="D5">
        <v>2859.6</v>
      </c>
      <c r="E5">
        <f t="shared" si="0"/>
        <v>2821.9333333333329</v>
      </c>
      <c r="F5">
        <f t="shared" si="1"/>
        <v>55.90387583462654</v>
      </c>
    </row>
    <row r="6" spans="1:6" ht="14.45" x14ac:dyDescent="0.3">
      <c r="A6" s="7">
        <f>0.226/28.226</f>
        <v>8.0068022390703611E-3</v>
      </c>
      <c r="B6">
        <v>4096.3</v>
      </c>
      <c r="C6">
        <v>3929.5</v>
      </c>
      <c r="D6">
        <v>4250.8</v>
      </c>
      <c r="E6">
        <f t="shared" si="0"/>
        <v>4092.2000000000003</v>
      </c>
      <c r="F6">
        <f t="shared" si="1"/>
        <v>160.68923423801618</v>
      </c>
    </row>
    <row r="7" spans="1:6" ht="14.45" x14ac:dyDescent="0.3">
      <c r="A7" s="7">
        <f>0.285/28.285</f>
        <v>1.0076012020505568E-2</v>
      </c>
      <c r="B7">
        <v>5090.3</v>
      </c>
      <c r="C7">
        <v>5249</v>
      </c>
      <c r="D7">
        <v>5379.9</v>
      </c>
      <c r="E7">
        <f t="shared" si="0"/>
        <v>5239.7333333333327</v>
      </c>
      <c r="F7">
        <f t="shared" si="1"/>
        <v>145.02221668879997</v>
      </c>
    </row>
    <row r="8" spans="1:6" ht="14.45" x14ac:dyDescent="0.3">
      <c r="A8" s="7">
        <f>1.167/29.167</f>
        <v>4.0010971303185108E-2</v>
      </c>
      <c r="B8">
        <v>23393</v>
      </c>
      <c r="C8">
        <v>23387</v>
      </c>
      <c r="D8">
        <v>24467</v>
      </c>
      <c r="E8">
        <f t="shared" si="0"/>
        <v>23749</v>
      </c>
      <c r="F8">
        <f t="shared" si="1"/>
        <v>621.81347685620324</v>
      </c>
    </row>
    <row r="9" spans="1:6" ht="14.45" x14ac:dyDescent="0.3">
      <c r="A9" s="7">
        <f>28/28</f>
        <v>1</v>
      </c>
      <c r="B9">
        <v>167429</v>
      </c>
      <c r="C9">
        <v>167356</v>
      </c>
      <c r="D9">
        <v>164347</v>
      </c>
      <c r="E9">
        <f t="shared" si="0"/>
        <v>166377.33333333334</v>
      </c>
      <c r="F9">
        <f t="shared" si="1"/>
        <v>1758.6990456963729</v>
      </c>
    </row>
    <row r="11" spans="1:6" thickBot="1" x14ac:dyDescent="0.35"/>
    <row r="12" spans="1:6" ht="14.45" x14ac:dyDescent="0.3">
      <c r="A12" s="2"/>
      <c r="B12" s="8" t="s">
        <v>25</v>
      </c>
      <c r="C12" s="3" t="s">
        <v>26</v>
      </c>
    </row>
    <row r="13" spans="1:6" thickBot="1" x14ac:dyDescent="0.35">
      <c r="A13" s="4" t="s">
        <v>27</v>
      </c>
      <c r="B13" s="9">
        <f>SLOPE(A2:A8,E2:E8)</f>
        <v>1.6472976005603261E-6</v>
      </c>
      <c r="C13" s="5">
        <f>INTERCEPT(A2:A8,E2:E8)</f>
        <v>1.0693668610640503E-3</v>
      </c>
    </row>
    <row r="14" spans="1:6" ht="14.45" x14ac:dyDescent="0.3">
      <c r="A14" t="s">
        <v>28</v>
      </c>
      <c r="B14">
        <f>SLOPE(A2:A9,E2:E9)</f>
        <v>6.0705449754459408E-6</v>
      </c>
      <c r="C14">
        <f>INTERCEPT(A2:A9,E2:E9)</f>
        <v>-2.1333513930758413E-2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activeCell="C7" sqref="C7"/>
    </sheetView>
  </sheetViews>
  <sheetFormatPr defaultRowHeight="15" x14ac:dyDescent="0.25"/>
  <cols>
    <col min="2" max="2" width="12" bestFit="1" customWidth="1"/>
    <col min="5" max="5" width="26.28515625" bestFit="1" customWidth="1"/>
  </cols>
  <sheetData>
    <row r="1" spans="1:5" ht="15.75" thickBot="1" x14ac:dyDescent="0.3">
      <c r="A1" t="s">
        <v>37</v>
      </c>
      <c r="B1" t="s">
        <v>38</v>
      </c>
      <c r="C1" t="s">
        <v>40</v>
      </c>
      <c r="D1" t="s">
        <v>43</v>
      </c>
      <c r="E1" t="s">
        <v>39</v>
      </c>
    </row>
    <row r="2" spans="1:5" ht="15.75" thickBot="1" x14ac:dyDescent="0.3">
      <c r="A2" s="11">
        <v>42304</v>
      </c>
      <c r="B2">
        <v>9.0243491953218014E-2</v>
      </c>
      <c r="C2" s="10">
        <v>35.815665436444306</v>
      </c>
      <c r="D2" s="14">
        <f>B2/C2*1000</f>
        <v>2.5196653713821706</v>
      </c>
    </row>
    <row r="3" spans="1:5" x14ac:dyDescent="0.25">
      <c r="A3" s="11">
        <v>42310</v>
      </c>
      <c r="B3">
        <v>8.9214109445657191E-2</v>
      </c>
      <c r="C3">
        <v>32.678400542591753</v>
      </c>
      <c r="D3" s="14">
        <f>B3/C3*1000</f>
        <v>2.730063527111096</v>
      </c>
    </row>
    <row r="4" spans="1:5" s="13" customFormat="1" x14ac:dyDescent="0.25">
      <c r="A4" s="12">
        <v>42313</v>
      </c>
      <c r="B4" s="13">
        <v>4.538924970510174E-2</v>
      </c>
      <c r="C4" s="13">
        <v>36.195339142940391</v>
      </c>
      <c r="D4" s="14">
        <f>B4/C4*1000</f>
        <v>1.2540081341924529</v>
      </c>
      <c r="E4" s="13" t="s">
        <v>41</v>
      </c>
    </row>
    <row r="5" spans="1:5" x14ac:dyDescent="0.25">
      <c r="A5" s="11">
        <v>42320</v>
      </c>
      <c r="B5">
        <v>4.6534363085345594E-2</v>
      </c>
      <c r="C5">
        <v>21.038398536538562</v>
      </c>
      <c r="D5" s="14">
        <f>B5/C5*1000</f>
        <v>2.2118776295889044</v>
      </c>
      <c r="E5" t="s">
        <v>42</v>
      </c>
    </row>
    <row r="6" spans="1:5" x14ac:dyDescent="0.25">
      <c r="A6" s="11">
        <v>42327</v>
      </c>
      <c r="B6">
        <v>7.0487379671178976E-2</v>
      </c>
      <c r="C6">
        <v>30.475688694632385</v>
      </c>
      <c r="D6" s="14">
        <f>B6/C6*1000</f>
        <v>2.3129052267683048</v>
      </c>
    </row>
    <row r="7" spans="1:5" ht="15.75" thickBot="1" x14ac:dyDescent="0.3"/>
    <row r="8" spans="1:5" ht="15.75" thickBot="1" x14ac:dyDescent="0.3">
      <c r="B8">
        <v>9.0243491953218014E-2</v>
      </c>
      <c r="C8" s="10">
        <v>35.815665436444306</v>
      </c>
      <c r="D8" s="14"/>
    </row>
    <row r="9" spans="1:5" x14ac:dyDescent="0.25">
      <c r="B9">
        <v>8.9214109445657191E-2</v>
      </c>
      <c r="C9">
        <v>32.678400542591753</v>
      </c>
    </row>
    <row r="10" spans="1:5" x14ac:dyDescent="0.25">
      <c r="B10">
        <v>4.6534363085345594E-2</v>
      </c>
      <c r="C10">
        <v>21.038398536538562</v>
      </c>
    </row>
    <row r="11" spans="1:5" x14ac:dyDescent="0.25">
      <c r="B11">
        <v>7.0487379671178976E-2</v>
      </c>
      <c r="C11">
        <v>30.475688694632385</v>
      </c>
    </row>
    <row r="15" spans="1:5" x14ac:dyDescent="0.25">
      <c r="B15">
        <v>0.01</v>
      </c>
      <c r="C15">
        <f>300.87*B15+7.702</f>
        <v>10.710699999999999</v>
      </c>
      <c r="D15" s="14">
        <f>B15/C15*1000</f>
        <v>0.93364579345887766</v>
      </c>
    </row>
    <row r="16" spans="1:5" x14ac:dyDescent="0.25">
      <c r="B16">
        <v>0.02</v>
      </c>
      <c r="C16">
        <f>300.87*B16+7.702</f>
        <v>13.7194</v>
      </c>
      <c r="D16" s="14">
        <f>B16/C16*1000</f>
        <v>1.4577896992579851</v>
      </c>
    </row>
    <row r="17" spans="2:4" x14ac:dyDescent="0.25">
      <c r="B17">
        <v>0.03</v>
      </c>
      <c r="C17">
        <f t="shared" ref="C17:C26" si="0">300.87*B17+7.702</f>
        <v>16.728099999999998</v>
      </c>
      <c r="D17" s="14">
        <f t="shared" ref="D17:D26" si="1">B17/C17*1000</f>
        <v>1.7933895660595049</v>
      </c>
    </row>
    <row r="18" spans="2:4" x14ac:dyDescent="0.25">
      <c r="B18">
        <v>0.04</v>
      </c>
      <c r="C18">
        <f t="shared" si="0"/>
        <v>19.736800000000002</v>
      </c>
      <c r="D18" s="14">
        <f t="shared" si="1"/>
        <v>2.0266709902314459</v>
      </c>
    </row>
    <row r="19" spans="2:4" x14ac:dyDescent="0.25">
      <c r="B19">
        <v>0.05</v>
      </c>
      <c r="C19">
        <f t="shared" si="0"/>
        <v>22.7455</v>
      </c>
      <c r="D19" s="14">
        <f t="shared" si="1"/>
        <v>2.1982370139148402</v>
      </c>
    </row>
    <row r="20" spans="2:4" x14ac:dyDescent="0.25">
      <c r="B20">
        <v>0.06</v>
      </c>
      <c r="C20">
        <f t="shared" si="0"/>
        <v>25.754199999999997</v>
      </c>
      <c r="D20" s="14">
        <f t="shared" si="1"/>
        <v>2.3297170946874686</v>
      </c>
    </row>
    <row r="21" spans="2:4" x14ac:dyDescent="0.25">
      <c r="B21">
        <v>7.0000000000000007E-2</v>
      </c>
      <c r="C21">
        <f t="shared" si="0"/>
        <v>28.762900000000002</v>
      </c>
      <c r="D21" s="14">
        <f t="shared" si="1"/>
        <v>2.4336906222946921</v>
      </c>
    </row>
    <row r="22" spans="2:4" x14ac:dyDescent="0.25">
      <c r="B22">
        <v>0.08</v>
      </c>
      <c r="C22">
        <f t="shared" si="0"/>
        <v>31.771599999999999</v>
      </c>
      <c r="D22" s="14">
        <f t="shared" si="1"/>
        <v>2.5179720253307987</v>
      </c>
    </row>
    <row r="23" spans="2:4" x14ac:dyDescent="0.25">
      <c r="B23">
        <v>0.09</v>
      </c>
      <c r="C23">
        <f t="shared" si="0"/>
        <v>34.780299999999997</v>
      </c>
      <c r="D23" s="14">
        <f t="shared" si="1"/>
        <v>2.5876717567128518</v>
      </c>
    </row>
    <row r="24" spans="2:4" x14ac:dyDescent="0.25">
      <c r="B24">
        <v>0.1</v>
      </c>
      <c r="C24">
        <f t="shared" si="0"/>
        <v>37.789000000000001</v>
      </c>
      <c r="D24" s="14">
        <f t="shared" si="1"/>
        <v>2.6462727248670248</v>
      </c>
    </row>
    <row r="25" spans="2:4" x14ac:dyDescent="0.25">
      <c r="B25">
        <v>0.11</v>
      </c>
      <c r="C25">
        <f t="shared" si="0"/>
        <v>40.797699999999999</v>
      </c>
      <c r="D25" s="14">
        <f t="shared" si="1"/>
        <v>2.6962304247543365</v>
      </c>
    </row>
    <row r="26" spans="2:4" x14ac:dyDescent="0.25">
      <c r="B26">
        <v>0.12</v>
      </c>
      <c r="C26">
        <f t="shared" si="0"/>
        <v>43.806399999999996</v>
      </c>
      <c r="D26" s="14">
        <f t="shared" si="1"/>
        <v>2.7393257606194532</v>
      </c>
    </row>
    <row r="27" spans="2:4" x14ac:dyDescent="0.25">
      <c r="B27">
        <v>0.13</v>
      </c>
      <c r="C27">
        <f>300.87*B27+7.702</f>
        <v>46.815100000000001</v>
      </c>
      <c r="D27" s="14">
        <f>B27/C27*1000</f>
        <v>2.776881818045887</v>
      </c>
    </row>
    <row r="28" spans="2:4" x14ac:dyDescent="0.25">
      <c r="B28">
        <v>0.14000000000000001</v>
      </c>
      <c r="C28">
        <f>300.87*B28+7.702</f>
        <v>49.823800000000006</v>
      </c>
      <c r="D28" s="14">
        <f>B28/C28*1000</f>
        <v>2.8099020949827191</v>
      </c>
    </row>
    <row r="29" spans="2:4" x14ac:dyDescent="0.25">
      <c r="B29">
        <v>0.15</v>
      </c>
      <c r="C29">
        <f t="shared" ref="C29:C58" si="2">300.87*B29+7.702</f>
        <v>52.832499999999996</v>
      </c>
      <c r="D29" s="14">
        <f t="shared" ref="D29:D48" si="3">B29/C29*1000</f>
        <v>2.839161500970047</v>
      </c>
    </row>
    <row r="30" spans="2:4" x14ac:dyDescent="0.25">
      <c r="B30">
        <v>0.16</v>
      </c>
      <c r="C30">
        <f t="shared" si="2"/>
        <v>55.841200000000001</v>
      </c>
      <c r="D30" s="14">
        <f t="shared" si="3"/>
        <v>2.8652679383680866</v>
      </c>
    </row>
    <row r="31" spans="2:4" x14ac:dyDescent="0.25">
      <c r="B31">
        <v>0.17</v>
      </c>
      <c r="C31">
        <f t="shared" si="2"/>
        <v>58.849900000000005</v>
      </c>
      <c r="D31" s="14">
        <f t="shared" si="3"/>
        <v>2.8887049935513907</v>
      </c>
    </row>
    <row r="32" spans="2:4" x14ac:dyDescent="0.25">
      <c r="B32">
        <v>0.18</v>
      </c>
      <c r="C32">
        <f t="shared" si="2"/>
        <v>61.858599999999996</v>
      </c>
      <c r="D32" s="14">
        <f t="shared" si="3"/>
        <v>2.9098621695285702</v>
      </c>
    </row>
    <row r="33" spans="2:5" x14ac:dyDescent="0.25">
      <c r="B33">
        <v>0.19</v>
      </c>
      <c r="C33">
        <f t="shared" si="2"/>
        <v>64.8673</v>
      </c>
      <c r="D33" s="14">
        <f t="shared" si="3"/>
        <v>2.9290567049962002</v>
      </c>
    </row>
    <row r="34" spans="2:5" x14ac:dyDescent="0.25">
      <c r="B34">
        <v>0.2</v>
      </c>
      <c r="C34">
        <f t="shared" si="2"/>
        <v>67.876000000000005</v>
      </c>
      <c r="D34" s="14">
        <f t="shared" si="3"/>
        <v>2.9465495904296066</v>
      </c>
    </row>
    <row r="35" spans="2:5" x14ac:dyDescent="0.25">
      <c r="B35">
        <v>0.21</v>
      </c>
      <c r="C35">
        <f t="shared" si="2"/>
        <v>70.884699999999995</v>
      </c>
      <c r="D35" s="14">
        <f t="shared" si="3"/>
        <v>2.9625575053572915</v>
      </c>
    </row>
    <row r="36" spans="2:5" x14ac:dyDescent="0.25">
      <c r="B36">
        <v>0.22</v>
      </c>
      <c r="C36">
        <f t="shared" si="2"/>
        <v>73.8934</v>
      </c>
      <c r="D36" s="14">
        <f t="shared" si="3"/>
        <v>2.9772618393523644</v>
      </c>
    </row>
    <row r="37" spans="2:5" x14ac:dyDescent="0.25">
      <c r="B37">
        <v>0.23</v>
      </c>
      <c r="C37">
        <f t="shared" si="2"/>
        <v>76.902100000000004</v>
      </c>
      <c r="D37" s="14">
        <f t="shared" si="3"/>
        <v>2.9908155954128692</v>
      </c>
    </row>
    <row r="38" spans="2:5" x14ac:dyDescent="0.25">
      <c r="B38">
        <v>0.24</v>
      </c>
      <c r="C38">
        <f t="shared" si="2"/>
        <v>79.910799999999995</v>
      </c>
      <c r="D38" s="14">
        <f t="shared" si="3"/>
        <v>3.0033487338382296</v>
      </c>
    </row>
    <row r="39" spans="2:5" x14ac:dyDescent="0.25">
      <c r="B39">
        <v>0.25</v>
      </c>
      <c r="C39">
        <f t="shared" si="2"/>
        <v>82.919499999999999</v>
      </c>
      <c r="D39" s="14">
        <f t="shared" si="3"/>
        <v>3.0149723527035257</v>
      </c>
    </row>
    <row r="40" spans="2:5" x14ac:dyDescent="0.25">
      <c r="B40">
        <v>0.26</v>
      </c>
      <c r="C40">
        <f t="shared" si="2"/>
        <v>85.928200000000004</v>
      </c>
      <c r="D40" s="14">
        <f t="shared" si="3"/>
        <v>3.0257819900800897</v>
      </c>
    </row>
    <row r="41" spans="2:5" x14ac:dyDescent="0.25">
      <c r="B41">
        <v>0.27</v>
      </c>
      <c r="C41">
        <f t="shared" si="2"/>
        <v>88.936900000000009</v>
      </c>
      <c r="D41" s="14">
        <f t="shared" si="3"/>
        <v>3.0358602559792391</v>
      </c>
    </row>
    <row r="42" spans="2:5" x14ac:dyDescent="0.25">
      <c r="B42">
        <v>0.28000000000000003</v>
      </c>
      <c r="C42">
        <f t="shared" si="2"/>
        <v>91.945600000000013</v>
      </c>
      <c r="D42" s="14">
        <f t="shared" si="3"/>
        <v>3.0452789475515956</v>
      </c>
    </row>
    <row r="43" spans="2:5" x14ac:dyDescent="0.25">
      <c r="B43">
        <v>0.28999999999999998</v>
      </c>
      <c r="C43">
        <f t="shared" si="2"/>
        <v>94.954299999999989</v>
      </c>
      <c r="D43" s="14">
        <f t="shared" si="3"/>
        <v>3.0541007621561107</v>
      </c>
    </row>
    <row r="44" spans="2:5" x14ac:dyDescent="0.25">
      <c r="B44">
        <v>0.3</v>
      </c>
      <c r="C44">
        <f t="shared" si="2"/>
        <v>97.962999999999994</v>
      </c>
      <c r="D44" s="14">
        <f t="shared" si="3"/>
        <v>3.0623806947521004</v>
      </c>
      <c r="E44">
        <f>(10-7.702)/300.87</f>
        <v>7.6378502343204709E-3</v>
      </c>
    </row>
    <row r="45" spans="2:5" x14ac:dyDescent="0.25">
      <c r="B45">
        <v>0.31</v>
      </c>
      <c r="C45">
        <f t="shared" si="2"/>
        <v>100.9717</v>
      </c>
      <c r="D45" s="14">
        <f t="shared" si="3"/>
        <v>3.0701671854588959</v>
      </c>
    </row>
    <row r="46" spans="2:5" x14ac:dyDescent="0.25">
      <c r="B46">
        <v>0.32</v>
      </c>
      <c r="C46">
        <f t="shared" si="2"/>
        <v>103.9804</v>
      </c>
      <c r="D46" s="14">
        <f t="shared" si="3"/>
        <v>3.0775030678858708</v>
      </c>
    </row>
    <row r="47" spans="2:5" x14ac:dyDescent="0.25">
      <c r="B47">
        <v>0.33</v>
      </c>
      <c r="C47">
        <f t="shared" si="2"/>
        <v>106.98910000000001</v>
      </c>
      <c r="D47" s="14">
        <f t="shared" si="3"/>
        <v>3.0844263574513664</v>
      </c>
    </row>
    <row r="48" spans="2:5" x14ac:dyDescent="0.25">
      <c r="B48">
        <v>0.34</v>
      </c>
      <c r="C48">
        <f t="shared" si="2"/>
        <v>109.99780000000001</v>
      </c>
      <c r="D48" s="14">
        <f t="shared" si="3"/>
        <v>3.0909709103272971</v>
      </c>
    </row>
    <row r="49" spans="2:4" x14ac:dyDescent="0.25">
      <c r="B49">
        <v>0.35</v>
      </c>
      <c r="C49">
        <f t="shared" si="2"/>
        <v>113.00649999999999</v>
      </c>
      <c r="D49" s="14">
        <f t="shared" ref="D49:D58" si="4">B49/C49*1000</f>
        <v>3.0971669771207853</v>
      </c>
    </row>
    <row r="50" spans="2:4" x14ac:dyDescent="0.25">
      <c r="B50">
        <v>0.36</v>
      </c>
      <c r="C50">
        <f t="shared" si="2"/>
        <v>116.01519999999999</v>
      </c>
      <c r="D50" s="14">
        <f t="shared" si="4"/>
        <v>3.1030416704018093</v>
      </c>
    </row>
    <row r="51" spans="2:4" x14ac:dyDescent="0.25">
      <c r="B51">
        <v>0.37</v>
      </c>
      <c r="C51">
        <f t="shared" si="2"/>
        <v>119.0239</v>
      </c>
      <c r="D51" s="14">
        <f t="shared" si="4"/>
        <v>3.10861936132155</v>
      </c>
    </row>
    <row r="52" spans="2:4" x14ac:dyDescent="0.25">
      <c r="B52">
        <v>0.38</v>
      </c>
      <c r="C52">
        <f t="shared" si="2"/>
        <v>122.0326</v>
      </c>
      <c r="D52" s="14">
        <f t="shared" si="4"/>
        <v>3.1139220175592426</v>
      </c>
    </row>
    <row r="53" spans="2:4" x14ac:dyDescent="0.25">
      <c r="B53">
        <v>0.39</v>
      </c>
      <c r="C53">
        <f t="shared" si="2"/>
        <v>125.04130000000001</v>
      </c>
      <c r="D53" s="14">
        <f t="shared" si="4"/>
        <v>3.1189694924796849</v>
      </c>
    </row>
    <row r="54" spans="2:4" x14ac:dyDescent="0.25">
      <c r="B54">
        <v>0.4</v>
      </c>
      <c r="C54">
        <f t="shared" si="2"/>
        <v>128.05000000000001</v>
      </c>
      <c r="D54" s="14">
        <f t="shared" si="4"/>
        <v>3.1237797735259667</v>
      </c>
    </row>
    <row r="55" spans="2:4" x14ac:dyDescent="0.25">
      <c r="B55">
        <v>0.41</v>
      </c>
      <c r="C55">
        <f t="shared" si="2"/>
        <v>131.05869999999999</v>
      </c>
      <c r="D55" s="14">
        <f t="shared" si="4"/>
        <v>3.1283691963982552</v>
      </c>
    </row>
    <row r="56" spans="2:4" x14ac:dyDescent="0.25">
      <c r="B56">
        <v>0.42</v>
      </c>
      <c r="C56">
        <f t="shared" si="2"/>
        <v>134.06739999999999</v>
      </c>
      <c r="D56" s="14">
        <f t="shared" si="4"/>
        <v>3.1327526303933695</v>
      </c>
    </row>
    <row r="57" spans="2:4" x14ac:dyDescent="0.25">
      <c r="B57">
        <v>0.43</v>
      </c>
      <c r="C57">
        <f t="shared" si="2"/>
        <v>137.0761</v>
      </c>
      <c r="D57" s="14">
        <f t="shared" si="4"/>
        <v>3.1369436393361059</v>
      </c>
    </row>
    <row r="58" spans="2:4" x14ac:dyDescent="0.25">
      <c r="B58">
        <v>0.44</v>
      </c>
      <c r="C58">
        <f t="shared" si="2"/>
        <v>140.0848</v>
      </c>
      <c r="D58" s="14">
        <f t="shared" si="4"/>
        <v>3.1409546217719551</v>
      </c>
    </row>
    <row r="59" spans="2:4" x14ac:dyDescent="0.25">
      <c r="B59">
        <v>0.45</v>
      </c>
      <c r="C59">
        <f>300.87*B59+7.702</f>
        <v>143.09350000000001</v>
      </c>
      <c r="D59" s="14">
        <f>B59/C59*1000</f>
        <v>3.1447969334735681</v>
      </c>
    </row>
    <row r="60" spans="2:4" x14ac:dyDescent="0.25">
      <c r="B60">
        <v>0.46</v>
      </c>
      <c r="C60">
        <f>300.87*B60+7.702</f>
        <v>146.10220000000001</v>
      </c>
      <c r="D60" s="14">
        <f>B60/C60*1000</f>
        <v>3.1484809948104817</v>
      </c>
    </row>
    <row r="61" spans="2:4" x14ac:dyDescent="0.25">
      <c r="B61">
        <v>0.47</v>
      </c>
      <c r="C61">
        <f t="shared" ref="C61:C70" si="5">300.87*B61+7.702</f>
        <v>149.11089999999999</v>
      </c>
      <c r="D61" s="14">
        <f t="shared" ref="D61:D70" si="6">B61/C61*1000</f>
        <v>3.1520163851200684</v>
      </c>
    </row>
    <row r="62" spans="2:4" x14ac:dyDescent="0.25">
      <c r="B62">
        <v>0.48</v>
      </c>
      <c r="C62">
        <f t="shared" si="5"/>
        <v>152.11959999999999</v>
      </c>
      <c r="D62" s="14">
        <f t="shared" si="6"/>
        <v>3.155411925879374</v>
      </c>
    </row>
    <row r="63" spans="2:4" x14ac:dyDescent="0.25">
      <c r="B63">
        <v>0.49</v>
      </c>
      <c r="C63">
        <f t="shared" si="5"/>
        <v>155.1283</v>
      </c>
      <c r="D63" s="14">
        <f t="shared" si="6"/>
        <v>3.158675754198299</v>
      </c>
    </row>
    <row r="64" spans="2:4" x14ac:dyDescent="0.25">
      <c r="B64">
        <v>0.5</v>
      </c>
      <c r="C64">
        <f t="shared" si="5"/>
        <v>158.137</v>
      </c>
      <c r="D64" s="14">
        <f t="shared" si="6"/>
        <v>3.1618153879231299</v>
      </c>
    </row>
    <row r="65" spans="2:4" x14ac:dyDescent="0.25">
      <c r="B65">
        <v>0.51</v>
      </c>
      <c r="C65">
        <f t="shared" si="5"/>
        <v>161.14570000000001</v>
      </c>
      <c r="D65" s="14">
        <f t="shared" si="6"/>
        <v>3.1648377834469055</v>
      </c>
    </row>
    <row r="66" spans="2:4" x14ac:dyDescent="0.25">
      <c r="B66">
        <v>0.52</v>
      </c>
      <c r="C66">
        <f t="shared" si="5"/>
        <v>164.15440000000001</v>
      </c>
      <c r="D66" s="14">
        <f t="shared" si="6"/>
        <v>3.1677493871623299</v>
      </c>
    </row>
    <row r="67" spans="2:4" x14ac:dyDescent="0.25">
      <c r="B67">
        <v>0.53</v>
      </c>
      <c r="C67">
        <f t="shared" si="5"/>
        <v>167.16310000000001</v>
      </c>
      <c r="D67" s="14">
        <f t="shared" si="6"/>
        <v>3.1705561813582066</v>
      </c>
    </row>
    <row r="68" spans="2:4" x14ac:dyDescent="0.25">
      <c r="B68">
        <v>0.54</v>
      </c>
      <c r="C68">
        <f t="shared" si="5"/>
        <v>170.17180000000002</v>
      </c>
      <c r="D68" s="14">
        <f t="shared" si="6"/>
        <v>3.1732637252470739</v>
      </c>
    </row>
    <row r="69" spans="2:4" x14ac:dyDescent="0.25">
      <c r="B69">
        <v>0.55000000000000004</v>
      </c>
      <c r="C69">
        <f t="shared" si="5"/>
        <v>173.18050000000002</v>
      </c>
      <c r="D69" s="14">
        <f t="shared" si="6"/>
        <v>3.1758771917161575</v>
      </c>
    </row>
    <row r="70" spans="2:4" x14ac:dyDescent="0.25">
      <c r="B70">
        <v>0.56000000000000005</v>
      </c>
      <c r="C70">
        <f t="shared" si="5"/>
        <v>176.18920000000003</v>
      </c>
      <c r="D70" s="14">
        <f t="shared" si="6"/>
        <v>3.1784014003128451</v>
      </c>
    </row>
    <row r="71" spans="2:4" x14ac:dyDescent="0.25">
      <c r="B71">
        <v>0.56999999999999995</v>
      </c>
      <c r="C71">
        <f>300.87*B71+7.702</f>
        <v>179.19789999999998</v>
      </c>
      <c r="D71" s="14">
        <f>B71/C71*1000</f>
        <v>3.1808408469072464</v>
      </c>
    </row>
    <row r="72" spans="2:4" x14ac:dyDescent="0.25">
      <c r="B72">
        <v>0.57999999999999996</v>
      </c>
      <c r="C72">
        <f>300.87*B72+7.702</f>
        <v>182.20659999999998</v>
      </c>
      <c r="D72" s="14">
        <f>B72/C72*1000</f>
        <v>3.1831997304159123</v>
      </c>
    </row>
    <row r="73" spans="2:4" x14ac:dyDescent="0.25">
      <c r="B73">
        <v>0.59</v>
      </c>
      <c r="C73">
        <f t="shared" ref="C73:C74" si="7">300.87*B73+7.702</f>
        <v>185.21529999999998</v>
      </c>
      <c r="D73" s="14">
        <f t="shared" ref="D73:D74" si="8">B73/C73*1000</f>
        <v>3.1854819769209133</v>
      </c>
    </row>
    <row r="74" spans="2:4" x14ac:dyDescent="0.25">
      <c r="B74">
        <v>0.6</v>
      </c>
      <c r="C74">
        <f t="shared" si="7"/>
        <v>188.22399999999999</v>
      </c>
      <c r="D74" s="14">
        <f t="shared" si="8"/>
        <v>3.1876912614756887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10_22</vt:lpstr>
      <vt:lpstr>10_27</vt:lpstr>
      <vt:lpstr>11_2</vt:lpstr>
      <vt:lpstr>11_5</vt:lpstr>
      <vt:lpstr>11_12</vt:lpstr>
      <vt:lpstr>11_19</vt:lpstr>
      <vt:lpstr>Methane Standard Curve</vt:lpstr>
      <vt:lpstr>Compilation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Administrator</cp:lastModifiedBy>
  <dcterms:created xsi:type="dcterms:W3CDTF">2015-10-26T23:35:27Z</dcterms:created>
  <dcterms:modified xsi:type="dcterms:W3CDTF">2015-11-24T00:27:55Z</dcterms:modified>
</cp:coreProperties>
</file>