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tabRatio="769" activeTab="10"/>
  </bookViews>
  <sheets>
    <sheet name="Neatened Compilation" sheetId="14" r:id="rId1"/>
    <sheet name="10_22" sheetId="1" r:id="rId2"/>
    <sheet name="10_27" sheetId="2" r:id="rId3"/>
    <sheet name="11_2" sheetId="3" r:id="rId4"/>
    <sheet name="11_12" sheetId="5" r:id="rId5"/>
    <sheet name="11_19" sheetId="7" r:id="rId6"/>
    <sheet name="12_01" sheetId="11" r:id="rId7"/>
    <sheet name="12_07" sheetId="12" r:id="rId8"/>
    <sheet name="12_11" sheetId="15" r:id="rId9"/>
    <sheet name="12_19" sheetId="16" r:id="rId10"/>
    <sheet name="12_21" sheetId="17" r:id="rId11"/>
    <sheet name="Methane Standard Curve" sheetId="6" r:id="rId12"/>
    <sheet name="Compilation" sheetId="8" r:id="rId13"/>
    <sheet name="12_01_Summary of Results" sheetId="10" r:id="rId14"/>
    <sheet name="11_5" sheetId="4" r:id="rId15"/>
  </sheets>
  <calcPr calcId="145621"/>
</workbook>
</file>

<file path=xl/calcChain.xml><?xml version="1.0" encoding="utf-8"?>
<calcChain xmlns="http://schemas.openxmlformats.org/spreadsheetml/2006/main">
  <c r="F11" i="14" l="1"/>
  <c r="G11" i="14" s="1"/>
  <c r="C7" i="16"/>
  <c r="D7" i="16"/>
  <c r="E7" i="16"/>
  <c r="A7" i="16"/>
  <c r="A4" i="17"/>
  <c r="F21" i="17"/>
  <c r="F22" i="17" s="1"/>
  <c r="F25" i="17" s="1"/>
  <c r="F20" i="17"/>
  <c r="F23" i="17" s="1"/>
  <c r="B18" i="17"/>
  <c r="B17" i="17"/>
  <c r="B16" i="17"/>
  <c r="B15" i="17"/>
  <c r="B14" i="17"/>
  <c r="C5" i="17"/>
  <c r="D5" i="17" s="1"/>
  <c r="E5" i="17" s="1"/>
  <c r="C4" i="17"/>
  <c r="D4" i="17" s="1"/>
  <c r="E4" i="17" s="1"/>
  <c r="H11" i="14" l="1"/>
  <c r="I11" i="14"/>
  <c r="B20" i="17"/>
  <c r="B21" i="17" s="1"/>
  <c r="F24" i="17"/>
  <c r="E10" i="17"/>
  <c r="E9" i="17"/>
  <c r="F4" i="17"/>
  <c r="B19" i="17"/>
  <c r="B25" i="17" s="1"/>
  <c r="B26" i="17" s="1"/>
  <c r="B27" i="17" s="1"/>
  <c r="F30" i="15"/>
  <c r="F30" i="16"/>
  <c r="I10" i="14"/>
  <c r="H10" i="14"/>
  <c r="G10" i="14"/>
  <c r="F10" i="14"/>
  <c r="E10" i="16"/>
  <c r="C5" i="16"/>
  <c r="D5" i="16"/>
  <c r="E5" i="16" s="1"/>
  <c r="C6" i="16"/>
  <c r="D6" i="16" s="1"/>
  <c r="E6" i="16" s="1"/>
  <c r="A6" i="16"/>
  <c r="A5" i="16"/>
  <c r="F9" i="17" l="1"/>
  <c r="C28" i="17"/>
  <c r="B28" i="17"/>
  <c r="B30" i="17" s="1"/>
  <c r="F27" i="17"/>
  <c r="F4" i="16"/>
  <c r="F21" i="16"/>
  <c r="F24" i="16" s="1"/>
  <c r="F20" i="16"/>
  <c r="F23" i="16" s="1"/>
  <c r="B18" i="16"/>
  <c r="B17" i="16"/>
  <c r="B16" i="16"/>
  <c r="B15" i="16"/>
  <c r="B14" i="16"/>
  <c r="C4" i="16"/>
  <c r="D4" i="16" s="1"/>
  <c r="E4" i="16" s="1"/>
  <c r="E9" i="16" s="1"/>
  <c r="F30" i="17" l="1"/>
  <c r="F33" i="17" s="1"/>
  <c r="F28" i="17"/>
  <c r="F31" i="17" s="1"/>
  <c r="B20" i="16"/>
  <c r="B21" i="16" s="1"/>
  <c r="F9" i="16"/>
  <c r="B19" i="16"/>
  <c r="B25" i="16" s="1"/>
  <c r="B26" i="16" s="1"/>
  <c r="B27" i="16" s="1"/>
  <c r="F22" i="16"/>
  <c r="F25" i="16" s="1"/>
  <c r="F34" i="15"/>
  <c r="F28" i="2"/>
  <c r="F31" i="2" s="1"/>
  <c r="F29" i="2"/>
  <c r="F31" i="15"/>
  <c r="F31" i="12"/>
  <c r="F30" i="12"/>
  <c r="F31" i="11"/>
  <c r="F30" i="11"/>
  <c r="F29" i="7"/>
  <c r="F28" i="7"/>
  <c r="F29" i="5"/>
  <c r="F28" i="5"/>
  <c r="F30" i="3"/>
  <c r="F29" i="3"/>
  <c r="F26" i="2"/>
  <c r="F27" i="3"/>
  <c r="F26" i="5"/>
  <c r="F26" i="7"/>
  <c r="F28" i="11"/>
  <c r="F28" i="12"/>
  <c r="F28" i="15"/>
  <c r="F27" i="15"/>
  <c r="F33" i="15"/>
  <c r="F25" i="15"/>
  <c r="F24" i="15"/>
  <c r="F27" i="12"/>
  <c r="F33" i="12" s="1"/>
  <c r="F25" i="12"/>
  <c r="F24" i="12"/>
  <c r="F27" i="11"/>
  <c r="F25" i="11"/>
  <c r="F24" i="11"/>
  <c r="F25" i="7"/>
  <c r="F23" i="7"/>
  <c r="F22" i="7"/>
  <c r="F25" i="5"/>
  <c r="F31" i="5" s="1"/>
  <c r="F23" i="5"/>
  <c r="F22" i="5"/>
  <c r="F26" i="3"/>
  <c r="F32" i="3" s="1"/>
  <c r="F24" i="3"/>
  <c r="F23" i="3"/>
  <c r="F22" i="2"/>
  <c r="F23" i="2"/>
  <c r="F25" i="2"/>
  <c r="F32" i="1"/>
  <c r="F47" i="1"/>
  <c r="F46" i="1"/>
  <c r="F45" i="1"/>
  <c r="F38" i="1"/>
  <c r="F39" i="1"/>
  <c r="E36" i="1"/>
  <c r="F36" i="1"/>
  <c r="F31" i="1"/>
  <c r="F29" i="1"/>
  <c r="F28" i="1"/>
  <c r="E11" i="12"/>
  <c r="E11" i="11"/>
  <c r="E9" i="7"/>
  <c r="E9" i="5"/>
  <c r="E10" i="3"/>
  <c r="E9" i="2"/>
  <c r="E9" i="1"/>
  <c r="F26" i="1"/>
  <c r="F25" i="1"/>
  <c r="F23" i="1"/>
  <c r="F22" i="1"/>
  <c r="F21" i="1"/>
  <c r="F20" i="1"/>
  <c r="F20" i="2"/>
  <c r="F21" i="3"/>
  <c r="F20" i="5"/>
  <c r="F20" i="7"/>
  <c r="F22" i="11"/>
  <c r="F22" i="12"/>
  <c r="F22" i="15"/>
  <c r="B21" i="15"/>
  <c r="B21" i="12"/>
  <c r="B21" i="11"/>
  <c r="B19" i="7"/>
  <c r="B19" i="5"/>
  <c r="B20" i="3"/>
  <c r="B19" i="2"/>
  <c r="B12" i="1"/>
  <c r="F34" i="17" l="1"/>
  <c r="C28" i="16"/>
  <c r="B28" i="16"/>
  <c r="B30" i="16" s="1"/>
  <c r="F27" i="16"/>
  <c r="F33" i="11"/>
  <c r="F31" i="7"/>
  <c r="F34" i="12"/>
  <c r="F34" i="11"/>
  <c r="F32" i="7"/>
  <c r="F32" i="5"/>
  <c r="F33" i="3"/>
  <c r="F32" i="2"/>
  <c r="G9" i="14"/>
  <c r="H9" i="14" s="1"/>
  <c r="F9" i="14"/>
  <c r="F20" i="15"/>
  <c r="F21" i="15"/>
  <c r="F23" i="15"/>
  <c r="B18" i="15"/>
  <c r="B17" i="15"/>
  <c r="B16" i="15"/>
  <c r="B15" i="15"/>
  <c r="B19" i="15" s="1"/>
  <c r="B14" i="15"/>
  <c r="C4" i="15"/>
  <c r="D4" i="15"/>
  <c r="E4" i="15" s="1"/>
  <c r="F28" i="16" l="1"/>
  <c r="F31" i="16" s="1"/>
  <c r="F33" i="16"/>
  <c r="B20" i="15"/>
  <c r="E9" i="15"/>
  <c r="F9" i="15" s="1"/>
  <c r="B25" i="15"/>
  <c r="I15" i="14"/>
  <c r="H15" i="14"/>
  <c r="F34" i="16" l="1"/>
  <c r="B26" i="15"/>
  <c r="B27" i="15" s="1"/>
  <c r="I16" i="14"/>
  <c r="F2" i="14"/>
  <c r="G2" i="14"/>
  <c r="H2" i="14"/>
  <c r="I2" i="14"/>
  <c r="J2" i="14" s="1"/>
  <c r="J3" i="14"/>
  <c r="J4" i="14"/>
  <c r="J5" i="14"/>
  <c r="J6" i="14"/>
  <c r="J7" i="14"/>
  <c r="J8" i="14"/>
  <c r="I3" i="14"/>
  <c r="I4" i="14"/>
  <c r="I5" i="14"/>
  <c r="I6" i="14"/>
  <c r="I7" i="14"/>
  <c r="I8" i="14"/>
  <c r="I9" i="14"/>
  <c r="J9" i="14" s="1"/>
  <c r="C28" i="15" l="1"/>
  <c r="B28" i="15"/>
  <c r="B30" i="15" s="1"/>
  <c r="H3" i="14"/>
  <c r="H4" i="14"/>
  <c r="H5" i="14"/>
  <c r="H6" i="14"/>
  <c r="H7" i="14"/>
  <c r="H8" i="14"/>
  <c r="G3" i="14"/>
  <c r="G4" i="14"/>
  <c r="G5" i="14"/>
  <c r="G6" i="14"/>
  <c r="G7" i="14"/>
  <c r="G8" i="14"/>
  <c r="F3" i="14"/>
  <c r="F4" i="14"/>
  <c r="F5" i="14"/>
  <c r="F6" i="14"/>
  <c r="F7" i="14"/>
  <c r="F8" i="14"/>
  <c r="F19" i="1"/>
  <c r="F20" i="12" l="1"/>
  <c r="A4" i="12"/>
  <c r="A6" i="12"/>
  <c r="A7" i="12"/>
  <c r="F21" i="12"/>
  <c r="B18" i="12"/>
  <c r="B17" i="12"/>
  <c r="B16" i="12"/>
  <c r="B15" i="12"/>
  <c r="B14" i="12"/>
  <c r="C8" i="12"/>
  <c r="D8" i="12" s="1"/>
  <c r="E8" i="12" s="1"/>
  <c r="C7" i="12"/>
  <c r="C6" i="12"/>
  <c r="C5" i="12"/>
  <c r="D5" i="12" s="1"/>
  <c r="E5" i="12" s="1"/>
  <c r="C4" i="12"/>
  <c r="D4" i="12" s="1"/>
  <c r="E4" i="12" s="1"/>
  <c r="B19" i="12" l="1"/>
  <c r="B20" i="12"/>
  <c r="D7" i="12"/>
  <c r="E7" i="12" s="1"/>
  <c r="D6" i="12"/>
  <c r="E6" i="12" s="1"/>
  <c r="C24" i="8"/>
  <c r="E24" i="8"/>
  <c r="I16" i="8"/>
  <c r="H16" i="8"/>
  <c r="F5" i="8"/>
  <c r="F6" i="8"/>
  <c r="F2" i="8"/>
  <c r="D3" i="8"/>
  <c r="F3" i="8" s="1"/>
  <c r="D4" i="8"/>
  <c r="F4" i="8" s="1"/>
  <c r="D5" i="8"/>
  <c r="D6" i="8"/>
  <c r="D2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E10" i="12" l="1"/>
  <c r="E9" i="12"/>
  <c r="F9" i="12" s="1"/>
  <c r="H46" i="8"/>
  <c r="C7" i="11"/>
  <c r="D7" i="11"/>
  <c r="E7" i="11" s="1"/>
  <c r="C8" i="11"/>
  <c r="D8" i="11" s="1"/>
  <c r="E8" i="11" s="1"/>
  <c r="A5" i="11"/>
  <c r="A6" i="11" s="1"/>
  <c r="F21" i="11"/>
  <c r="F20" i="11"/>
  <c r="B18" i="11"/>
  <c r="B17" i="11"/>
  <c r="B16" i="11"/>
  <c r="B15" i="11"/>
  <c r="B14" i="11"/>
  <c r="C6" i="11"/>
  <c r="C5" i="11"/>
  <c r="C4" i="11"/>
  <c r="D4" i="11" s="1"/>
  <c r="E4" i="11" s="1"/>
  <c r="B20" i="11" l="1"/>
  <c r="D5" i="11"/>
  <c r="E5" i="11" s="1"/>
  <c r="E10" i="11" s="1"/>
  <c r="D6" i="11"/>
  <c r="E6" i="11" s="1"/>
  <c r="B19" i="11"/>
  <c r="E12" i="10"/>
  <c r="E13" i="10"/>
  <c r="E14" i="10"/>
  <c r="D12" i="10"/>
  <c r="D13" i="10"/>
  <c r="D14" i="10"/>
  <c r="D11" i="10"/>
  <c r="E11" i="10" s="1"/>
  <c r="C12" i="10"/>
  <c r="C13" i="10"/>
  <c r="C14" i="10"/>
  <c r="C11" i="10"/>
  <c r="D7" i="10"/>
  <c r="D6" i="10"/>
  <c r="D5" i="10"/>
  <c r="D4" i="10"/>
  <c r="D3" i="10"/>
  <c r="E9" i="11" l="1"/>
  <c r="B7" i="8" s="1"/>
  <c r="G31" i="4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E4" i="8"/>
  <c r="G4" i="8" s="1"/>
  <c r="E6" i="8"/>
  <c r="G6" i="8" s="1"/>
  <c r="E5" i="8"/>
  <c r="G5" i="8" s="1"/>
  <c r="E3" i="8"/>
  <c r="G3" i="8" s="1"/>
  <c r="E2" i="8"/>
  <c r="G2" i="8" s="1"/>
  <c r="F9" i="11" l="1"/>
  <c r="A5" i="7" l="1"/>
  <c r="F19" i="7"/>
  <c r="F18" i="7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F7" i="7" s="1"/>
  <c r="B17" i="7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F23" i="12" l="1"/>
  <c r="B25" i="12" s="1"/>
  <c r="F23" i="11"/>
  <c r="B25" i="11" s="1"/>
  <c r="F21" i="7"/>
  <c r="B23" i="7" s="1"/>
  <c r="A6" i="4"/>
  <c r="A5" i="4"/>
  <c r="A4" i="4"/>
  <c r="F19" i="5"/>
  <c r="F18" i="5"/>
  <c r="F21" i="5" s="1"/>
  <c r="B16" i="5"/>
  <c r="B15" i="5"/>
  <c r="B14" i="5"/>
  <c r="B13" i="5"/>
  <c r="B12" i="5"/>
  <c r="B18" i="5" s="1"/>
  <c r="C4" i="5"/>
  <c r="D4" i="5" s="1"/>
  <c r="E4" i="5" s="1"/>
  <c r="E7" i="5" s="1"/>
  <c r="F7" i="5" s="1"/>
  <c r="B24" i="7" l="1"/>
  <c r="B25" i="7" s="1"/>
  <c r="B26" i="11"/>
  <c r="B27" i="11" s="1"/>
  <c r="B26" i="12"/>
  <c r="B27" i="12" s="1"/>
  <c r="B23" i="5"/>
  <c r="B17" i="5"/>
  <c r="F19" i="4"/>
  <c r="F18" i="4"/>
  <c r="F21" i="4" s="1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C7" i="3"/>
  <c r="D7" i="3" s="1"/>
  <c r="E7" i="3" s="1"/>
  <c r="A6" i="3"/>
  <c r="A5" i="3"/>
  <c r="A4" i="3"/>
  <c r="F20" i="3"/>
  <c r="F19" i="3"/>
  <c r="F22" i="3" s="1"/>
  <c r="B17" i="3"/>
  <c r="B16" i="3"/>
  <c r="B15" i="3"/>
  <c r="B14" i="3"/>
  <c r="B13" i="3"/>
  <c r="C6" i="3"/>
  <c r="C5" i="3"/>
  <c r="D5" i="3" s="1"/>
  <c r="E5" i="3" s="1"/>
  <c r="C4" i="3"/>
  <c r="D4" i="3"/>
  <c r="E4" i="3" s="1"/>
  <c r="B24" i="5" l="1"/>
  <c r="B25" i="5" s="1"/>
  <c r="B26" i="5" s="1"/>
  <c r="C28" i="11"/>
  <c r="B28" i="11"/>
  <c r="C28" i="12"/>
  <c r="B28" i="12"/>
  <c r="B30" i="12" s="1"/>
  <c r="B26" i="7"/>
  <c r="B28" i="7" s="1"/>
  <c r="C26" i="7"/>
  <c r="B18" i="4"/>
  <c r="E8" i="4"/>
  <c r="E7" i="4"/>
  <c r="F7" i="4" s="1"/>
  <c r="B17" i="4"/>
  <c r="B23" i="4" s="1"/>
  <c r="D6" i="3"/>
  <c r="E6" i="3" s="1"/>
  <c r="E8" i="3" s="1"/>
  <c r="F8" i="3" s="1"/>
  <c r="B19" i="3"/>
  <c r="B18" i="3"/>
  <c r="B24" i="3" s="1"/>
  <c r="F19" i="2"/>
  <c r="F18" i="2"/>
  <c r="F21" i="2" s="1"/>
  <c r="A5" i="2"/>
  <c r="A4" i="2"/>
  <c r="C4" i="2"/>
  <c r="B16" i="2"/>
  <c r="B15" i="2"/>
  <c r="B14" i="2"/>
  <c r="B13" i="2"/>
  <c r="B12" i="2"/>
  <c r="C6" i="2"/>
  <c r="D6" i="2" s="1"/>
  <c r="E6" i="2" s="1"/>
  <c r="C5" i="2"/>
  <c r="F18" i="1"/>
  <c r="B18" i="1"/>
  <c r="B19" i="1" s="1"/>
  <c r="B13" i="1"/>
  <c r="B14" i="1"/>
  <c r="B15" i="1"/>
  <c r="B16" i="1"/>
  <c r="B17" i="1"/>
  <c r="B23" i="1" s="1"/>
  <c r="B24" i="1" s="1"/>
  <c r="B25" i="1" s="1"/>
  <c r="B26" i="1" s="1"/>
  <c r="B28" i="1" s="1"/>
  <c r="B24" i="4" l="1"/>
  <c r="B25" i="4" s="1"/>
  <c r="B26" i="4" s="1"/>
  <c r="B28" i="4" s="1"/>
  <c r="B31" i="4"/>
  <c r="C31" i="4" s="1"/>
  <c r="D31" i="4" s="1"/>
  <c r="E31" i="4" s="1"/>
  <c r="F31" i="4" s="1"/>
  <c r="B30" i="11"/>
  <c r="C7" i="8"/>
  <c r="B25" i="3"/>
  <c r="B26" i="3" s="1"/>
  <c r="B27" i="3" s="1"/>
  <c r="B23" i="2"/>
  <c r="E9" i="3"/>
  <c r="B18" i="2"/>
  <c r="D5" i="2"/>
  <c r="E5" i="2" s="1"/>
  <c r="D4" i="2"/>
  <c r="E4" i="2" s="1"/>
  <c r="B17" i="2"/>
  <c r="D5" i="1"/>
  <c r="E5" i="1" s="1"/>
  <c r="C5" i="1"/>
  <c r="C6" i="1"/>
  <c r="A6" i="1"/>
  <c r="D6" i="1" s="1"/>
  <c r="E6" i="1" s="1"/>
  <c r="A5" i="1"/>
  <c r="E8" i="1" l="1"/>
  <c r="E7" i="1"/>
  <c r="B24" i="2"/>
  <c r="B25" i="2" s="1"/>
  <c r="B26" i="2" s="1"/>
  <c r="B28" i="2" s="1"/>
  <c r="D7" i="8"/>
  <c r="F7" i="8" s="1"/>
  <c r="E7" i="8"/>
  <c r="G7" i="8" s="1"/>
  <c r="E8" i="2"/>
  <c r="E7" i="2"/>
  <c r="F7" i="2" s="1"/>
</calcChain>
</file>

<file path=xl/sharedStrings.xml><?xml version="1.0" encoding="utf-8"?>
<sst xmlns="http://schemas.openxmlformats.org/spreadsheetml/2006/main" count="475" uniqueCount="102">
  <si>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</si>
  <si>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</si>
  <si>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</si>
  <si>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</si>
  <si>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</si>
  <si>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</si>
  <si>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</si>
  <si>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</si>
  <si>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</si>
  <si>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</si>
  <si>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</si>
  <si>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</si>
  <si>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</si>
  <si>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</si>
  <si>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</si>
  <si>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</si>
  <si>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</si>
  <si>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</si>
  <si>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</si>
  <si>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</si>
  <si>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</si>
  <si>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</si>
  <si>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</si>
  <si>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</si>
  <si>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</si>
  <si>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</si>
  <si>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</si>
  <si>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</si>
  <si>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</si>
  <si>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</si>
  <si>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</si>
  <si>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</si>
  <si>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</si>
  <si>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</si>
  <si>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</si>
  <si>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</si>
  <si>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</si>
  <si>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</si>
  <si>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</si>
  <si>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</si>
  <si>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</si>
  <si>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</si>
  <si>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</si>
  <si>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</si>
  <si>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</si>
  <si>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</si>
  <si>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</si>
  <si>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</si>
  <si>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</si>
  <si>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</si>
  <si>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</si>
  <si>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</si>
  <si>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</si>
  <si>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</si>
  <si>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</si>
  <si>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</si>
  <si>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</si>
  <si>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</si>
  <si>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</si>
  <si>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</si>
  <si>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</si>
  <si>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</si>
  <si>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</si>
  <si>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</si>
  <si>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</si>
  <si>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</si>
  <si>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</si>
  <si>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</si>
  <si>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</si>
  <si>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</si>
  <si>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</si>
  <si>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</si>
  <si>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</si>
  <si>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</si>
  <si>
    <t>OD</t>
  </si>
  <si>
    <t>GC Peaks</t>
  </si>
  <si>
    <t>-</t>
  </si>
  <si>
    <t>Flow Rate (mL/min)</t>
  </si>
  <si>
    <t>Dilution Rate (1/h)</t>
  </si>
  <si>
    <t>Kyle's Values</t>
  </si>
  <si>
    <t xml:space="preserve">Current OD: </t>
  </si>
  <si>
    <t>Kyle's Yield (12 h/L)</t>
  </si>
  <si>
    <t>Predicted Yield (12 h/L)</t>
  </si>
  <si>
    <t>Ch4 Flow (mL/min)</t>
  </si>
  <si>
    <t>Ch4 Flux (mmol/gDCW/h)</t>
  </si>
  <si>
    <t>Simple Yield</t>
  </si>
  <si>
    <t>Model Values</t>
  </si>
  <si>
    <t>&lt;--Error</t>
  </si>
  <si>
    <t>**Throwing this point out; it was measured differently, by me/Tom rather than by me, and I’m concerned about operator error</t>
  </si>
  <si>
    <t xml:space="preserve">95% Conf. Int. </t>
  </si>
  <si>
    <t>95% Conf Int</t>
  </si>
  <si>
    <t>Methane (mL/min)</t>
  </si>
  <si>
    <t>95% CI Error</t>
  </si>
  <si>
    <t>**Change This when OD Changes</t>
  </si>
  <si>
    <t>Yield (gDCW/mol)</t>
  </si>
  <si>
    <t>Sqrt Term</t>
  </si>
  <si>
    <t>Actual Sqrt of it</t>
  </si>
  <si>
    <t>Times R</t>
  </si>
  <si>
    <t>divide by ln(2)</t>
  </si>
  <si>
    <t>D/F</t>
  </si>
  <si>
    <t>Err</t>
  </si>
  <si>
    <t>* 1000/ln(2)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</si>
</sst>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Flux v. Growth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680404195862305"/>
                  <c:y val="3.4467561145162681E-2"/>
                </c:manualLayout>
              </c:layout>
              <c:numFmt formatCode="General" sourceLinked="0"/>
            </c:trendlineLbl>
          </c:trendline>
          <c:xVal>
            <c:numRef>
              <c:f>'Neatened Compilation'!$C$3:$C$11</c:f>
              <c:numCache>
                <c:formatCode>0.0000</c:formatCode>
                <c:ptCount val="9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  <c:pt idx="7">
                  <c:v>0.1296814660935911</c:v>
                </c:pt>
                <c:pt idx="8">
                  <c:v>0.13008020122811614</c:v>
                </c:pt>
              </c:numCache>
            </c:numRef>
          </c:xVal>
          <c:yVal>
            <c:numRef>
              <c:f>'Neatened Compilation'!$I$3:$I$11</c:f>
              <c:numCache>
                <c:formatCode>0.00</c:formatCode>
                <c:ptCount val="9"/>
                <c:pt idx="0">
                  <c:v>48.340161938759181</c:v>
                </c:pt>
                <c:pt idx="1">
                  <c:v>44.105816683252677</c:v>
                </c:pt>
                <c:pt idx="2">
                  <c:v>28.395384527843461</c:v>
                </c:pt>
                <c:pt idx="3">
                  <c:v>41.132831366988491</c:v>
                </c:pt>
                <c:pt idx="4">
                  <c:v>28.116969705221639</c:v>
                </c:pt>
                <c:pt idx="5">
                  <c:v>34.869502561398797</c:v>
                </c:pt>
                <c:pt idx="6">
                  <c:v>36.309778137512282</c:v>
                </c:pt>
                <c:pt idx="7">
                  <c:v>64.970393769431354</c:v>
                </c:pt>
                <c:pt idx="8">
                  <c:v>61.576969979587709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52800"/>
        <c:axId val="137867264"/>
      </c:scatterChart>
      <c:valAx>
        <c:axId val="1378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Rate (1/h)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37867264"/>
        <c:crosses val="autoZero"/>
        <c:crossBetween val="midCat"/>
      </c:valAx>
      <c:valAx>
        <c:axId val="13786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Ch4 Flux (mmol/gDCW/h)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785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6870342897959"/>
                  <c:y val="-5.18994735484654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Compilation'!$H$3:$H$9</c:f>
              <c:numCache>
                <c:formatCode>0.000</c:formatCode>
                <c:ptCount val="7"/>
                <c:pt idx="0">
                  <c:v>2.6932851089400507</c:v>
                </c:pt>
                <c:pt idx="1">
                  <c:v>2.9181809328892121</c:v>
                </c:pt>
                <c:pt idx="2">
                  <c:v>2.3642889846525779</c:v>
                </c:pt>
                <c:pt idx="3">
                  <c:v>2.4722779764312817</c:v>
                </c:pt>
                <c:pt idx="4">
                  <c:v>2.3484803688734086</c:v>
                </c:pt>
                <c:pt idx="5">
                  <c:v>2.4921283100919336</c:v>
                </c:pt>
                <c:pt idx="6">
                  <c:v>2.3341342382412682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69568"/>
        <c:axId val="139471104"/>
      </c:scatterChart>
      <c:valAx>
        <c:axId val="13946956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39471104"/>
        <c:crosses val="autoZero"/>
        <c:crossBetween val="midCat"/>
      </c:valAx>
      <c:valAx>
        <c:axId val="139471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46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8208"/>
        <c:axId val="153608192"/>
      </c:scatterChart>
      <c:valAx>
        <c:axId val="1535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08192"/>
        <c:crosses val="autoZero"/>
        <c:crossBetween val="midCat"/>
      </c:valAx>
      <c:valAx>
        <c:axId val="153608192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59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35936"/>
        <c:axId val="153737472"/>
      </c:scatterChart>
      <c:valAx>
        <c:axId val="153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37472"/>
        <c:crosses val="autoZero"/>
        <c:crossBetween val="midCat"/>
      </c:valAx>
      <c:valAx>
        <c:axId val="1537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3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2784"/>
        <c:axId val="153144320"/>
      </c:scatterChart>
      <c:valAx>
        <c:axId val="1531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144320"/>
        <c:crosses val="autoZero"/>
        <c:crossBetween val="midCat"/>
      </c:valAx>
      <c:valAx>
        <c:axId val="1531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4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1248"/>
        <c:axId val="154060288"/>
      </c:scatterChart>
      <c:valAx>
        <c:axId val="1540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060288"/>
        <c:crosses val="autoZero"/>
        <c:crossBetween val="midCat"/>
      </c:valAx>
      <c:valAx>
        <c:axId val="15406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02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4592"/>
        <c:axId val="153136512"/>
      </c:scatterChart>
      <c:valAx>
        <c:axId val="1531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36512"/>
        <c:crosses val="autoZero"/>
        <c:crossBetween val="midCat"/>
      </c:valAx>
      <c:valAx>
        <c:axId val="15313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3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24</xdr:row>
      <xdr:rowOff>66674</xdr:rowOff>
    </xdr:from>
    <xdr:to>
      <xdr:col>7</xdr:col>
      <xdr:colOff>390525</xdr:colOff>
      <xdr:row>42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1543050</xdr:colOff>
      <xdr:row>21</xdr:row>
      <xdr:rowOff>66675</xdr:rowOff>
    </xdr:from>
    <xdr:to>
      <xdr:col>16</xdr:col>
      <xdr:colOff>57150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13" sqref="D13"/>
    </sheetView>
  </sheetViews>
  <sheetFormatPr defaultColWidth="9.109375" defaultRowHeight="14.4" x14ac:dyDescent="0.3"/>
  <cols>
    <col min="1" max="1" width="12.5546875" style="16" bestFit="1" customWidth="1"/>
    <col min="2" max="2" width="9.109375" style="16"/>
    <col min="3" max="3" width="19" style="16" customWidth="1"/>
    <col min="4" max="4" width="18.6640625" style="16" bestFit="1" customWidth="1"/>
    <col min="5" max="5" width="9.5546875" style="16" bestFit="1" customWidth="1"/>
    <col min="6" max="6" width="11" style="16" bestFit="1" customWidth="1"/>
    <col min="7" max="7" width="22.109375" style="16" customWidth="1"/>
    <col min="8" max="8" width="9.109375" style="16"/>
    <col min="9" max="9" width="24" style="16" bestFit="1" customWidth="1"/>
    <col min="10" max="10" width="12" style="16" bestFit="1" customWidth="1"/>
    <col min="11" max="16384" width="9.109375" style="16"/>
  </cols>
  <sheetData>
    <row r="1" spans="1:11" ht="15" x14ac:dyDescent="0.25">
      <c r="A1" s="16" t="s">
        <v>37</v>
      </c>
      <c r="B1" s="16" t="s">
        <v>74</v>
      </c>
      <c r="C1" s="16" t="s">
        <v>78</v>
      </c>
      <c r="D1" s="16" t="s">
        <v>77</v>
      </c>
      <c r="E1" s="16" t="s">
        <v>75</v>
      </c>
      <c r="F1" s="16" t="s">
        <v>19</v>
      </c>
      <c r="G1" s="16" t="s">
        <v>83</v>
      </c>
      <c r="H1" s="16" t="s">
        <v>43</v>
      </c>
      <c r="I1" s="16" t="s">
        <v>84</v>
      </c>
      <c r="J1" s="16" t="s">
        <v>85</v>
      </c>
    </row>
    <row r="2" spans="1:11" s="39" customFormat="1" x14ac:dyDescent="0.3">
      <c r="A2" s="35">
        <v>42299</v>
      </c>
      <c r="B2" s="36">
        <v>0.626</v>
      </c>
      <c r="C2" s="37">
        <v>8.1391176422049266E-2</v>
      </c>
      <c r="D2" s="38">
        <v>236.72923300841694</v>
      </c>
      <c r="E2" s="39">
        <v>14510</v>
      </c>
      <c r="F2" s="40">
        <f>E2*'Methane Standard Curve'!$B$13+'Methane Standard Curve'!$C$13</f>
        <v>2.4971655045194385E-2</v>
      </c>
      <c r="G2" s="41">
        <f>F2*D2</f>
        <v>5.9115207457996322</v>
      </c>
      <c r="H2" s="41">
        <f>B2/G2*$B$18*C2/LN(2)*22400/60</f>
        <v>2.2700352806044126</v>
      </c>
      <c r="I2" s="42">
        <f>G2*60/22.4/B2/$B$18</f>
        <v>51.727234197410638</v>
      </c>
      <c r="J2" s="41">
        <f>C2*1000/I2</f>
        <v>1.5734685545225526</v>
      </c>
      <c r="K2" s="43" t="s">
        <v>88</v>
      </c>
    </row>
    <row r="3" spans="1:11" ht="15" x14ac:dyDescent="0.25">
      <c r="A3" s="29">
        <v>42304</v>
      </c>
      <c r="B3" s="30">
        <v>0.67200000000000004</v>
      </c>
      <c r="C3" s="31">
        <v>9.0243491953218014E-2</v>
      </c>
      <c r="D3" s="32">
        <v>248.86140042339238</v>
      </c>
      <c r="E3" s="16">
        <v>13817</v>
      </c>
      <c r="F3" s="26">
        <f>E3*'Methane Standard Curve'!$B$13+'Methane Standard Curve'!$C$13</f>
        <v>2.3830077808006077E-2</v>
      </c>
      <c r="G3" s="27">
        <f t="shared" ref="G3:G10" si="0">F3*D3</f>
        <v>5.9303865354987968</v>
      </c>
      <c r="H3" s="27">
        <f t="shared" ref="H3:H10" si="1">B3/G3*$B$18*C3/LN(2)*22400/60</f>
        <v>2.6932851089400507</v>
      </c>
      <c r="I3" s="28">
        <f t="shared" ref="I3:I10" si="2">G3*60/22.4/B3/$B$18</f>
        <v>48.340161938759181</v>
      </c>
      <c r="J3" s="27">
        <f t="shared" ref="J3:J8" si="3">C3*1000/I3</f>
        <v>1.8668429797058812</v>
      </c>
    </row>
    <row r="4" spans="1:11" ht="15" x14ac:dyDescent="0.25">
      <c r="A4" s="29">
        <v>42310</v>
      </c>
      <c r="B4" s="30">
        <v>0.71199999999999997</v>
      </c>
      <c r="C4" s="31">
        <v>8.9214109445657191E-2</v>
      </c>
      <c r="D4" s="32">
        <v>236.1487621304139</v>
      </c>
      <c r="E4" s="45">
        <v>14088.333333333334</v>
      </c>
      <c r="F4" s="26">
        <f>E4*'Methane Standard Curve'!$B$13+'Methane Standard Curve'!$C$13</f>
        <v>2.4277044556958109E-2</v>
      </c>
      <c r="G4" s="27">
        <f t="shared" si="0"/>
        <v>5.73299402031056</v>
      </c>
      <c r="H4" s="27">
        <f t="shared" si="1"/>
        <v>2.9181809328892121</v>
      </c>
      <c r="I4" s="28">
        <f t="shared" si="2"/>
        <v>44.105816683252677</v>
      </c>
      <c r="J4" s="27">
        <f t="shared" si="3"/>
        <v>2.022728885995948</v>
      </c>
    </row>
    <row r="5" spans="1:11" x14ac:dyDescent="0.3">
      <c r="A5" s="29">
        <v>42320</v>
      </c>
      <c r="B5" s="30">
        <v>0.83</v>
      </c>
      <c r="C5" s="31">
        <v>4.6534363085345594E-2</v>
      </c>
      <c r="D5" s="32">
        <v>235.07847553954838</v>
      </c>
      <c r="E5" s="45">
        <v>10461.666666666666</v>
      </c>
      <c r="F5" s="26">
        <f>E5*'Methane Standard Curve'!$B$13+'Methane Standard Curve'!$C$13</f>
        <v>1.8302845258925997E-2</v>
      </c>
      <c r="G5" s="27">
        <f t="shared" si="0"/>
        <v>4.3026049615045743</v>
      </c>
      <c r="H5" s="27">
        <f t="shared" si="1"/>
        <v>2.3642889846525779</v>
      </c>
      <c r="I5" s="28">
        <f t="shared" si="2"/>
        <v>28.395384527843461</v>
      </c>
      <c r="J5" s="27">
        <f t="shared" si="3"/>
        <v>1.6388002437408702</v>
      </c>
    </row>
    <row r="6" spans="1:11" x14ac:dyDescent="0.3">
      <c r="A6" s="29">
        <v>42327</v>
      </c>
      <c r="B6" s="30">
        <v>0.68</v>
      </c>
      <c r="C6" s="31">
        <v>7.0487379671178976E-2</v>
      </c>
      <c r="D6" s="32">
        <v>233.75469282166114</v>
      </c>
      <c r="E6" s="46">
        <v>12611.666666666666</v>
      </c>
      <c r="F6" s="33">
        <f>E6*'Methane Standard Curve'!$B$13+'Methane Standard Curve'!$C$13</f>
        <v>2.1844535100130694E-2</v>
      </c>
      <c r="G6" s="34">
        <f t="shared" si="0"/>
        <v>5.1062625921630449</v>
      </c>
      <c r="H6" s="27">
        <f t="shared" si="1"/>
        <v>2.4722779764312817</v>
      </c>
      <c r="I6" s="28">
        <f t="shared" si="2"/>
        <v>41.132831366988491</v>
      </c>
      <c r="J6" s="27">
        <f t="shared" si="3"/>
        <v>1.7136525089237895</v>
      </c>
    </row>
    <row r="7" spans="1:11" x14ac:dyDescent="0.3">
      <c r="A7" s="29">
        <v>42339</v>
      </c>
      <c r="B7" s="30">
        <v>0.80400000000000005</v>
      </c>
      <c r="C7" s="31">
        <v>4.5769999558765734E-2</v>
      </c>
      <c r="D7" s="32">
        <v>236.97793496562076</v>
      </c>
      <c r="E7" s="46">
        <v>9922.6666666666661</v>
      </c>
      <c r="F7" s="33">
        <f>E7*'Methane Standard Curve'!$B$13+'Methane Standard Curve'!$C$13</f>
        <v>1.7414951852223977E-2</v>
      </c>
      <c r="G7" s="34">
        <f t="shared" si="0"/>
        <v>4.1269593274657508</v>
      </c>
      <c r="H7" s="27">
        <f t="shared" si="1"/>
        <v>2.3484803688734086</v>
      </c>
      <c r="I7" s="28">
        <f t="shared" si="2"/>
        <v>28.116969705221639</v>
      </c>
      <c r="J7" s="27">
        <f t="shared" si="3"/>
        <v>1.6278425462849835</v>
      </c>
    </row>
    <row r="8" spans="1:11" x14ac:dyDescent="0.3">
      <c r="A8" s="29">
        <v>42345</v>
      </c>
      <c r="B8" s="30">
        <v>0.66</v>
      </c>
      <c r="C8" s="31">
        <v>6.0233987106893573E-2</v>
      </c>
      <c r="D8" s="32">
        <v>252.66502739838626</v>
      </c>
      <c r="E8" s="46">
        <v>9445.18</v>
      </c>
      <c r="F8" s="33">
        <f>E8*'Methane Standard Curve'!$B$13+'Methane Standard Curve'!$C$13</f>
        <v>1.662838921192443E-2</v>
      </c>
      <c r="G8" s="34">
        <f t="shared" si="0"/>
        <v>4.2014124158219168</v>
      </c>
      <c r="H8" s="27">
        <f t="shared" si="1"/>
        <v>2.4921283100919336</v>
      </c>
      <c r="I8" s="28">
        <f t="shared" si="2"/>
        <v>34.869502561398797</v>
      </c>
      <c r="J8" s="27">
        <f t="shared" si="3"/>
        <v>1.7274117117338446</v>
      </c>
    </row>
    <row r="9" spans="1:11" x14ac:dyDescent="0.3">
      <c r="A9" s="29">
        <v>42349</v>
      </c>
      <c r="B9" s="30">
        <v>0.85</v>
      </c>
      <c r="C9" s="31">
        <v>5.8745537990821016E-2</v>
      </c>
      <c r="D9" s="32">
        <v>246.67193413123064</v>
      </c>
      <c r="E9" s="46">
        <v>13217</v>
      </c>
      <c r="F9" s="33">
        <f>E9*'Methane Standard Curve'!$B$13+'Methane Standard Curve'!$C$13</f>
        <v>2.2841699247669878E-2</v>
      </c>
      <c r="G9" s="34">
        <f t="shared" si="0"/>
        <v>5.634406132266605</v>
      </c>
      <c r="H9" s="27">
        <f t="shared" si="1"/>
        <v>2.3341342382412682</v>
      </c>
      <c r="I9" s="28">
        <f t="shared" si="2"/>
        <v>36.309778137512282</v>
      </c>
      <c r="J9" s="27">
        <f>C9*1000/I9</f>
        <v>1.6178985662853707</v>
      </c>
    </row>
    <row r="10" spans="1:11" x14ac:dyDescent="0.3">
      <c r="A10" s="29">
        <v>42357</v>
      </c>
      <c r="B10" s="30">
        <v>0.79200000000000004</v>
      </c>
      <c r="C10" s="31">
        <v>0.1296814660935911</v>
      </c>
      <c r="D10" s="32">
        <v>243.4311472889091</v>
      </c>
      <c r="E10" s="46">
        <v>22776.833333333332</v>
      </c>
      <c r="F10" s="33">
        <f>E10*'Methane Standard Curve'!$B$13+'Methane Standard Curve'!$C$13</f>
        <v>3.8589589759426501E-2</v>
      </c>
      <c r="G10" s="34">
        <f t="shared" si="0"/>
        <v>9.3939081085455314</v>
      </c>
      <c r="H10" s="27">
        <f t="shared" si="1"/>
        <v>2.8796317395333473</v>
      </c>
      <c r="I10" s="28">
        <f t="shared" si="2"/>
        <v>64.970393769431354</v>
      </c>
    </row>
    <row r="11" spans="1:11" x14ac:dyDescent="0.3">
      <c r="A11" s="50">
        <v>42359</v>
      </c>
      <c r="B11" s="16">
        <v>0.55600000000000005</v>
      </c>
      <c r="C11" s="51">
        <v>0.13008020122811614</v>
      </c>
      <c r="D11" s="32">
        <v>256.06305046991247</v>
      </c>
      <c r="E11" s="46">
        <v>14168.5</v>
      </c>
      <c r="F11" s="33">
        <f>E11*'Methane Standard Curve'!$B$13+'Methane Standard Curve'!$C$13</f>
        <v>2.4409102914603034E-2</v>
      </c>
      <c r="G11" s="34">
        <f t="shared" ref="G11" si="4">F11*D11</f>
        <v>6.250269351547284</v>
      </c>
      <c r="H11" s="27">
        <f t="shared" ref="H11" si="5">B11/G11*$B$18*C11/LN(2)*22400/60</f>
        <v>3.0476663806590589</v>
      </c>
      <c r="I11" s="28">
        <f t="shared" ref="I11" si="6">G11*60/22.4/B11/$B$18</f>
        <v>61.576969979587709</v>
      </c>
    </row>
    <row r="12" spans="1:11" x14ac:dyDescent="0.3">
      <c r="D12" s="30"/>
      <c r="E12" s="30"/>
      <c r="F12" s="30"/>
      <c r="G12" s="30"/>
    </row>
    <row r="14" spans="1:11" ht="15" x14ac:dyDescent="0.25">
      <c r="I14" s="16" t="s">
        <v>72</v>
      </c>
    </row>
    <row r="15" spans="1:11" ht="15" x14ac:dyDescent="0.25">
      <c r="A15" s="16" t="s">
        <v>79</v>
      </c>
      <c r="B15" s="16">
        <v>0.68</v>
      </c>
      <c r="C15" s="16">
        <v>8.3000000000000004E-2</v>
      </c>
      <c r="D15" s="16" t="s">
        <v>76</v>
      </c>
      <c r="E15" s="16" t="s">
        <v>76</v>
      </c>
      <c r="F15" s="16" t="s">
        <v>76</v>
      </c>
      <c r="G15" s="16" t="s">
        <v>81</v>
      </c>
      <c r="H15" s="28">
        <f>2.86*B18/0.34</f>
        <v>4.11335294117647</v>
      </c>
      <c r="I15" s="28">
        <f>0.58*B18/0.34</f>
        <v>0.83417647058823519</v>
      </c>
      <c r="J15" s="16" t="s">
        <v>87</v>
      </c>
    </row>
    <row r="16" spans="1:11" ht="15" x14ac:dyDescent="0.25">
      <c r="A16" s="16" t="s">
        <v>86</v>
      </c>
      <c r="C16" s="16">
        <v>8.3000000000000004E-2</v>
      </c>
      <c r="G16" s="16" t="s">
        <v>82</v>
      </c>
      <c r="H16" s="28">
        <v>2.5950000000000002</v>
      </c>
      <c r="I16" s="28">
        <f>C16*SLOPE(I2:I8,C2:C8)+INTERCEPT(I2:I8,C2:C8)</f>
        <v>45.951016882770382</v>
      </c>
    </row>
    <row r="18" spans="1:2" x14ac:dyDescent="0.3">
      <c r="A18" s="16" t="s">
        <v>80</v>
      </c>
      <c r="B18" s="16">
        <v>0.48899999999999999</v>
      </c>
    </row>
    <row r="19" spans="1:2" x14ac:dyDescent="0.3">
      <c r="A19" s="44" t="s">
        <v>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2" workbookViewId="0">
      <selection activeCell="E38" sqref="E38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0.79200000000000004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  <c r="F3" t="s">
        <v>3</v>
      </c>
    </row>
    <row r="4" spans="1:6" x14ac:dyDescent="0.3">
      <c r="A4" s="6">
        <v>22</v>
      </c>
      <c r="B4" s="6">
        <v>7.4</v>
      </c>
      <c r="C4" s="6">
        <f>B4/2.65</f>
        <v>2.7924528301886795</v>
      </c>
      <c r="D4" s="6">
        <f>A4/C4</f>
        <v>7.8783783783783772</v>
      </c>
      <c r="E4" s="6">
        <f>1/D4</f>
        <v>0.12692967409948544</v>
      </c>
      <c r="F4">
        <f>1/E4</f>
        <v>7.8783783783783772</v>
      </c>
    </row>
    <row r="5" spans="1:6" x14ac:dyDescent="0.3">
      <c r="A5">
        <f>18+45/60</f>
        <v>18.75</v>
      </c>
      <c r="B5">
        <v>6.55</v>
      </c>
      <c r="C5" s="6">
        <f t="shared" ref="C5:C6" si="0">B5/2.65</f>
        <v>2.4716981132075473</v>
      </c>
      <c r="D5" s="6">
        <f t="shared" ref="D5:D6" si="1">A5/C5</f>
        <v>7.5858778625954191</v>
      </c>
      <c r="E5" s="6">
        <f t="shared" ref="E5:E6" si="2">1/D5</f>
        <v>0.1318238993710692</v>
      </c>
    </row>
    <row r="6" spans="1:6" x14ac:dyDescent="0.3">
      <c r="A6">
        <f>9+12/60</f>
        <v>9.1999999999999993</v>
      </c>
      <c r="B6">
        <v>3</v>
      </c>
      <c r="C6" s="6">
        <f t="shared" si="0"/>
        <v>1.1320754716981132</v>
      </c>
      <c r="D6" s="6">
        <f t="shared" si="1"/>
        <v>8.1266666666666669</v>
      </c>
      <c r="E6" s="6">
        <f t="shared" si="2"/>
        <v>0.12305168170631665</v>
      </c>
      <c r="F6" t="s">
        <v>49</v>
      </c>
    </row>
    <row r="7" spans="1:6" x14ac:dyDescent="0.3">
      <c r="A7">
        <f>19+1/60</f>
        <v>19.016666666666666</v>
      </c>
      <c r="B7">
        <v>6.9</v>
      </c>
      <c r="C7" s="6">
        <f t="shared" ref="C7" si="3">B7/2.65</f>
        <v>2.6037735849056607</v>
      </c>
      <c r="D7" s="6">
        <f t="shared" ref="D7" si="4">A7/C7</f>
        <v>7.3035024154589356</v>
      </c>
      <c r="E7" s="6">
        <f t="shared" ref="E7" si="5">1/D7</f>
        <v>0.13692060919749313</v>
      </c>
    </row>
    <row r="8" spans="1:6" ht="15" thickBot="1" x14ac:dyDescent="0.35"/>
    <row r="9" spans="1:6" x14ac:dyDescent="0.3">
      <c r="D9" s="2" t="s">
        <v>5</v>
      </c>
      <c r="E9" s="3">
        <f>AVERAGE(E4:E8)</f>
        <v>0.1296814660935911</v>
      </c>
      <c r="F9">
        <f>60*LN(2)/E9</f>
        <v>320.69988168997151</v>
      </c>
    </row>
    <row r="10" spans="1:6" ht="15" thickBot="1" x14ac:dyDescent="0.35">
      <c r="D10" s="4" t="s">
        <v>17</v>
      </c>
      <c r="E10" s="5">
        <f>STDEV(E4:E7)</f>
        <v>6.0144718091114727E-3</v>
      </c>
    </row>
    <row r="11" spans="1:6" x14ac:dyDescent="0.3">
      <c r="D11" t="s">
        <v>90</v>
      </c>
      <c r="E11">
        <v>0</v>
      </c>
    </row>
    <row r="12" spans="1:6" x14ac:dyDescent="0.3">
      <c r="A12" t="s">
        <v>8</v>
      </c>
      <c r="F12" t="s">
        <v>11</v>
      </c>
    </row>
    <row r="13" spans="1:6" x14ac:dyDescent="0.3">
      <c r="A13" t="s">
        <v>9</v>
      </c>
      <c r="B13" t="s">
        <v>10</v>
      </c>
      <c r="F13" t="s">
        <v>12</v>
      </c>
    </row>
    <row r="14" spans="1:6" x14ac:dyDescent="0.3">
      <c r="A14">
        <v>12.28</v>
      </c>
      <c r="B14">
        <f>50/A14*60</f>
        <v>244.29967426710098</v>
      </c>
      <c r="F14">
        <v>21951</v>
      </c>
    </row>
    <row r="15" spans="1:6" x14ac:dyDescent="0.3">
      <c r="A15">
        <v>12.24</v>
      </c>
      <c r="B15">
        <f t="shared" ref="B15:B18" si="6">50/A15*60</f>
        <v>245.09803921568624</v>
      </c>
      <c r="F15">
        <v>22085</v>
      </c>
    </row>
    <row r="16" spans="1:6" x14ac:dyDescent="0.3">
      <c r="A16">
        <v>12.09</v>
      </c>
      <c r="B16">
        <f t="shared" si="6"/>
        <v>248.13895781637717</v>
      </c>
      <c r="F16">
        <v>23109</v>
      </c>
    </row>
    <row r="17" spans="1:6" x14ac:dyDescent="0.3">
      <c r="A17">
        <v>12.54</v>
      </c>
      <c r="B17">
        <f t="shared" si="6"/>
        <v>239.23444976076556</v>
      </c>
      <c r="F17">
        <v>22721</v>
      </c>
    </row>
    <row r="18" spans="1:6" ht="15" thickBot="1" x14ac:dyDescent="0.35">
      <c r="A18">
        <v>12.48</v>
      </c>
      <c r="B18">
        <f t="shared" si="6"/>
        <v>240.38461538461539</v>
      </c>
      <c r="F18">
        <v>23847</v>
      </c>
    </row>
    <row r="19" spans="1:6" ht="15" thickBot="1" x14ac:dyDescent="0.35">
      <c r="A19" s="2" t="s">
        <v>13</v>
      </c>
      <c r="B19" s="3">
        <f>AVERAGE(B14:B18)</f>
        <v>243.4311472889091</v>
      </c>
      <c r="F19">
        <v>22948</v>
      </c>
    </row>
    <row r="20" spans="1:6" ht="15" thickBot="1" x14ac:dyDescent="0.35">
      <c r="A20" s="4" t="s">
        <v>14</v>
      </c>
      <c r="B20" s="5">
        <f>STDEV(B14:B18)</f>
        <v>3.6259472747320367</v>
      </c>
      <c r="E20" s="2" t="s">
        <v>13</v>
      </c>
      <c r="F20" s="3">
        <f>AVERAGE(F14:F19)</f>
        <v>22776.833333333332</v>
      </c>
    </row>
    <row r="21" spans="1:6" ht="15" thickBot="1" x14ac:dyDescent="0.35">
      <c r="A21" t="s">
        <v>89</v>
      </c>
      <c r="B21">
        <f>0.95*B20/SQRT(COUNT(B14:B18))</f>
        <v>1.5404942719348784</v>
      </c>
      <c r="E21" s="4" t="s">
        <v>15</v>
      </c>
      <c r="F21" s="5">
        <f>STDEV(F14:F19)</f>
        <v>699.80580639679363</v>
      </c>
    </row>
    <row r="22" spans="1:6" x14ac:dyDescent="0.3">
      <c r="E22" t="s">
        <v>89</v>
      </c>
      <c r="F22">
        <f>0.95*F21/SQRT(COUNT(F14:F19))</f>
        <v>271.40979791226732</v>
      </c>
    </row>
    <row r="23" spans="1:6" x14ac:dyDescent="0.3">
      <c r="E23" t="s">
        <v>29</v>
      </c>
      <c r="F23" s="15">
        <f>F20*'Methane Standard Curve'!B13+'Methane Standard Curve'!C13</f>
        <v>3.8589589759426501E-2</v>
      </c>
    </row>
    <row r="24" spans="1:6" x14ac:dyDescent="0.3">
      <c r="E24" t="s">
        <v>15</v>
      </c>
      <c r="F24">
        <f>F21*'Methane Standard Curve'!$B$13+'Methane Standard Curve'!$C$13</f>
        <v>2.2221552867996725E-3</v>
      </c>
    </row>
    <row r="25" spans="1:6" x14ac:dyDescent="0.3">
      <c r="A25" t="s">
        <v>33</v>
      </c>
      <c r="B25">
        <f>B19*F23</f>
        <v>9.3939081085455314</v>
      </c>
      <c r="E25" t="s">
        <v>89</v>
      </c>
      <c r="F25">
        <f>F22*'Methane Standard Curve'!$B$13+'Methane Standard Curve'!$C$13</f>
        <v>1.5164595699334914E-3</v>
      </c>
    </row>
    <row r="26" spans="1:6" x14ac:dyDescent="0.3">
      <c r="A26" t="s">
        <v>34</v>
      </c>
      <c r="B26">
        <f>B25/22.4</f>
        <v>0.41937089770292552</v>
      </c>
    </row>
    <row r="27" spans="1:6" ht="15" thickBot="1" x14ac:dyDescent="0.35">
      <c r="A27" t="s">
        <v>35</v>
      </c>
      <c r="B27">
        <f>B26*60</f>
        <v>25.162253862175533</v>
      </c>
      <c r="C27" t="s">
        <v>44</v>
      </c>
      <c r="E27" t="s">
        <v>91</v>
      </c>
      <c r="F27">
        <f>F23*B19</f>
        <v>9.3939081085455314</v>
      </c>
    </row>
    <row r="28" spans="1:6" ht="15" thickBot="1" x14ac:dyDescent="0.35">
      <c r="A28" t="s">
        <v>36</v>
      </c>
      <c r="B28" s="10">
        <f>B27/(B1*0.66)</f>
        <v>48.137155383715047</v>
      </c>
      <c r="C28">
        <f>B27/(B1*0.34)</f>
        <v>93.442713391917451</v>
      </c>
      <c r="E28" t="s">
        <v>92</v>
      </c>
      <c r="F28">
        <f>F27*SQRT((B21/B19)^2+(F25/F23)^2)</f>
        <v>0.37390941702481617</v>
      </c>
    </row>
    <row r="30" spans="1:6" x14ac:dyDescent="0.3">
      <c r="A30" t="s">
        <v>63</v>
      </c>
      <c r="B30">
        <f>B28*0.66/0.34</f>
        <v>93.442713391917437</v>
      </c>
      <c r="E30" s="16" t="s">
        <v>84</v>
      </c>
      <c r="F30">
        <f>F27*60/22.4/B1/'Neatened Compilation'!$B$18</f>
        <v>64.970393769431354</v>
      </c>
    </row>
    <row r="31" spans="1:6" x14ac:dyDescent="0.3">
      <c r="E31" t="s">
        <v>92</v>
      </c>
      <c r="F31">
        <f>F28*60/22.4/B1/'Neatened Compilation'!$B$18</f>
        <v>2.5860421219259879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2.8796317395333468</v>
      </c>
    </row>
    <row r="34" spans="5:6" ht="15" thickBot="1" x14ac:dyDescent="0.35">
      <c r="E34" s="4" t="s">
        <v>92</v>
      </c>
      <c r="F34" s="5">
        <f>F33*SQRT((E11/E9)^2+(F31/F30)^2)</f>
        <v>0.11461911406133406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9" workbookViewId="0">
      <selection activeCell="B19" sqref="B19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0.55600000000000005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  <c r="F3" t="s">
        <v>3</v>
      </c>
    </row>
    <row r="4" spans="1:6" x14ac:dyDescent="0.3">
      <c r="A4" s="6">
        <f>26+32/60</f>
        <v>26.533333333333335</v>
      </c>
      <c r="B4" s="6">
        <v>8.85</v>
      </c>
      <c r="C4" s="6">
        <f>B4/2.65</f>
        <v>3.3396226415094339</v>
      </c>
      <c r="D4" s="6">
        <f>A4/C4</f>
        <v>7.945009416195858</v>
      </c>
      <c r="E4" s="6">
        <f>1/D4</f>
        <v>0.12586517493126007</v>
      </c>
      <c r="F4">
        <f>1/E4</f>
        <v>7.9450094161958571</v>
      </c>
    </row>
    <row r="5" spans="1:6" x14ac:dyDescent="0.3">
      <c r="A5">
        <v>17</v>
      </c>
      <c r="B5">
        <v>6.05</v>
      </c>
      <c r="C5" s="6">
        <f t="shared" ref="C5:C6" si="0">B5/2.65</f>
        <v>2.2830188679245285</v>
      </c>
      <c r="D5" s="6">
        <f t="shared" ref="D5:D6" si="1">A5/C5</f>
        <v>7.446280991735537</v>
      </c>
      <c r="E5" s="6">
        <f t="shared" ref="E5:E6" si="2">1/D5</f>
        <v>0.13429522752497225</v>
      </c>
    </row>
    <row r="6" spans="1:6" x14ac:dyDescent="0.3">
      <c r="C6" s="6"/>
      <c r="D6" s="6"/>
      <c r="E6" s="6"/>
      <c r="F6" t="s">
        <v>49</v>
      </c>
    </row>
    <row r="7" spans="1:6" x14ac:dyDescent="0.3">
      <c r="C7" s="6"/>
      <c r="D7" s="6"/>
      <c r="E7" s="6"/>
    </row>
    <row r="8" spans="1:6" ht="15" thickBot="1" x14ac:dyDescent="0.35"/>
    <row r="9" spans="1:6" x14ac:dyDescent="0.3">
      <c r="D9" s="2" t="s">
        <v>5</v>
      </c>
      <c r="E9" s="3">
        <f>AVERAGE(E4:E8)</f>
        <v>0.13008020122811614</v>
      </c>
      <c r="F9">
        <f>60*LN(2)/E9</f>
        <v>319.71683961853768</v>
      </c>
    </row>
    <row r="10" spans="1:6" ht="15" thickBot="1" x14ac:dyDescent="0.35">
      <c r="D10" s="4" t="s">
        <v>17</v>
      </c>
      <c r="E10" s="5">
        <f>STDEV(E4:E7)</f>
        <v>5.9609473547731287E-3</v>
      </c>
    </row>
    <row r="11" spans="1:6" x14ac:dyDescent="0.3">
      <c r="D11" t="s">
        <v>90</v>
      </c>
      <c r="E11">
        <v>0</v>
      </c>
    </row>
    <row r="12" spans="1:6" x14ac:dyDescent="0.3">
      <c r="A12" t="s">
        <v>8</v>
      </c>
      <c r="F12" t="s">
        <v>11</v>
      </c>
    </row>
    <row r="13" spans="1:6" x14ac:dyDescent="0.3">
      <c r="A13" t="s">
        <v>9</v>
      </c>
      <c r="B13" t="s">
        <v>10</v>
      </c>
      <c r="F13" t="s">
        <v>12</v>
      </c>
    </row>
    <row r="14" spans="1:6" x14ac:dyDescent="0.3">
      <c r="A14">
        <v>11.65</v>
      </c>
      <c r="B14">
        <f>50/A14*60</f>
        <v>257.51072961373387</v>
      </c>
      <c r="F14">
        <v>13982</v>
      </c>
    </row>
    <row r="15" spans="1:6" x14ac:dyDescent="0.3">
      <c r="A15">
        <v>11.69</v>
      </c>
      <c r="B15">
        <f t="shared" ref="B15:B18" si="3">50/A15*60</f>
        <v>256.62959794696326</v>
      </c>
      <c r="F15">
        <v>14410</v>
      </c>
    </row>
    <row r="16" spans="1:6" x14ac:dyDescent="0.3">
      <c r="A16">
        <v>11.75</v>
      </c>
      <c r="B16">
        <f t="shared" si="3"/>
        <v>255.31914893617022</v>
      </c>
      <c r="F16">
        <v>13883</v>
      </c>
    </row>
    <row r="17" spans="1:6" x14ac:dyDescent="0.3">
      <c r="A17">
        <v>11.75</v>
      </c>
      <c r="B17">
        <f t="shared" si="3"/>
        <v>255.31914893617022</v>
      </c>
      <c r="F17">
        <v>14399</v>
      </c>
    </row>
    <row r="18" spans="1:6" ht="15" thickBot="1" x14ac:dyDescent="0.35">
      <c r="A18">
        <v>11.74</v>
      </c>
      <c r="B18">
        <f t="shared" si="3"/>
        <v>255.53662691652471</v>
      </c>
    </row>
    <row r="19" spans="1:6" ht="15" thickBot="1" x14ac:dyDescent="0.35">
      <c r="A19" s="2" t="s">
        <v>13</v>
      </c>
      <c r="B19" s="3">
        <f>AVERAGE(B14:B18)</f>
        <v>256.06305046991247</v>
      </c>
    </row>
    <row r="20" spans="1:6" ht="15" thickBot="1" x14ac:dyDescent="0.35">
      <c r="A20" s="4" t="s">
        <v>14</v>
      </c>
      <c r="B20" s="5">
        <f>STDEV(B14:B18)</f>
        <v>0.97476300819450634</v>
      </c>
      <c r="E20" s="2" t="s">
        <v>13</v>
      </c>
      <c r="F20" s="3">
        <f>AVERAGE(F14:F19)</f>
        <v>14168.5</v>
      </c>
    </row>
    <row r="21" spans="1:6" ht="15" thickBot="1" x14ac:dyDescent="0.35">
      <c r="A21" t="s">
        <v>89</v>
      </c>
      <c r="B21">
        <f>0.95*B20/SQRT(COUNT(B14:B18))</f>
        <v>0.41413090617226905</v>
      </c>
      <c r="E21" s="4" t="s">
        <v>15</v>
      </c>
      <c r="F21" s="5">
        <f>STDEV(F14:F19)</f>
        <v>275.52676820955162</v>
      </c>
    </row>
    <row r="22" spans="1:6" x14ac:dyDescent="0.3">
      <c r="E22" t="s">
        <v>89</v>
      </c>
      <c r="F22">
        <f>0.95*F21/SQRT(COUNT(F14:F19))</f>
        <v>130.87521489953701</v>
      </c>
    </row>
    <row r="23" spans="1:6" x14ac:dyDescent="0.3">
      <c r="E23" t="s">
        <v>29</v>
      </c>
      <c r="F23" s="15">
        <f>F20*'Methane Standard Curve'!B13+'Methane Standard Curve'!C13</f>
        <v>2.4409102914603034E-2</v>
      </c>
    </row>
    <row r="24" spans="1:6" x14ac:dyDescent="0.3">
      <c r="E24" t="s">
        <v>15</v>
      </c>
      <c r="F24">
        <f>F21*'Methane Standard Curve'!$B$13+'Methane Standard Curve'!$C$13</f>
        <v>1.5232414452257858E-3</v>
      </c>
    </row>
    <row r="25" spans="1:6" x14ac:dyDescent="0.3">
      <c r="A25" t="s">
        <v>33</v>
      </c>
      <c r="B25">
        <f>B19*F23</f>
        <v>6.250269351547284</v>
      </c>
      <c r="E25" t="s">
        <v>89</v>
      </c>
      <c r="F25">
        <f>F22*'Methane Standard Curve'!$B$13+'Methane Standard Curve'!$C$13</f>
        <v>1.2849572885408748E-3</v>
      </c>
    </row>
    <row r="26" spans="1:6" x14ac:dyDescent="0.3">
      <c r="A26" t="s">
        <v>34</v>
      </c>
      <c r="B26">
        <f>B25/22.4</f>
        <v>0.27902988176550375</v>
      </c>
    </row>
    <row r="27" spans="1:6" ht="15" thickBot="1" x14ac:dyDescent="0.35">
      <c r="A27" t="s">
        <v>35</v>
      </c>
      <c r="B27">
        <f>B26*60</f>
        <v>16.741792905930225</v>
      </c>
      <c r="C27" t="s">
        <v>44</v>
      </c>
      <c r="E27" t="s">
        <v>91</v>
      </c>
      <c r="F27">
        <f>F23*B19</f>
        <v>6.250269351547284</v>
      </c>
    </row>
    <row r="28" spans="1:6" ht="15" thickBot="1" x14ac:dyDescent="0.35">
      <c r="A28" t="s">
        <v>36</v>
      </c>
      <c r="B28" s="10">
        <f>B27/(B1*0.66)</f>
        <v>45.622936848512708</v>
      </c>
      <c r="C28">
        <f>B27/(B1*0.34)</f>
        <v>88.562171529465843</v>
      </c>
      <c r="E28" t="s">
        <v>92</v>
      </c>
      <c r="F28">
        <f>F27*SQRT((B21/B19)^2+(F25/F23)^2)</f>
        <v>0.32918532561654001</v>
      </c>
    </row>
    <row r="30" spans="1:6" x14ac:dyDescent="0.3">
      <c r="A30" t="s">
        <v>63</v>
      </c>
      <c r="B30">
        <f>B28*0.66/0.34</f>
        <v>88.562171529465843</v>
      </c>
      <c r="E30" s="16" t="s">
        <v>84</v>
      </c>
      <c r="F30">
        <f>F27*60/22.4/B1/'Neatened Compilation'!$B$18</f>
        <v>61.576969979587709</v>
      </c>
    </row>
    <row r="31" spans="1:6" x14ac:dyDescent="0.3">
      <c r="E31" t="s">
        <v>92</v>
      </c>
      <c r="F31">
        <f>F28*60/22.4/B1/'Neatened Compilation'!$B$18</f>
        <v>3.2430978207671153</v>
      </c>
    </row>
    <row r="32" spans="1:6" ht="15" thickBot="1" x14ac:dyDescent="0.35"/>
    <row r="33" spans="5:6" x14ac:dyDescent="0.3">
      <c r="E33" s="2" t="s">
        <v>94</v>
      </c>
      <c r="F33" s="3">
        <f>1000*E9/F30/LN(2)</f>
        <v>3.0476663806590598</v>
      </c>
    </row>
    <row r="34" spans="5:6" ht="15" thickBot="1" x14ac:dyDescent="0.35">
      <c r="E34" s="4" t="s">
        <v>92</v>
      </c>
      <c r="F34" s="5">
        <f>F33*SQRT((E11/E9)^2+(F31/F30)^2)</f>
        <v>0.16051261049085444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"/>
    </sheetView>
  </sheetViews>
  <sheetFormatPr defaultRowHeight="14.4" x14ac:dyDescent="0.3"/>
  <cols>
    <col min="1" max="2" width="12" bestFit="1" customWidth="1"/>
    <col min="3" max="3" width="11.6640625" customWidth="1"/>
  </cols>
  <sheetData>
    <row r="1" spans="1:6" ht="1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ht="15" x14ac:dyDescent="0.25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ht="15" x14ac:dyDescent="0.25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ht="15" x14ac:dyDescent="0.25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ht="15" x14ac:dyDescent="0.25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ht="15" x14ac:dyDescent="0.25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ht="15" x14ac:dyDescent="0.25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ht="15" x14ac:dyDescent="0.25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ht="15" x14ac:dyDescent="0.25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.75" thickBot="1" x14ac:dyDescent="0.3"/>
    <row r="12" spans="1:6" ht="15" x14ac:dyDescent="0.25">
      <c r="A12" s="2"/>
      <c r="B12" s="8" t="s">
        <v>25</v>
      </c>
      <c r="C12" s="3" t="s">
        <v>26</v>
      </c>
    </row>
    <row r="13" spans="1:6" ht="15.75" thickBot="1" x14ac:dyDescent="0.3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ht="15" x14ac:dyDescent="0.25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" zoomScale="55" zoomScaleNormal="55" workbookViewId="0">
      <selection activeCell="G21" sqref="G21"/>
    </sheetView>
  </sheetViews>
  <sheetFormatPr defaultRowHeight="14.4" x14ac:dyDescent="0.3"/>
  <cols>
    <col min="2" max="2" width="12" bestFit="1" customWidth="1"/>
    <col min="6" max="6" width="14.6640625" bestFit="1" customWidth="1"/>
    <col min="7" max="7" width="18.44140625" bestFit="1" customWidth="1"/>
    <col min="8" max="8" width="26.332031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65</v>
      </c>
      <c r="E1" t="s">
        <v>43</v>
      </c>
      <c r="F1" t="s">
        <v>64</v>
      </c>
      <c r="G1" t="s">
        <v>62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ht="15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ht="15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ht="15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ht="15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ht="15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66</v>
      </c>
      <c r="H9">
        <v>118.72</v>
      </c>
    </row>
    <row r="10" spans="1:10" ht="15" x14ac:dyDescent="0.25">
      <c r="B10">
        <v>8.9214109445657191E-2</v>
      </c>
      <c r="C10">
        <v>32.678400542591753</v>
      </c>
      <c r="G10" t="s">
        <v>67</v>
      </c>
      <c r="H10">
        <v>3.5103</v>
      </c>
    </row>
    <row r="11" spans="1:10" ht="15" x14ac:dyDescent="0.25">
      <c r="B11">
        <v>4.6534363085345594E-2</v>
      </c>
      <c r="C11">
        <v>21.038398536538562</v>
      </c>
      <c r="G11" t="s">
        <v>68</v>
      </c>
      <c r="H11">
        <v>258.17</v>
      </c>
    </row>
    <row r="12" spans="1:10" ht="15" x14ac:dyDescent="0.25">
      <c r="B12">
        <v>7.0487379671178976E-2</v>
      </c>
      <c r="C12">
        <v>30.475688694632385</v>
      </c>
      <c r="G12" t="s">
        <v>69</v>
      </c>
      <c r="H12">
        <v>6.82</v>
      </c>
    </row>
    <row r="13" spans="1:10" ht="15" x14ac:dyDescent="0.25">
      <c r="B13">
        <v>4.5769999558765734E-2</v>
      </c>
      <c r="C13">
        <v>20.832118463414211</v>
      </c>
    </row>
    <row r="14" spans="1:10" ht="15" x14ac:dyDescent="0.25">
      <c r="I14" t="s">
        <v>72</v>
      </c>
    </row>
    <row r="15" spans="1:10" ht="15" x14ac:dyDescent="0.25">
      <c r="G15" t="s">
        <v>70</v>
      </c>
      <c r="H15">
        <v>2.86</v>
      </c>
      <c r="I15">
        <v>0.28999999999999998</v>
      </c>
      <c r="J15" t="s">
        <v>73</v>
      </c>
    </row>
    <row r="16" spans="1:10" ht="15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71</v>
      </c>
      <c r="H16">
        <f>H15*LN(2)</f>
        <v>1.9824009364014434</v>
      </c>
      <c r="I16">
        <f>I15*LN(2)</f>
        <v>0.20101268236238412</v>
      </c>
    </row>
    <row r="17" spans="2:7" ht="15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ht="15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ht="15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ht="15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ht="15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ht="15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ht="15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ht="15" x14ac:dyDescent="0.25">
      <c r="B24">
        <v>8.3000000000000004E-2</v>
      </c>
      <c r="C24">
        <f t="shared" si="4"/>
        <v>32.656670000000005</v>
      </c>
      <c r="E24" s="25">
        <f t="shared" si="5"/>
        <v>2.5415941061963752</v>
      </c>
      <c r="F24" s="14"/>
      <c r="G24" s="14"/>
    </row>
    <row r="25" spans="2:7" ht="15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ht="15" x14ac:dyDescent="0.25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ht="15" x14ac:dyDescent="0.25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ht="15" x14ac:dyDescent="0.25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ht="15" x14ac:dyDescent="0.25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ht="15" x14ac:dyDescent="0.25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ht="15" x14ac:dyDescent="0.25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ht="15" x14ac:dyDescent="0.25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ht="15" x14ac:dyDescent="0.25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3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3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3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3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3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3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3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3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3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3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3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3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3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3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3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3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3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3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3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3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3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3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3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3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3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3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3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3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3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3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3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3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3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3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3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3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3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3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3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3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3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3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3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40" sqref="H40"/>
    </sheetView>
  </sheetViews>
  <sheetFormatPr defaultRowHeight="14.4" x14ac:dyDescent="0.3"/>
  <cols>
    <col min="2" max="2" width="17.88671875" bestFit="1" customWidth="1"/>
    <col min="3" max="3" width="20.33203125" bestFit="1" customWidth="1"/>
    <col min="4" max="4" width="16.6640625" bestFit="1" customWidth="1"/>
    <col min="5" max="5" width="12.5546875" customWidth="1"/>
  </cols>
  <sheetData>
    <row r="1" spans="1:5" x14ac:dyDescent="0.25">
      <c r="A1" s="47" t="s">
        <v>61</v>
      </c>
      <c r="B1" s="48"/>
      <c r="C1" s="48"/>
      <c r="D1" s="49"/>
      <c r="E1" s="16"/>
    </row>
    <row r="2" spans="1:5" x14ac:dyDescent="0.25">
      <c r="A2" s="17" t="s">
        <v>37</v>
      </c>
      <c r="B2" s="17" t="s">
        <v>53</v>
      </c>
      <c r="C2" s="17" t="s">
        <v>54</v>
      </c>
      <c r="D2" s="17" t="s">
        <v>55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47" t="s">
        <v>56</v>
      </c>
      <c r="B9" s="48"/>
      <c r="C9" s="48"/>
      <c r="D9" s="48"/>
      <c r="E9" s="49"/>
    </row>
    <row r="10" spans="1:5" x14ac:dyDescent="0.25">
      <c r="A10" s="17" t="s">
        <v>37</v>
      </c>
      <c r="B10" s="17" t="s">
        <v>57</v>
      </c>
      <c r="C10" s="17" t="s">
        <v>58</v>
      </c>
      <c r="D10" s="17" t="s">
        <v>59</v>
      </c>
      <c r="E10" s="17" t="s">
        <v>60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0.67200000000000004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ht="15" x14ac:dyDescent="0.25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.75" thickBot="1" x14ac:dyDescent="0.3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ht="15" x14ac:dyDescent="0.25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.75" thickBot="1" x14ac:dyDescent="0.3">
      <c r="D8" s="4" t="s">
        <v>17</v>
      </c>
      <c r="E8" s="5">
        <f>STDEV(E4:E6)</f>
        <v>2.8870105582736597E-3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12.48</v>
      </c>
      <c r="B12">
        <f>50/A12*60</f>
        <v>240.38461538461539</v>
      </c>
      <c r="F12">
        <v>13870</v>
      </c>
    </row>
    <row r="13" spans="1:6" ht="15" x14ac:dyDescent="0.25">
      <c r="A13">
        <v>12.45</v>
      </c>
      <c r="B13">
        <f t="shared" ref="B13:B16" si="3">50/A13*60</f>
        <v>240.96385542168676</v>
      </c>
      <c r="F13">
        <v>14880</v>
      </c>
    </row>
    <row r="14" spans="1:6" ht="15" x14ac:dyDescent="0.25">
      <c r="A14">
        <v>12.59</v>
      </c>
      <c r="B14">
        <f t="shared" si="3"/>
        <v>238.28435266084193</v>
      </c>
      <c r="F14">
        <v>14742</v>
      </c>
    </row>
    <row r="15" spans="1:6" ht="15" x14ac:dyDescent="0.25">
      <c r="A15">
        <v>12.57</v>
      </c>
      <c r="B15">
        <f t="shared" si="3"/>
        <v>238.6634844868735</v>
      </c>
    </row>
    <row r="16" spans="1:6" ht="15.75" thickBot="1" x14ac:dyDescent="0.3">
      <c r="A16">
        <v>12.36</v>
      </c>
      <c r="B16">
        <f t="shared" si="3"/>
        <v>242.71844660194179</v>
      </c>
    </row>
    <row r="17" spans="1:7" ht="15" thickBot="1" x14ac:dyDescent="0.35">
      <c r="A17" s="2" t="s">
        <v>13</v>
      </c>
      <c r="B17" s="3">
        <f>AVERAGE(B12:B16)</f>
        <v>240.20295091119186</v>
      </c>
    </row>
    <row r="18" spans="1:7" ht="15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" thickBot="1" x14ac:dyDescent="0.35">
      <c r="E19" s="4" t="s">
        <v>15</v>
      </c>
      <c r="F19" s="5">
        <f>STDEV(F12:F16)</f>
        <v>547.65074028374454</v>
      </c>
    </row>
    <row r="21" spans="1:7" x14ac:dyDescent="0.3">
      <c r="E21" t="s">
        <v>29</v>
      </c>
      <c r="F21" s="15">
        <f>F18*'Methane Standard Curve'!B13+'Methane Standard Curve'!C13</f>
        <v>2.4950789275587283E-2</v>
      </c>
    </row>
    <row r="23" spans="1:7" x14ac:dyDescent="0.3">
      <c r="A23" t="s">
        <v>30</v>
      </c>
      <c r="B23">
        <f>B17*F21</f>
        <v>5.9932532115593844</v>
      </c>
    </row>
    <row r="24" spans="1:7" x14ac:dyDescent="0.3">
      <c r="A24" t="s">
        <v>31</v>
      </c>
      <c r="B24">
        <f>B23/22.4</f>
        <v>0.26755594694461537</v>
      </c>
    </row>
    <row r="25" spans="1:7" ht="15" thickBot="1" x14ac:dyDescent="0.35">
      <c r="A25" t="s">
        <v>32</v>
      </c>
      <c r="B25">
        <f>B24*60</f>
        <v>16.053356816676924</v>
      </c>
    </row>
    <row r="26" spans="1:7" ht="15" thickBot="1" x14ac:dyDescent="0.35">
      <c r="A26" t="s">
        <v>36</v>
      </c>
      <c r="B26" s="10">
        <f>B25/(B1*0.66)</f>
        <v>36.195339142940391</v>
      </c>
    </row>
    <row r="28" spans="1:7" x14ac:dyDescent="0.3">
      <c r="A28" t="s">
        <v>63</v>
      </c>
      <c r="B28">
        <f>B26*0.66/0.34</f>
        <v>70.261540689237222</v>
      </c>
    </row>
    <row r="30" spans="1:7" x14ac:dyDescent="0.3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52</v>
      </c>
    </row>
    <row r="31" spans="1:7" x14ac:dyDescent="0.3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3" workbookViewId="0">
      <selection activeCell="E22" sqref="E22:F32"/>
    </sheetView>
  </sheetViews>
  <sheetFormatPr defaultRowHeight="14.4" x14ac:dyDescent="0.3"/>
  <cols>
    <col min="1" max="1" width="28.44140625" customWidth="1"/>
    <col min="2" max="2" width="12.6640625" bestFit="1" customWidth="1"/>
    <col min="3" max="4" width="12" bestFit="1" customWidth="1"/>
    <col min="5" max="5" width="24" bestFit="1" customWidth="1"/>
    <col min="6" max="6" width="16" bestFit="1" customWidth="1"/>
  </cols>
  <sheetData>
    <row r="1" spans="1:7" ht="15" x14ac:dyDescent="0.25">
      <c r="A1" t="s">
        <v>18</v>
      </c>
      <c r="B1">
        <v>0.626</v>
      </c>
    </row>
    <row r="2" spans="1:7" ht="15" x14ac:dyDescent="0.25">
      <c r="A2" t="s">
        <v>7</v>
      </c>
    </row>
    <row r="3" spans="1:7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5" x14ac:dyDescent="0.25">
      <c r="A4" s="1"/>
      <c r="B4" s="1"/>
      <c r="C4" s="1"/>
      <c r="D4" s="1"/>
      <c r="E4" s="1"/>
      <c r="F4" t="s">
        <v>16</v>
      </c>
      <c r="G4" t="s">
        <v>6</v>
      </c>
    </row>
    <row r="5" spans="1:7" ht="15" x14ac:dyDescent="0.25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.75" thickBot="1" x14ac:dyDescent="0.3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5" x14ac:dyDescent="0.25">
      <c r="D7" s="2" t="s">
        <v>5</v>
      </c>
      <c r="E7" s="3">
        <f>AVERAGE(E5:E6)</f>
        <v>8.1391176422049266E-2</v>
      </c>
    </row>
    <row r="8" spans="1:7" ht="15.75" thickBot="1" x14ac:dyDescent="0.3">
      <c r="D8" s="4" t="s">
        <v>17</v>
      </c>
      <c r="E8" s="5">
        <f>STDEV(E5:E6)</f>
        <v>1.5243775110677241E-3</v>
      </c>
    </row>
    <row r="9" spans="1:7" ht="15" x14ac:dyDescent="0.25">
      <c r="D9" t="s">
        <v>90</v>
      </c>
      <c r="E9">
        <f>0.95*E8/SQRT(COUNT(E4:E6))</f>
        <v>1.0240027914060459E-3</v>
      </c>
    </row>
    <row r="10" spans="1:7" ht="15" x14ac:dyDescent="0.25">
      <c r="A10" t="s">
        <v>8</v>
      </c>
      <c r="F10" t="s">
        <v>11</v>
      </c>
    </row>
    <row r="11" spans="1:7" ht="15" x14ac:dyDescent="0.25">
      <c r="A11" t="s">
        <v>9</v>
      </c>
      <c r="B11" t="s">
        <v>10</v>
      </c>
      <c r="F11" t="s">
        <v>12</v>
      </c>
    </row>
    <row r="12" spans="1:7" ht="15" x14ac:dyDescent="0.25">
      <c r="A12">
        <v>12.84</v>
      </c>
      <c r="B12">
        <f>50/A12*60</f>
        <v>233.64485981308411</v>
      </c>
      <c r="F12">
        <v>14540</v>
      </c>
    </row>
    <row r="13" spans="1:7" ht="15" x14ac:dyDescent="0.25">
      <c r="A13">
        <v>12.7</v>
      </c>
      <c r="B13">
        <f t="shared" ref="B13:B16" si="3">50/A13*60</f>
        <v>236.22047244094489</v>
      </c>
      <c r="F13">
        <v>14297</v>
      </c>
    </row>
    <row r="14" spans="1:7" ht="15" x14ac:dyDescent="0.25">
      <c r="A14">
        <v>12.55</v>
      </c>
      <c r="B14">
        <f t="shared" si="3"/>
        <v>239.04382470119521</v>
      </c>
      <c r="F14">
        <v>14693</v>
      </c>
    </row>
    <row r="15" spans="1:7" ht="15" x14ac:dyDescent="0.25">
      <c r="A15">
        <v>12.36</v>
      </c>
      <c r="B15">
        <f t="shared" si="3"/>
        <v>242.71844660194179</v>
      </c>
    </row>
    <row r="16" spans="1:7" ht="15.75" thickBot="1" x14ac:dyDescent="0.3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A19" t="s">
        <v>89</v>
      </c>
      <c r="B19">
        <f>0.95*B18/SQRT(COUNT(B12:B16))</f>
        <v>1.8173407594330229</v>
      </c>
      <c r="E19" s="4" t="s">
        <v>15</v>
      </c>
      <c r="F19" s="5">
        <f>STDEV(F12:F14)</f>
        <v>199.69727088771143</v>
      </c>
    </row>
    <row r="20" spans="1:6" x14ac:dyDescent="0.3">
      <c r="E20" t="s">
        <v>89</v>
      </c>
      <c r="F20">
        <f>0.95*F19/SQRT(COUNT(F12:F17))</f>
        <v>109.53050944828112</v>
      </c>
    </row>
    <row r="21" spans="1:6" x14ac:dyDescent="0.3">
      <c r="E21" t="s">
        <v>29</v>
      </c>
      <c r="F21" s="15">
        <f>F18*'Methane Standard Curve'!B13+'Methane Standard Curve'!C13</f>
        <v>2.4971655045194385E-2</v>
      </c>
    </row>
    <row r="22" spans="1:6" x14ac:dyDescent="0.3">
      <c r="E22" t="s">
        <v>15</v>
      </c>
      <c r="F22">
        <f>F19*'Methane Standard Curve'!B13+'Methane Standard Curve'!C13</f>
        <v>1.3983276962358229E-3</v>
      </c>
    </row>
    <row r="23" spans="1:6" x14ac:dyDescent="0.3">
      <c r="A23" t="s">
        <v>30</v>
      </c>
      <c r="B23">
        <f>B17*F21</f>
        <v>5.9115207457996322</v>
      </c>
      <c r="E23" t="s">
        <v>89</v>
      </c>
      <c r="F23">
        <f>F20*'Methane Standard Curve'!B13+'Methane Standard Curve'!C13</f>
        <v>1.2497962064663541E-3</v>
      </c>
    </row>
    <row r="24" spans="1:6" x14ac:dyDescent="0.3">
      <c r="A24" t="s">
        <v>31</v>
      </c>
      <c r="B24">
        <f>B23/22.4</f>
        <v>0.26390717615176928</v>
      </c>
    </row>
    <row r="25" spans="1:6" ht="15" thickBot="1" x14ac:dyDescent="0.35">
      <c r="A25" t="s">
        <v>32</v>
      </c>
      <c r="B25">
        <f>B24*60</f>
        <v>15.834430569106157</v>
      </c>
      <c r="E25" t="s">
        <v>91</v>
      </c>
      <c r="F25">
        <f>F21*B17</f>
        <v>5.9115207457996322</v>
      </c>
    </row>
    <row r="26" spans="1:6" ht="15" thickBot="1" x14ac:dyDescent="0.35">
      <c r="A26" t="s">
        <v>36</v>
      </c>
      <c r="B26" s="10">
        <f>B25/(B1*0.66)</f>
        <v>38.325178064445147</v>
      </c>
      <c r="E26" t="s">
        <v>92</v>
      </c>
      <c r="F26">
        <f>F25*SQRT((B19/B17)^2+(F23/F21)^2)</f>
        <v>0.29932359955532473</v>
      </c>
    </row>
    <row r="28" spans="1:6" x14ac:dyDescent="0.3">
      <c r="A28" t="s">
        <v>63</v>
      </c>
      <c r="B28">
        <f>B26*0.66/0.34</f>
        <v>74.395933889805278</v>
      </c>
      <c r="E28" s="16" t="s">
        <v>84</v>
      </c>
      <c r="F28">
        <f>F25*60/22.4/'10_22'!B1/'Neatened Compilation'!$B$18</f>
        <v>51.727234197410638</v>
      </c>
    </row>
    <row r="29" spans="1:6" x14ac:dyDescent="0.3">
      <c r="E29" t="s">
        <v>92</v>
      </c>
      <c r="F29">
        <f>F26*60/22.4/'10_22'!B1/'Neatened Compilation'!$B$18</f>
        <v>2.6191537847535504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2.2700352806044122</v>
      </c>
    </row>
    <row r="32" spans="1:6" ht="15" thickBot="1" x14ac:dyDescent="0.35">
      <c r="E32" s="4" t="s">
        <v>92</v>
      </c>
      <c r="F32" s="5">
        <f>F31*SQRT((E9/E7)^2+(F29/F28)^2)</f>
        <v>0.11843590032168816</v>
      </c>
    </row>
    <row r="35" spans="5:6" x14ac:dyDescent="0.3">
      <c r="E35" t="s">
        <v>95</v>
      </c>
      <c r="F35" t="s">
        <v>96</v>
      </c>
    </row>
    <row r="36" spans="5:6" x14ac:dyDescent="0.3">
      <c r="E36">
        <f>(F28/F29)^2 + (E7/E9)^2</f>
        <v>6707.6501906161229</v>
      </c>
      <c r="F36">
        <f>SQRT(E36)</f>
        <v>81.900245363589249</v>
      </c>
    </row>
    <row r="38" spans="5:6" x14ac:dyDescent="0.3">
      <c r="E38" t="s">
        <v>97</v>
      </c>
      <c r="F38">
        <f>F36*F31</f>
        <v>185.91644646550552</v>
      </c>
    </row>
    <row r="39" spans="5:6" x14ac:dyDescent="0.3">
      <c r="E39" t="s">
        <v>98</v>
      </c>
      <c r="F39">
        <f>F38/LN(2)</f>
        <v>268.22073533548325</v>
      </c>
    </row>
    <row r="45" spans="5:6" x14ac:dyDescent="0.3">
      <c r="E45" t="s">
        <v>99</v>
      </c>
      <c r="F45">
        <f>E7/F28</f>
        <v>1.5734685545225526E-3</v>
      </c>
    </row>
    <row r="46" spans="5:6" x14ac:dyDescent="0.3">
      <c r="E46" t="s">
        <v>100</v>
      </c>
      <c r="F46">
        <f>F45*SQRT((E9/E7)^2+(F29/F28)^2)</f>
        <v>8.2093510385056865E-5</v>
      </c>
    </row>
    <row r="47" spans="5:6" x14ac:dyDescent="0.3">
      <c r="E47" t="s">
        <v>101</v>
      </c>
      <c r="F47">
        <f>F46*1000/LN(2)</f>
        <v>0.11843590032168817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G45" sqref="G45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24" bestFit="1" customWidth="1"/>
    <col min="6" max="6" width="16" bestFit="1" customWidth="1"/>
  </cols>
  <sheetData>
    <row r="1" spans="1:6" ht="15" x14ac:dyDescent="0.25">
      <c r="A1" t="s">
        <v>18</v>
      </c>
      <c r="B1">
        <v>0.67200000000000004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ht="15" x14ac:dyDescent="0.25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.75" thickBot="1" x14ac:dyDescent="0.3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ht="15" x14ac:dyDescent="0.25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.75" thickBot="1" x14ac:dyDescent="0.3">
      <c r="D8" s="4" t="s">
        <v>17</v>
      </c>
      <c r="E8" s="5">
        <f>STDEV(E4:E6)</f>
        <v>7.96516101052323E-3</v>
      </c>
    </row>
    <row r="9" spans="1:6" ht="15" x14ac:dyDescent="0.25">
      <c r="D9" t="s">
        <v>90</v>
      </c>
      <c r="E9">
        <f>0.95*E8/SQRT(COUNT(E4:E6))</f>
        <v>4.368753460886084E-3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12.25</v>
      </c>
      <c r="B12">
        <f>50/A12*60</f>
        <v>244.89795918367346</v>
      </c>
      <c r="F12">
        <v>14371</v>
      </c>
    </row>
    <row r="13" spans="1:6" ht="15" x14ac:dyDescent="0.25">
      <c r="A13">
        <v>11.74</v>
      </c>
      <c r="B13">
        <f t="shared" ref="B13:B16" si="3">50/A13*60</f>
        <v>255.53662691652471</v>
      </c>
      <c r="F13">
        <v>14899</v>
      </c>
    </row>
    <row r="14" spans="1:6" ht="15" x14ac:dyDescent="0.25">
      <c r="A14">
        <v>12.08</v>
      </c>
      <c r="B14">
        <f t="shared" si="3"/>
        <v>248.34437086092714</v>
      </c>
      <c r="F14">
        <v>11940</v>
      </c>
    </row>
    <row r="15" spans="1:6" ht="15" x14ac:dyDescent="0.25">
      <c r="A15">
        <v>12.4</v>
      </c>
      <c r="B15">
        <f t="shared" si="3"/>
        <v>241.93548387096774</v>
      </c>
      <c r="F15">
        <v>13665</v>
      </c>
    </row>
    <row r="16" spans="1:6" ht="15.75" thickBot="1" x14ac:dyDescent="0.3">
      <c r="A16">
        <v>11.83</v>
      </c>
      <c r="B16">
        <f t="shared" si="3"/>
        <v>253.59256128486896</v>
      </c>
      <c r="F16">
        <v>14210</v>
      </c>
    </row>
    <row r="17" spans="1:6" ht="15" thickBot="1" x14ac:dyDescent="0.35">
      <c r="A17" s="2" t="s">
        <v>13</v>
      </c>
      <c r="B17" s="3">
        <f>AVERAGE(B12:B16)</f>
        <v>248.86140042339238</v>
      </c>
    </row>
    <row r="18" spans="1:6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" thickBot="1" x14ac:dyDescent="0.35">
      <c r="A19" t="s">
        <v>89</v>
      </c>
      <c r="B19">
        <f>0.95*B18/SQRT(COUNT(B12:B16))</f>
        <v>2.4302834377060933</v>
      </c>
      <c r="E19" s="4" t="s">
        <v>15</v>
      </c>
      <c r="F19" s="5">
        <f>STDEV(F12:F16)</f>
        <v>1137.7963350266164</v>
      </c>
    </row>
    <row r="20" spans="1:6" x14ac:dyDescent="0.3">
      <c r="E20" t="s">
        <v>89</v>
      </c>
      <c r="F20">
        <f>0.95*F19/SQRT(COUNT(F12:F17))</f>
        <v>483.39609043723135</v>
      </c>
    </row>
    <row r="21" spans="1:6" x14ac:dyDescent="0.3">
      <c r="E21" t="s">
        <v>29</v>
      </c>
      <c r="F21" s="15">
        <f>F18*'Methane Standard Curve'!B13+'Methane Standard Curve'!C13</f>
        <v>2.3830077808006077E-2</v>
      </c>
    </row>
    <row r="22" spans="1:6" x14ac:dyDescent="0.3">
      <c r="E22" t="s">
        <v>15</v>
      </c>
      <c r="F22">
        <f>F19*'Methane Standard Curve'!$B$13+'Methane Standard Curve'!$C$13</f>
        <v>2.9436560336797285E-3</v>
      </c>
    </row>
    <row r="23" spans="1:6" x14ac:dyDescent="0.3">
      <c r="A23" t="s">
        <v>30</v>
      </c>
      <c r="B23">
        <f>B17*F21</f>
        <v>5.9303865354987968</v>
      </c>
      <c r="E23" t="s">
        <v>89</v>
      </c>
      <c r="F23">
        <f>F20*'Methane Standard Curve'!$B$13+'Methane Standard Curve'!$C$13</f>
        <v>1.8656640809615438E-3</v>
      </c>
    </row>
    <row r="24" spans="1:6" x14ac:dyDescent="0.3">
      <c r="A24" t="s">
        <v>31</v>
      </c>
      <c r="B24">
        <f>B23/22.4</f>
        <v>0.26474939890619631</v>
      </c>
    </row>
    <row r="25" spans="1:6" ht="15" thickBot="1" x14ac:dyDescent="0.35">
      <c r="A25" t="s">
        <v>32</v>
      </c>
      <c r="B25">
        <f>B24*60</f>
        <v>15.884963934371779</v>
      </c>
      <c r="E25" t="s">
        <v>91</v>
      </c>
      <c r="F25">
        <f>F21*B17</f>
        <v>5.9303865354987968</v>
      </c>
    </row>
    <row r="26" spans="1:6" ht="15" thickBot="1" x14ac:dyDescent="0.35">
      <c r="A26" t="s">
        <v>36</v>
      </c>
      <c r="B26" s="10">
        <f>B25/(B1*0.66)</f>
        <v>35.815665436444306</v>
      </c>
      <c r="E26" t="s">
        <v>92</v>
      </c>
      <c r="F26">
        <f>F25*SQRT((B19/B17)^2+(F23/F21)^2)</f>
        <v>0.46788980159301863</v>
      </c>
    </row>
    <row r="28" spans="1:6" x14ac:dyDescent="0.3">
      <c r="A28" t="s">
        <v>63</v>
      </c>
      <c r="B28">
        <f>B26*0.66/0.34</f>
        <v>69.524527023686005</v>
      </c>
      <c r="E28" s="16" t="s">
        <v>84</v>
      </c>
      <c r="F28">
        <f>F25*60/22.4/B1/'Neatened Compilation'!$B$18</f>
        <v>48.340161938759181</v>
      </c>
    </row>
    <row r="29" spans="1:6" x14ac:dyDescent="0.3">
      <c r="E29" t="s">
        <v>92</v>
      </c>
      <c r="F29">
        <f>F26*60/22.4/B1/'Neatened Compilation'!$B$18</f>
        <v>3.8138945316821689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2.6932851089400507</v>
      </c>
    </row>
    <row r="32" spans="1:6" ht="15" thickBot="1" x14ac:dyDescent="0.35">
      <c r="E32" s="4" t="s">
        <v>92</v>
      </c>
      <c r="F32" s="5">
        <f>F31*SQRT((E9/E7)^2+(F29/F28)^2)</f>
        <v>0.24930479213507378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workbookViewId="0">
      <selection activeCell="C83" sqref="C83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0.71199999999999997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ht="15" x14ac:dyDescent="0.25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ht="15" x14ac:dyDescent="0.25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.75" thickBot="1" x14ac:dyDescent="0.3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ht="15" x14ac:dyDescent="0.25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.75" thickBot="1" x14ac:dyDescent="0.3">
      <c r="D9" s="4" t="s">
        <v>17</v>
      </c>
      <c r="E9" s="5">
        <f>STDEV(E4:E7)</f>
        <v>3.2243641791387537E-3</v>
      </c>
    </row>
    <row r="10" spans="1:6" ht="15" x14ac:dyDescent="0.25">
      <c r="D10" t="s">
        <v>90</v>
      </c>
      <c r="E10">
        <f>0.95*E9/SQRT(COUNT(E4:E7))</f>
        <v>1.5315729850909079E-3</v>
      </c>
    </row>
    <row r="11" spans="1:6" ht="15" x14ac:dyDescent="0.25">
      <c r="A11" t="s">
        <v>8</v>
      </c>
      <c r="F11" t="s">
        <v>11</v>
      </c>
    </row>
    <row r="12" spans="1:6" ht="15" x14ac:dyDescent="0.25">
      <c r="A12" t="s">
        <v>9</v>
      </c>
      <c r="B12" t="s">
        <v>10</v>
      </c>
      <c r="F12" t="s">
        <v>12</v>
      </c>
    </row>
    <row r="13" spans="1:6" ht="15" x14ac:dyDescent="0.25">
      <c r="A13">
        <v>12.73</v>
      </c>
      <c r="B13">
        <f>50/A13*60</f>
        <v>235.66378633150038</v>
      </c>
      <c r="F13">
        <v>14866</v>
      </c>
    </row>
    <row r="14" spans="1:6" ht="15" x14ac:dyDescent="0.25">
      <c r="A14">
        <v>12.7</v>
      </c>
      <c r="B14">
        <f t="shared" ref="B14:B17" si="6">50/A14*60</f>
        <v>236.22047244094489</v>
      </c>
      <c r="F14">
        <v>15913</v>
      </c>
    </row>
    <row r="15" spans="1:6" ht="15" x14ac:dyDescent="0.25">
      <c r="A15">
        <v>12.77</v>
      </c>
      <c r="B15">
        <f t="shared" si="6"/>
        <v>234.92560689115115</v>
      </c>
      <c r="F15">
        <v>11486</v>
      </c>
    </row>
    <row r="16" spans="1:6" ht="15" x14ac:dyDescent="0.25">
      <c r="A16">
        <v>12.65</v>
      </c>
      <c r="B16">
        <f t="shared" si="6"/>
        <v>237.15415019762844</v>
      </c>
    </row>
    <row r="17" spans="1:6" ht="15" thickBot="1" x14ac:dyDescent="0.35">
      <c r="A17">
        <v>12.67</v>
      </c>
      <c r="B17">
        <f t="shared" si="6"/>
        <v>236.77979479084453</v>
      </c>
    </row>
    <row r="18" spans="1:6" ht="15" thickBot="1" x14ac:dyDescent="0.35">
      <c r="A18" s="2" t="s">
        <v>13</v>
      </c>
      <c r="B18" s="3">
        <f>AVERAGE(B13:B17)</f>
        <v>236.1487621304139</v>
      </c>
    </row>
    <row r="19" spans="1:6" ht="15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" thickBot="1" x14ac:dyDescent="0.35">
      <c r="A20" t="s">
        <v>89</v>
      </c>
      <c r="B20">
        <f>0.95*B19/SQRT(COUNT(B13:B17))</f>
        <v>0.37674777146009031</v>
      </c>
      <c r="E20" s="4" t="s">
        <v>15</v>
      </c>
      <c r="F20" s="5">
        <f>STDEV(F13:F17)</f>
        <v>2313.6889015883949</v>
      </c>
    </row>
    <row r="21" spans="1:6" x14ac:dyDescent="0.3">
      <c r="E21" t="s">
        <v>89</v>
      </c>
      <c r="F21">
        <f>0.95*F20/SQRT(COUNT(F13:F18))</f>
        <v>1269.0184646454541</v>
      </c>
    </row>
    <row r="22" spans="1:6" x14ac:dyDescent="0.3">
      <c r="E22" t="s">
        <v>29</v>
      </c>
      <c r="F22" s="15">
        <f>F19*'Methane Standard Curve'!B13+'Methane Standard Curve'!C13</f>
        <v>2.4277044556958109E-2</v>
      </c>
    </row>
    <row r="23" spans="1:6" x14ac:dyDescent="0.3">
      <c r="E23" t="s">
        <v>15</v>
      </c>
      <c r="F23">
        <f>F20*'Methane Standard Curve'!$B$13+'Methane Standard Curve'!$C$13</f>
        <v>4.8807010370936696E-3</v>
      </c>
    </row>
    <row r="24" spans="1:6" x14ac:dyDescent="0.3">
      <c r="A24" t="s">
        <v>30</v>
      </c>
      <c r="B24">
        <f>B18*F22</f>
        <v>5.73299402031056</v>
      </c>
      <c r="E24" t="s">
        <v>89</v>
      </c>
      <c r="F24">
        <f>F21*'Methane Standard Curve'!$B$13+'Methane Standard Curve'!$C$13</f>
        <v>3.159817932941256E-3</v>
      </c>
    </row>
    <row r="25" spans="1:6" x14ac:dyDescent="0.3">
      <c r="A25" t="s">
        <v>31</v>
      </c>
      <c r="B25">
        <f>B24/22.4</f>
        <v>0.25593723304957861</v>
      </c>
    </row>
    <row r="26" spans="1:6" ht="15" thickBot="1" x14ac:dyDescent="0.35">
      <c r="A26" t="s">
        <v>32</v>
      </c>
      <c r="B26">
        <f>B25*60</f>
        <v>15.356233982974716</v>
      </c>
      <c r="E26" t="s">
        <v>91</v>
      </c>
      <c r="F26">
        <f>F22*B18</f>
        <v>5.73299402031056</v>
      </c>
    </row>
    <row r="27" spans="1:6" ht="15" thickBot="1" x14ac:dyDescent="0.35">
      <c r="A27" t="s">
        <v>36</v>
      </c>
      <c r="B27" s="10">
        <f>B26/(B1*0.66)</f>
        <v>32.678400542591753</v>
      </c>
      <c r="E27" t="s">
        <v>92</v>
      </c>
      <c r="F27">
        <f>F26*SQRT((B20/B18)^2+(F24/F22)^2)</f>
        <v>0.74624314643619483</v>
      </c>
    </row>
    <row r="29" spans="1:6" x14ac:dyDescent="0.3">
      <c r="E29" s="16" t="s">
        <v>84</v>
      </c>
      <c r="F29">
        <f>F26*60/22.4/B1/'Neatened Compilation'!$B$18</f>
        <v>44.105816683252677</v>
      </c>
    </row>
    <row r="30" spans="1:6" x14ac:dyDescent="0.3">
      <c r="E30" t="s">
        <v>92</v>
      </c>
      <c r="F30">
        <f>F27*60/22.4/B1/'Neatened Compilation'!$B$18</f>
        <v>5.741095019677962</v>
      </c>
    </row>
    <row r="31" spans="1:6" ht="15" thickBot="1" x14ac:dyDescent="0.35"/>
    <row r="32" spans="1:6" x14ac:dyDescent="0.3">
      <c r="E32" s="2" t="s">
        <v>94</v>
      </c>
      <c r="F32" s="3">
        <f>1000*E8/F29/LN(2)</f>
        <v>2.9181809328892117</v>
      </c>
    </row>
    <row r="33" spans="5:6" ht="15" thickBot="1" x14ac:dyDescent="0.35">
      <c r="E33" s="4" t="s">
        <v>92</v>
      </c>
      <c r="F33" s="5">
        <f>F32*SQRT((E10/E8)^2+(F30/F29)^2)</f>
        <v>0.3831384723103145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F28" sqref="F28:F29"/>
    </sheetView>
  </sheetViews>
  <sheetFormatPr defaultRowHeight="14.4" x14ac:dyDescent="0.3"/>
  <cols>
    <col min="1" max="1" width="23.664062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0.83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.75" thickBot="1" x14ac:dyDescent="0.3">
      <c r="F6" t="s">
        <v>49</v>
      </c>
    </row>
    <row r="7" spans="1:6" ht="15" x14ac:dyDescent="0.25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.75" thickBot="1" x14ac:dyDescent="0.3">
      <c r="D8" s="4" t="s">
        <v>17</v>
      </c>
      <c r="E8" s="5">
        <v>0</v>
      </c>
    </row>
    <row r="9" spans="1:6" ht="15" x14ac:dyDescent="0.25">
      <c r="D9" t="s">
        <v>90</v>
      </c>
      <c r="E9">
        <f>0.95*E8/SQRT(COUNT(E4:E6))</f>
        <v>0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12.8</v>
      </c>
      <c r="B12">
        <f>50/A12*60</f>
        <v>234.375</v>
      </c>
      <c r="F12">
        <v>10464</v>
      </c>
    </row>
    <row r="13" spans="1:6" ht="15" x14ac:dyDescent="0.25">
      <c r="A13">
        <v>12.81</v>
      </c>
      <c r="B13">
        <f t="shared" ref="B13:B16" si="0">50/A13*60</f>
        <v>234.19203747072598</v>
      </c>
      <c r="F13">
        <v>10676</v>
      </c>
    </row>
    <row r="14" spans="1:6" ht="15" x14ac:dyDescent="0.25">
      <c r="A14">
        <v>12.64</v>
      </c>
      <c r="B14">
        <f t="shared" si="0"/>
        <v>237.34177215189871</v>
      </c>
      <c r="F14">
        <v>10245</v>
      </c>
    </row>
    <row r="15" spans="1:6" ht="15" x14ac:dyDescent="0.25">
      <c r="A15">
        <v>12.78</v>
      </c>
      <c r="B15">
        <f t="shared" si="0"/>
        <v>234.74178403755869</v>
      </c>
    </row>
    <row r="16" spans="1:6" ht="15.75" thickBot="1" x14ac:dyDescent="0.3">
      <c r="A16">
        <v>12.78</v>
      </c>
      <c r="B16">
        <f t="shared" si="0"/>
        <v>234.74178403755869</v>
      </c>
    </row>
    <row r="17" spans="1:6" ht="15" thickBot="1" x14ac:dyDescent="0.35">
      <c r="A17" s="2" t="s">
        <v>13</v>
      </c>
      <c r="B17" s="3">
        <f>AVERAGE(B12:B16)</f>
        <v>235.07847553954838</v>
      </c>
    </row>
    <row r="18" spans="1:6" ht="15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ht="15" thickBot="1" x14ac:dyDescent="0.35">
      <c r="A19" t="s">
        <v>89</v>
      </c>
      <c r="B19">
        <f>0.95*B18/SQRT(COUNT(B12:B16))</f>
        <v>0.54696757070363611</v>
      </c>
      <c r="E19" s="4" t="s">
        <v>15</v>
      </c>
      <c r="F19" s="5">
        <f>STDEV(F12:F16)</f>
        <v>215.50947388301361</v>
      </c>
    </row>
    <row r="20" spans="1:6" x14ac:dyDescent="0.3">
      <c r="E20" t="s">
        <v>89</v>
      </c>
      <c r="F20">
        <f>0.95*F19/SQRT(COUNT(F12:F17))</f>
        <v>118.20323012130891</v>
      </c>
    </row>
    <row r="21" spans="1:6" x14ac:dyDescent="0.3">
      <c r="E21" t="s">
        <v>29</v>
      </c>
      <c r="F21" s="15">
        <f>F18*'Methane Standard Curve'!B13+'Methane Standard Curve'!C13</f>
        <v>1.8302845258925997E-2</v>
      </c>
    </row>
    <row r="22" spans="1:6" x14ac:dyDescent="0.3">
      <c r="E22" t="s">
        <v>15</v>
      </c>
      <c r="F22">
        <f>F19*'Methane Standard Curve'!$B$13+'Methane Standard Curve'!$C$13</f>
        <v>1.4243751002895569E-3</v>
      </c>
    </row>
    <row r="23" spans="1:6" x14ac:dyDescent="0.3">
      <c r="A23" t="s">
        <v>30</v>
      </c>
      <c r="B23">
        <f>B17*F21</f>
        <v>4.3026049615045743</v>
      </c>
      <c r="E23" t="s">
        <v>89</v>
      </c>
      <c r="F23">
        <f>F20*'Methane Standard Curve'!$B$13+'Methane Standard Curve'!$C$13</f>
        <v>1.2640827584213625E-3</v>
      </c>
    </row>
    <row r="24" spans="1:6" x14ac:dyDescent="0.3">
      <c r="A24" t="s">
        <v>31</v>
      </c>
      <c r="B24">
        <f>B23/22.4</f>
        <v>0.19208057863859707</v>
      </c>
    </row>
    <row r="25" spans="1:6" ht="15" thickBot="1" x14ac:dyDescent="0.35">
      <c r="A25" t="s">
        <v>32</v>
      </c>
      <c r="B25">
        <f>B24*60</f>
        <v>11.524834718315823</v>
      </c>
      <c r="E25" t="s">
        <v>91</v>
      </c>
      <c r="F25">
        <f>F21*B17</f>
        <v>4.3026049615045743</v>
      </c>
    </row>
    <row r="26" spans="1:6" ht="15" thickBot="1" x14ac:dyDescent="0.35">
      <c r="A26" t="s">
        <v>36</v>
      </c>
      <c r="B26" s="10">
        <f>B25/(B1*0.66)</f>
        <v>21.038398536538562</v>
      </c>
      <c r="E26" t="s">
        <v>92</v>
      </c>
      <c r="F26">
        <f>F25*SQRT((B19/B17)^2+(F23/F21)^2)</f>
        <v>0.29732723276577994</v>
      </c>
    </row>
    <row r="28" spans="1:6" x14ac:dyDescent="0.3">
      <c r="E28" s="16" t="s">
        <v>84</v>
      </c>
      <c r="F28">
        <f>F25*60/22.4/B1/'Neatened Compilation'!$B$18</f>
        <v>28.395384527843461</v>
      </c>
    </row>
    <row r="29" spans="1:6" x14ac:dyDescent="0.3">
      <c r="E29" t="s">
        <v>92</v>
      </c>
      <c r="F29">
        <f>F26*60/22.4/B1/'Neatened Compilation'!$B$18</f>
        <v>1.9622347811432845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2.3642889846525779</v>
      </c>
    </row>
    <row r="32" spans="1:6" ht="15" thickBot="1" x14ac:dyDescent="0.35">
      <c r="E32" s="4" t="s">
        <v>92</v>
      </c>
      <c r="F32" s="5">
        <f>F31*SQRT((E9/E7)^2+(F29/F28)^2)</f>
        <v>0.16338183671399531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F28" sqref="F28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0.68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ht="15" x14ac:dyDescent="0.25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.75" thickBot="1" x14ac:dyDescent="0.3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ht="15" x14ac:dyDescent="0.25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.75" thickBot="1" x14ac:dyDescent="0.3">
      <c r="D8" s="4" t="s">
        <v>17</v>
      </c>
      <c r="E8" s="5">
        <f>STDEV(E4:E6)</f>
        <v>3.769238730890744E-3</v>
      </c>
    </row>
    <row r="9" spans="1:6" ht="15" x14ac:dyDescent="0.25">
      <c r="D9" t="s">
        <v>90</v>
      </c>
      <c r="E9">
        <f>0.95*E8/SQRT(COUNT(E4:E6))</f>
        <v>2.0673624461237479E-3</v>
      </c>
    </row>
    <row r="10" spans="1:6" ht="15" x14ac:dyDescent="0.25">
      <c r="A10" t="s">
        <v>8</v>
      </c>
      <c r="F10" t="s">
        <v>11</v>
      </c>
    </row>
    <row r="11" spans="1:6" ht="15" x14ac:dyDescent="0.25">
      <c r="A11" t="s">
        <v>9</v>
      </c>
      <c r="B11" t="s">
        <v>10</v>
      </c>
      <c r="F11" t="s">
        <v>12</v>
      </c>
    </row>
    <row r="12" spans="1:6" ht="15" x14ac:dyDescent="0.25">
      <c r="A12">
        <v>12.85</v>
      </c>
      <c r="B12">
        <f>50/A12*60</f>
        <v>233.46303501945525</v>
      </c>
      <c r="F12">
        <v>12209</v>
      </c>
    </row>
    <row r="13" spans="1:6" ht="15" x14ac:dyDescent="0.25">
      <c r="A13">
        <v>12.8</v>
      </c>
      <c r="B13">
        <f t="shared" ref="B13:B16" si="3">50/A13*60</f>
        <v>234.375</v>
      </c>
      <c r="F13">
        <v>12955</v>
      </c>
    </row>
    <row r="14" spans="1:6" ht="15" x14ac:dyDescent="0.25">
      <c r="A14">
        <v>12.83</v>
      </c>
      <c r="B14">
        <f t="shared" si="3"/>
        <v>233.8269680436477</v>
      </c>
      <c r="F14">
        <v>12671</v>
      </c>
    </row>
    <row r="15" spans="1:6" ht="15" x14ac:dyDescent="0.25">
      <c r="A15">
        <v>12.83</v>
      </c>
      <c r="B15">
        <f t="shared" si="3"/>
        <v>233.8269680436477</v>
      </c>
    </row>
    <row r="16" spans="1:6" ht="15.75" thickBot="1" x14ac:dyDescent="0.3">
      <c r="A16">
        <v>12.86</v>
      </c>
      <c r="B16">
        <f t="shared" si="3"/>
        <v>233.28149300155525</v>
      </c>
    </row>
    <row r="17" spans="1:6" ht="15" thickBot="1" x14ac:dyDescent="0.35">
      <c r="A17" s="2" t="s">
        <v>13</v>
      </c>
      <c r="B17" s="3">
        <f>AVERAGE(B12:B16)</f>
        <v>233.75469282166114</v>
      </c>
    </row>
    <row r="18" spans="1:6" ht="15" thickBot="1" x14ac:dyDescent="0.35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6" ht="15" thickBot="1" x14ac:dyDescent="0.35">
      <c r="A19" t="s">
        <v>89</v>
      </c>
      <c r="B19">
        <f>0.95*B18/SQRT(COUNT(B12:B16))</f>
        <v>0.1782624758215407</v>
      </c>
      <c r="E19" s="4" t="s">
        <v>15</v>
      </c>
      <c r="F19" s="5">
        <f>STDEV(F12:F16)</f>
        <v>376.52268634616604</v>
      </c>
    </row>
    <row r="20" spans="1:6" x14ac:dyDescent="0.3">
      <c r="E20" t="s">
        <v>89</v>
      </c>
      <c r="F20">
        <f>0.95*F19/SQRT(COUNT(F12:F17))</f>
        <v>206.51620060206199</v>
      </c>
    </row>
    <row r="21" spans="1:6" x14ac:dyDescent="0.3">
      <c r="E21" t="s">
        <v>29</v>
      </c>
      <c r="F21" s="15">
        <f>F18*'Methane Standard Curve'!B13+'Methane Standard Curve'!C13</f>
        <v>2.1844535100130694E-2</v>
      </c>
    </row>
    <row r="22" spans="1:6" x14ac:dyDescent="0.3">
      <c r="E22" t="s">
        <v>15</v>
      </c>
      <c r="F22">
        <f>F19*'Methane Standard Curve'!$B$13+'Methane Standard Curve'!$C$13</f>
        <v>1.6896117788386179E-3</v>
      </c>
    </row>
    <row r="23" spans="1:6" x14ac:dyDescent="0.3">
      <c r="A23" t="s">
        <v>33</v>
      </c>
      <c r="B23">
        <f>B17*F21</f>
        <v>5.1062625921630449</v>
      </c>
      <c r="E23" t="s">
        <v>89</v>
      </c>
      <c r="F23">
        <f>F20*'Methane Standard Curve'!$B$13+'Methane Standard Curve'!$C$13</f>
        <v>1.4095605027926619E-3</v>
      </c>
    </row>
    <row r="24" spans="1:6" x14ac:dyDescent="0.3">
      <c r="A24" t="s">
        <v>34</v>
      </c>
      <c r="B24">
        <f>B23/22.4</f>
        <v>0.22795815143585024</v>
      </c>
    </row>
    <row r="25" spans="1:6" ht="15" thickBot="1" x14ac:dyDescent="0.35">
      <c r="A25" t="s">
        <v>35</v>
      </c>
      <c r="B25">
        <f>B24*60</f>
        <v>13.677489086151015</v>
      </c>
      <c r="C25" t="s">
        <v>44</v>
      </c>
      <c r="E25" t="s">
        <v>91</v>
      </c>
      <c r="F25">
        <f>F21*B17</f>
        <v>5.1062625921630449</v>
      </c>
    </row>
    <row r="26" spans="1:6" ht="15" thickBot="1" x14ac:dyDescent="0.35">
      <c r="A26" t="s">
        <v>36</v>
      </c>
      <c r="B26" s="10">
        <f>B25/(B1*0.66)</f>
        <v>30.475688694632385</v>
      </c>
      <c r="C26">
        <f>B25/(B1*0.34)</f>
        <v>59.158689818992265</v>
      </c>
      <c r="E26" t="s">
        <v>92</v>
      </c>
      <c r="F26">
        <f>F25*SQRT((B19/B17)^2+(F23/F21)^2)</f>
        <v>0.32951439232487173</v>
      </c>
    </row>
    <row r="28" spans="1:6" x14ac:dyDescent="0.3">
      <c r="A28" t="s">
        <v>63</v>
      </c>
      <c r="B28">
        <f>B26*0.66/0.34</f>
        <v>59.158689818992272</v>
      </c>
      <c r="E28" s="16" t="s">
        <v>84</v>
      </c>
      <c r="F28">
        <f>F25*60/22.4/B1/'Neatened Compilation'!$B$18</f>
        <v>41.132831366988491</v>
      </c>
    </row>
    <row r="29" spans="1:6" x14ac:dyDescent="0.3">
      <c r="E29" t="s">
        <v>92</v>
      </c>
      <c r="F29">
        <f>F26*60/22.4/B1/'Neatened Compilation'!$B$18</f>
        <v>2.6543601485158121</v>
      </c>
    </row>
    <row r="30" spans="1:6" ht="15" thickBot="1" x14ac:dyDescent="0.35"/>
    <row r="31" spans="1:6" x14ac:dyDescent="0.3">
      <c r="E31" s="2" t="s">
        <v>94</v>
      </c>
      <c r="F31" s="3">
        <f>1000*E7/F28/LN(2)</f>
        <v>2.4722779764312812</v>
      </c>
    </row>
    <row r="32" spans="1:6" ht="15" thickBot="1" x14ac:dyDescent="0.35">
      <c r="E32" s="4" t="s">
        <v>92</v>
      </c>
      <c r="F32" s="5">
        <f>F31*SQRT((E9/E7)^2+(F29/F28)^2)</f>
        <v>0.17524469157481251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F30" sqref="F30:F31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0.80400000000000005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ht="15" x14ac:dyDescent="0.25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ht="15" x14ac:dyDescent="0.25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ht="15" x14ac:dyDescent="0.25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ht="15.75" thickBot="1" x14ac:dyDescent="0.3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ht="15" x14ac:dyDescent="0.25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ht="15.75" thickBot="1" x14ac:dyDescent="0.3">
      <c r="D10" s="4" t="s">
        <v>17</v>
      </c>
      <c r="E10" s="5">
        <f>STDEV(E4:E8)</f>
        <v>2.6388241743311911E-3</v>
      </c>
    </row>
    <row r="11" spans="1:6" ht="15" x14ac:dyDescent="0.25">
      <c r="D11" t="s">
        <v>90</v>
      </c>
      <c r="E11">
        <f>0.95*E10/SQRT(COUNT(E4:E8))</f>
        <v>1.1211121445501167E-3</v>
      </c>
    </row>
    <row r="12" spans="1:6" ht="15" x14ac:dyDescent="0.25">
      <c r="A12" t="s">
        <v>8</v>
      </c>
      <c r="F12" t="s">
        <v>11</v>
      </c>
    </row>
    <row r="13" spans="1:6" ht="15" x14ac:dyDescent="0.25">
      <c r="A13" t="s">
        <v>9</v>
      </c>
      <c r="B13" t="s">
        <v>10</v>
      </c>
      <c r="F13" t="s">
        <v>12</v>
      </c>
    </row>
    <row r="14" spans="1:6" ht="15" x14ac:dyDescent="0.25">
      <c r="A14">
        <v>12.74</v>
      </c>
      <c r="B14">
        <f>50/A14*60</f>
        <v>235.47880690737833</v>
      </c>
      <c r="F14">
        <v>10270</v>
      </c>
    </row>
    <row r="15" spans="1:6" ht="15" x14ac:dyDescent="0.25">
      <c r="A15">
        <v>12.64</v>
      </c>
      <c r="B15">
        <f t="shared" ref="B15:B18" si="6">50/A15*60</f>
        <v>237.34177215189871</v>
      </c>
      <c r="F15">
        <v>9831</v>
      </c>
    </row>
    <row r="16" spans="1:6" ht="15" x14ac:dyDescent="0.25">
      <c r="A16">
        <v>12.66</v>
      </c>
      <c r="B16">
        <f t="shared" si="6"/>
        <v>236.96682464454977</v>
      </c>
      <c r="F16">
        <v>9667</v>
      </c>
    </row>
    <row r="17" spans="1:6" x14ac:dyDescent="0.3">
      <c r="A17">
        <v>12.75</v>
      </c>
      <c r="B17">
        <f t="shared" si="6"/>
        <v>235.29411764705881</v>
      </c>
    </row>
    <row r="18" spans="1:6" ht="15" thickBot="1" x14ac:dyDescent="0.35">
      <c r="A18">
        <v>12.51</v>
      </c>
      <c r="B18">
        <f t="shared" si="6"/>
        <v>239.80815347721824</v>
      </c>
    </row>
    <row r="19" spans="1:6" ht="15" thickBot="1" x14ac:dyDescent="0.35">
      <c r="A19" s="2" t="s">
        <v>13</v>
      </c>
      <c r="B19" s="3">
        <f>AVERAGE(B14:B18)</f>
        <v>236.97793496562076</v>
      </c>
    </row>
    <row r="20" spans="1:6" ht="15" thickBot="1" x14ac:dyDescent="0.35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6" ht="15" thickBot="1" x14ac:dyDescent="0.35">
      <c r="A21" t="s">
        <v>89</v>
      </c>
      <c r="B21">
        <f>0.95*B20/SQRT(COUNT(B14:B18))</f>
        <v>0.77252185311749932</v>
      </c>
      <c r="E21" s="4" t="s">
        <v>15</v>
      </c>
      <c r="F21" s="5">
        <f>STDEV(F14:F18)</f>
        <v>311.77609487151727</v>
      </c>
    </row>
    <row r="22" spans="1:6" x14ac:dyDescent="0.3">
      <c r="E22" t="s">
        <v>89</v>
      </c>
      <c r="F22">
        <f>0.95*F21/SQRT(COUNT(F14:F19))</f>
        <v>171.00381168591278</v>
      </c>
    </row>
    <row r="23" spans="1:6" x14ac:dyDescent="0.3">
      <c r="E23" t="s">
        <v>29</v>
      </c>
      <c r="F23" s="15">
        <f>F20*'Methane Standard Curve'!B13+'Methane Standard Curve'!C13</f>
        <v>1.7414951852223977E-2</v>
      </c>
    </row>
    <row r="24" spans="1:6" x14ac:dyDescent="0.3">
      <c r="E24" t="s">
        <v>15</v>
      </c>
      <c r="F24">
        <f>F21*'Methane Standard Curve'!$B$13+'Methane Standard Curve'!$C$13</f>
        <v>1.5829548740579694E-3</v>
      </c>
    </row>
    <row r="25" spans="1:6" x14ac:dyDescent="0.3">
      <c r="A25" t="s">
        <v>33</v>
      </c>
      <c r="B25">
        <f>B19*F23</f>
        <v>4.1269593274657508</v>
      </c>
      <c r="E25" t="s">
        <v>89</v>
      </c>
      <c r="F25">
        <f>F22*'Methane Standard Curve'!$B$13+'Methane Standard Curve'!$C$13</f>
        <v>1.3510610297409243E-3</v>
      </c>
    </row>
    <row r="26" spans="1:6" x14ac:dyDescent="0.3">
      <c r="A26" t="s">
        <v>34</v>
      </c>
      <c r="B26">
        <f>B25/22.4</f>
        <v>0.18423925569043531</v>
      </c>
    </row>
    <row r="27" spans="1:6" ht="15" thickBot="1" x14ac:dyDescent="0.35">
      <c r="A27" t="s">
        <v>35</v>
      </c>
      <c r="B27">
        <f>B26*60</f>
        <v>11.054355341426119</v>
      </c>
      <c r="C27" t="s">
        <v>44</v>
      </c>
      <c r="E27" t="s">
        <v>91</v>
      </c>
      <c r="F27">
        <f>F23*B19</f>
        <v>4.1269593274657508</v>
      </c>
    </row>
    <row r="28" spans="1:6" ht="15" thickBot="1" x14ac:dyDescent="0.35">
      <c r="A28" t="s">
        <v>36</v>
      </c>
      <c r="B28" s="10">
        <f>B27/(B1*0.66)</f>
        <v>20.832118463414211</v>
      </c>
      <c r="C28">
        <f>B27/(B1*0.34)</f>
        <v>40.438818193686409</v>
      </c>
      <c r="E28" t="s">
        <v>92</v>
      </c>
      <c r="F28">
        <f>F27*SQRT((B21/B19)^2+(F25/F23)^2)</f>
        <v>0.32045418094478684</v>
      </c>
    </row>
    <row r="30" spans="1:6" x14ac:dyDescent="0.3">
      <c r="A30" t="s">
        <v>63</v>
      </c>
      <c r="B30">
        <f>B28*0.66/0.34</f>
        <v>40.438818193686409</v>
      </c>
      <c r="E30" s="16" t="s">
        <v>84</v>
      </c>
      <c r="F30">
        <f>F27*60/22.4/B1/'Neatened Compilation'!$B$18</f>
        <v>28.116969705221639</v>
      </c>
    </row>
    <row r="31" spans="1:6" x14ac:dyDescent="0.3">
      <c r="E31" t="s">
        <v>92</v>
      </c>
      <c r="F31">
        <f>F28*60/22.4/B1/'Neatened Compilation'!$B$18</f>
        <v>2.1832540092099948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2.3484803688734086</v>
      </c>
    </row>
    <row r="34" spans="5:6" ht="15" thickBot="1" x14ac:dyDescent="0.35">
      <c r="E34" s="4" t="s">
        <v>92</v>
      </c>
      <c r="F34" s="5">
        <f>F33*SQRT((E11/E9)^2+(F31/F30)^2)</f>
        <v>0.19121510303856742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3" workbookViewId="0">
      <selection activeCell="F34" sqref="F34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ht="15" x14ac:dyDescent="0.25">
      <c r="A1" t="s">
        <v>18</v>
      </c>
      <c r="B1">
        <v>0.66</v>
      </c>
    </row>
    <row r="2" spans="1:6" ht="15" x14ac:dyDescent="0.25">
      <c r="A2" t="s">
        <v>7</v>
      </c>
    </row>
    <row r="3" spans="1:6" ht="15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5" x14ac:dyDescent="0.25">
      <c r="A4" s="6">
        <f>35/60+16</f>
        <v>16.583333333333332</v>
      </c>
      <c r="B4" s="6">
        <v>2.6</v>
      </c>
      <c r="C4" s="6">
        <f>B4/2.65</f>
        <v>0.98113207547169823</v>
      </c>
      <c r="D4" s="6">
        <f>A4/C4</f>
        <v>16.902243589743588</v>
      </c>
      <c r="E4" s="6">
        <f>1/D4</f>
        <v>5.9163743244524516E-2</v>
      </c>
      <c r="F4" t="s">
        <v>16</v>
      </c>
    </row>
    <row r="5" spans="1:6" ht="15" x14ac:dyDescent="0.25">
      <c r="A5">
        <v>24</v>
      </c>
      <c r="B5">
        <v>4.0999999999999996</v>
      </c>
      <c r="C5">
        <f t="shared" ref="C5:C6" si="0">B5/2.65</f>
        <v>1.5471698113207546</v>
      </c>
      <c r="D5">
        <f t="shared" ref="D5:D6" si="1">A5/C5</f>
        <v>15.512195121951221</v>
      </c>
      <c r="E5">
        <f t="shared" ref="E5:E6" si="2">1/D5</f>
        <v>6.4465408805031446E-2</v>
      </c>
    </row>
    <row r="6" spans="1:6" ht="15" x14ac:dyDescent="0.25">
      <c r="A6">
        <f>24+1/3</f>
        <v>24.333333333333332</v>
      </c>
      <c r="B6">
        <v>3.75</v>
      </c>
      <c r="C6">
        <f t="shared" si="0"/>
        <v>1.4150943396226416</v>
      </c>
      <c r="D6">
        <f t="shared" si="1"/>
        <v>17.195555555555554</v>
      </c>
      <c r="E6">
        <f t="shared" si="2"/>
        <v>5.8154561902300339E-2</v>
      </c>
      <c r="F6" t="s">
        <v>49</v>
      </c>
    </row>
    <row r="7" spans="1:6" ht="15" x14ac:dyDescent="0.25">
      <c r="A7">
        <f>26+55/60</f>
        <v>26.916666666666668</v>
      </c>
      <c r="B7">
        <v>4.05</v>
      </c>
      <c r="C7" s="6">
        <f>B7/2.65</f>
        <v>1.5283018867924527</v>
      </c>
      <c r="D7" s="6">
        <f>A7/C7</f>
        <v>17.612139917695476</v>
      </c>
      <c r="E7" s="6">
        <f>1/D7</f>
        <v>5.6779017465973469E-2</v>
      </c>
    </row>
    <row r="8" spans="1:6" ht="15.75" thickBot="1" x14ac:dyDescent="0.3">
      <c r="A8">
        <v>22</v>
      </c>
      <c r="B8">
        <v>3.65</v>
      </c>
      <c r="C8">
        <f t="shared" ref="C8" si="3">B8/2.65</f>
        <v>1.3773584905660377</v>
      </c>
      <c r="D8">
        <f t="shared" ref="D8" si="4">A8/C8</f>
        <v>15.972602739726028</v>
      </c>
      <c r="E8">
        <f t="shared" ref="E8" si="5">1/D8</f>
        <v>6.2607204116638074E-2</v>
      </c>
    </row>
    <row r="9" spans="1:6" ht="15" x14ac:dyDescent="0.25">
      <c r="D9" s="2" t="s">
        <v>5</v>
      </c>
      <c r="E9" s="3">
        <f>AVERAGE(E4:E8)</f>
        <v>6.0233987106893573E-2</v>
      </c>
      <c r="F9">
        <f>60*LN(2)/E9</f>
        <v>690.45455615932519</v>
      </c>
    </row>
    <row r="10" spans="1:6" ht="15.75" thickBot="1" x14ac:dyDescent="0.3">
      <c r="D10" s="4" t="s">
        <v>17</v>
      </c>
      <c r="E10" s="5">
        <f>STDEV(E4:E8)</f>
        <v>3.1993489528702739E-3</v>
      </c>
    </row>
    <row r="11" spans="1:6" ht="15" x14ac:dyDescent="0.25">
      <c r="D11" t="s">
        <v>90</v>
      </c>
      <c r="E11">
        <f>0.95*E10/SQRT(COUNT(E4:E8))</f>
        <v>1.3592527310485336E-3</v>
      </c>
    </row>
    <row r="12" spans="1:6" ht="15" x14ac:dyDescent="0.25">
      <c r="A12" t="s">
        <v>8</v>
      </c>
      <c r="F12" t="s">
        <v>11</v>
      </c>
    </row>
    <row r="13" spans="1:6" ht="15" x14ac:dyDescent="0.25">
      <c r="A13" t="s">
        <v>9</v>
      </c>
      <c r="B13" t="s">
        <v>10</v>
      </c>
      <c r="F13" t="s">
        <v>12</v>
      </c>
    </row>
    <row r="14" spans="1:6" ht="15" x14ac:dyDescent="0.25">
      <c r="A14">
        <v>11.83</v>
      </c>
      <c r="B14">
        <f>50/A14*60</f>
        <v>253.59256128486896</v>
      </c>
      <c r="F14">
        <v>9371.4</v>
      </c>
    </row>
    <row r="15" spans="1:6" ht="15" x14ac:dyDescent="0.25">
      <c r="A15">
        <v>11.87</v>
      </c>
      <c r="B15">
        <f t="shared" ref="B15:B18" si="6">50/A15*60</f>
        <v>252.73799494524013</v>
      </c>
      <c r="F15">
        <v>8942.6</v>
      </c>
    </row>
    <row r="16" spans="1:6" ht="15" x14ac:dyDescent="0.25">
      <c r="A16">
        <v>12.02</v>
      </c>
      <c r="B16">
        <f t="shared" si="6"/>
        <v>249.58402662229616</v>
      </c>
      <c r="F16">
        <v>9899.7000000000007</v>
      </c>
    </row>
    <row r="17" spans="1:6" x14ac:dyDescent="0.3">
      <c r="A17">
        <v>11.77</v>
      </c>
      <c r="B17">
        <f t="shared" si="6"/>
        <v>254.88530161427357</v>
      </c>
      <c r="F17">
        <v>9318.2000000000007</v>
      </c>
    </row>
    <row r="18" spans="1:6" ht="15" thickBot="1" x14ac:dyDescent="0.35">
      <c r="A18">
        <v>11.88</v>
      </c>
      <c r="B18">
        <f t="shared" si="6"/>
        <v>252.52525252525251</v>
      </c>
      <c r="F18">
        <v>9694</v>
      </c>
    </row>
    <row r="19" spans="1:6" ht="15" thickBot="1" x14ac:dyDescent="0.35">
      <c r="A19" s="2" t="s">
        <v>13</v>
      </c>
      <c r="B19" s="3">
        <f>AVERAGE(B14:B18)</f>
        <v>252.66502739838626</v>
      </c>
    </row>
    <row r="20" spans="1:6" ht="15" thickBot="1" x14ac:dyDescent="0.35">
      <c r="A20" s="4" t="s">
        <v>14</v>
      </c>
      <c r="B20" s="5">
        <f>STDEV(B14:B18)</f>
        <v>1.9562313107496343</v>
      </c>
      <c r="E20" s="2" t="s">
        <v>13</v>
      </c>
      <c r="F20" s="3">
        <f>AVERAGE(F14:F18)</f>
        <v>9445.18</v>
      </c>
    </row>
    <row r="21" spans="1:6" ht="15" thickBot="1" x14ac:dyDescent="0.35">
      <c r="A21" t="s">
        <v>89</v>
      </c>
      <c r="B21">
        <f>0.95*B20/SQRT(COUNT(B14:B18))</f>
        <v>0.8311105762044424</v>
      </c>
      <c r="E21" s="4" t="s">
        <v>15</v>
      </c>
      <c r="F21" s="5">
        <f>STDEV(F14:F18)</f>
        <v>368.32522585345691</v>
      </c>
    </row>
    <row r="22" spans="1:6" x14ac:dyDescent="0.3">
      <c r="E22" t="s">
        <v>89</v>
      </c>
      <c r="F22">
        <f>0.95*F21/SQRT(COUNT(F14:F19))</f>
        <v>156.48404613889559</v>
      </c>
    </row>
    <row r="23" spans="1:6" x14ac:dyDescent="0.3">
      <c r="E23" t="s">
        <v>29</v>
      </c>
      <c r="F23" s="15">
        <f>F20*'Methane Standard Curve'!B13+'Methane Standard Curve'!C13</f>
        <v>1.662838921192443E-2</v>
      </c>
    </row>
    <row r="24" spans="1:6" x14ac:dyDescent="0.3">
      <c r="E24" t="s">
        <v>15</v>
      </c>
      <c r="F24">
        <f>F21*'Methane Standard Curve'!$B$13+'Methane Standard Curve'!$C$13</f>
        <v>1.6761081218382903E-3</v>
      </c>
    </row>
    <row r="25" spans="1:6" x14ac:dyDescent="0.3">
      <c r="A25" t="s">
        <v>33</v>
      </c>
      <c r="B25">
        <f>B19*F23</f>
        <v>4.2014124158219168</v>
      </c>
      <c r="E25" t="s">
        <v>89</v>
      </c>
      <c r="F25">
        <f>F22*'Methane Standard Curve'!$B$13+'Methane Standard Curve'!$C$13</f>
        <v>1.3271426547946245E-3</v>
      </c>
    </row>
    <row r="26" spans="1:6" x14ac:dyDescent="0.3">
      <c r="A26" t="s">
        <v>34</v>
      </c>
      <c r="B26">
        <f>B25/22.4</f>
        <v>0.18756305427776415</v>
      </c>
    </row>
    <row r="27" spans="1:6" ht="15" thickBot="1" x14ac:dyDescent="0.35">
      <c r="A27" t="s">
        <v>35</v>
      </c>
      <c r="B27">
        <f>B26*60</f>
        <v>11.25378325666585</v>
      </c>
      <c r="C27" t="s">
        <v>44</v>
      </c>
      <c r="E27" t="s">
        <v>91</v>
      </c>
      <c r="F27">
        <f>F23*B19</f>
        <v>4.2014124158219168</v>
      </c>
    </row>
    <row r="28" spans="1:6" ht="15" thickBot="1" x14ac:dyDescent="0.35">
      <c r="A28" t="s">
        <v>36</v>
      </c>
      <c r="B28" s="10">
        <f>B27/(B1*0.66)</f>
        <v>25.835131443218202</v>
      </c>
      <c r="C28">
        <f>B27/(B1*0.34)</f>
        <v>50.150549272129453</v>
      </c>
      <c r="E28" t="s">
        <v>92</v>
      </c>
      <c r="F28">
        <f>F27*SQRT((B21/B19)^2+(F25/F23)^2)</f>
        <v>0.33560720473441347</v>
      </c>
    </row>
    <row r="30" spans="1:6" x14ac:dyDescent="0.3">
      <c r="A30" t="s">
        <v>63</v>
      </c>
      <c r="B30">
        <f>B28*0.66/0.34</f>
        <v>50.150549272129453</v>
      </c>
      <c r="E30" s="16" t="s">
        <v>84</v>
      </c>
      <c r="F30">
        <f>F27*60/22.4/B1/'Neatened Compilation'!$B$18</f>
        <v>34.869502561398797</v>
      </c>
    </row>
    <row r="31" spans="1:6" x14ac:dyDescent="0.3">
      <c r="E31" t="s">
        <v>92</v>
      </c>
      <c r="F31">
        <f>F28*60/22.4/B1/'Neatened Compilation'!$B$18</f>
        <v>2.7853624274162536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2.4921283100919331</v>
      </c>
    </row>
    <row r="34" spans="5:6" ht="15" thickBot="1" x14ac:dyDescent="0.35">
      <c r="E34" s="4" t="s">
        <v>92</v>
      </c>
      <c r="F34" s="5">
        <f>F33*SQRT((E11/E9)^2+(F31/F30)^2)</f>
        <v>0.20686146109774942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B19" sqref="B19"/>
    </sheetView>
  </sheetViews>
  <sheetFormatPr defaultRowHeight="14.4" x14ac:dyDescent="0.3"/>
  <cols>
    <col min="1" max="1" width="29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0.85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v>46.25</v>
      </c>
      <c r="B4" s="6">
        <v>7.2</v>
      </c>
      <c r="C4" s="6">
        <f>B4/2.65</f>
        <v>2.716981132075472</v>
      </c>
      <c r="D4" s="6">
        <f>A4/C4</f>
        <v>17.022569444444443</v>
      </c>
      <c r="E4" s="6">
        <f>1/D4</f>
        <v>5.8745537990821016E-2</v>
      </c>
      <c r="F4" t="s">
        <v>16</v>
      </c>
    </row>
    <row r="6" spans="1:6" x14ac:dyDescent="0.3">
      <c r="F6" t="s">
        <v>49</v>
      </c>
    </row>
    <row r="7" spans="1:6" x14ac:dyDescent="0.3">
      <c r="C7" s="6"/>
      <c r="D7" s="6"/>
      <c r="E7" s="6"/>
    </row>
    <row r="8" spans="1:6" ht="15" thickBot="1" x14ac:dyDescent="0.35"/>
    <row r="9" spans="1:6" x14ac:dyDescent="0.3">
      <c r="D9" s="2" t="s">
        <v>5</v>
      </c>
      <c r="E9" s="3">
        <f>AVERAGE(E4:E8)</f>
        <v>5.8745537990821016E-2</v>
      </c>
      <c r="F9">
        <f>60*LN(2)/E9</f>
        <v>707.94876097815234</v>
      </c>
    </row>
    <row r="10" spans="1:6" ht="15" thickBot="1" x14ac:dyDescent="0.35">
      <c r="D10" s="4" t="s">
        <v>17</v>
      </c>
      <c r="E10" s="5">
        <v>0</v>
      </c>
    </row>
    <row r="11" spans="1:6" ht="15" x14ac:dyDescent="0.25">
      <c r="D11" t="s">
        <v>90</v>
      </c>
      <c r="E11">
        <v>0</v>
      </c>
    </row>
    <row r="12" spans="1:6" x14ac:dyDescent="0.3">
      <c r="A12" t="s">
        <v>8</v>
      </c>
      <c r="F12" t="s">
        <v>11</v>
      </c>
    </row>
    <row r="13" spans="1:6" x14ac:dyDescent="0.3">
      <c r="A13" t="s">
        <v>9</v>
      </c>
      <c r="B13" t="s">
        <v>10</v>
      </c>
      <c r="F13" t="s">
        <v>12</v>
      </c>
    </row>
    <row r="14" spans="1:6" x14ac:dyDescent="0.3">
      <c r="A14">
        <v>12.17</v>
      </c>
      <c r="B14">
        <f>50/A14*60</f>
        <v>246.50780608052588</v>
      </c>
      <c r="F14">
        <v>12568</v>
      </c>
    </row>
    <row r="15" spans="1:6" x14ac:dyDescent="0.3">
      <c r="A15">
        <v>12.08</v>
      </c>
      <c r="B15">
        <f t="shared" ref="B15:B18" si="0">50/A15*60</f>
        <v>248.34437086092714</v>
      </c>
      <c r="F15">
        <v>13705</v>
      </c>
    </row>
    <row r="16" spans="1:6" x14ac:dyDescent="0.3">
      <c r="A16">
        <v>11.91</v>
      </c>
      <c r="B16">
        <f t="shared" si="0"/>
        <v>251.88916876574308</v>
      </c>
      <c r="F16">
        <v>13862</v>
      </c>
    </row>
    <row r="17" spans="1:6" x14ac:dyDescent="0.3">
      <c r="A17">
        <v>12.32</v>
      </c>
      <c r="B17">
        <f t="shared" si="0"/>
        <v>243.50649350649348</v>
      </c>
      <c r="F17">
        <v>12991</v>
      </c>
    </row>
    <row r="18" spans="1:6" ht="15" thickBot="1" x14ac:dyDescent="0.35">
      <c r="A18">
        <v>12.34</v>
      </c>
      <c r="B18">
        <f t="shared" si="0"/>
        <v>243.11183144246351</v>
      </c>
      <c r="F18">
        <v>12977</v>
      </c>
    </row>
    <row r="19" spans="1:6" ht="15" thickBot="1" x14ac:dyDescent="0.35">
      <c r="A19" s="2" t="s">
        <v>13</v>
      </c>
      <c r="B19" s="3">
        <f>AVERAGE(B14:B18)</f>
        <v>246.67193413123064</v>
      </c>
      <c r="F19">
        <v>13199</v>
      </c>
    </row>
    <row r="20" spans="1:6" ht="15" thickBot="1" x14ac:dyDescent="0.35">
      <c r="A20" s="4" t="s">
        <v>14</v>
      </c>
      <c r="B20" s="5">
        <f>STDEV(B14:B18)</f>
        <v>3.6310420462563333</v>
      </c>
      <c r="E20" s="2" t="s">
        <v>13</v>
      </c>
      <c r="F20" s="3">
        <f>AVERAGE(F14:F19)</f>
        <v>13217</v>
      </c>
    </row>
    <row r="21" spans="1:6" ht="15" thickBot="1" x14ac:dyDescent="0.35">
      <c r="A21" t="s">
        <v>89</v>
      </c>
      <c r="B21">
        <f>0.95*B20/SQRT(COUNT(B14:B18))</f>
        <v>1.5426588004719284</v>
      </c>
      <c r="E21" s="4" t="s">
        <v>15</v>
      </c>
      <c r="F21" s="5">
        <f>STDEV(F14:F19)</f>
        <v>486.6970310162165</v>
      </c>
    </row>
    <row r="22" spans="1:6" x14ac:dyDescent="0.3">
      <c r="E22" t="s">
        <v>89</v>
      </c>
      <c r="F22">
        <f>0.95*F21/SQRT(COUNT(F14:F19))</f>
        <v>188.7585693418977</v>
      </c>
    </row>
    <row r="23" spans="1:6" x14ac:dyDescent="0.3">
      <c r="E23" t="s">
        <v>29</v>
      </c>
      <c r="F23" s="15">
        <f>F20*'Methane Standard Curve'!B13+'Methane Standard Curve'!C13</f>
        <v>2.2841699247669878E-2</v>
      </c>
    </row>
    <row r="24" spans="1:6" x14ac:dyDescent="0.3">
      <c r="E24" t="s">
        <v>15</v>
      </c>
      <c r="F24">
        <f>F21*'Methane Standard Curve'!$B$13+'Methane Standard Curve'!$C$13</f>
        <v>1.8711017124568984E-3</v>
      </c>
    </row>
    <row r="25" spans="1:6" x14ac:dyDescent="0.3">
      <c r="A25" t="s">
        <v>33</v>
      </c>
      <c r="B25">
        <f>B19*F23</f>
        <v>5.634406132266605</v>
      </c>
      <c r="E25" t="s">
        <v>89</v>
      </c>
      <c r="F25">
        <f>F22*'Methane Standard Curve'!$B$13+'Methane Standard Curve'!$C$13</f>
        <v>1.3803083994261584E-3</v>
      </c>
    </row>
    <row r="26" spans="1:6" x14ac:dyDescent="0.3">
      <c r="A26" t="s">
        <v>34</v>
      </c>
      <c r="B26">
        <f>B25/22.4</f>
        <v>0.25153598804761629</v>
      </c>
    </row>
    <row r="27" spans="1:6" ht="15" thickBot="1" x14ac:dyDescent="0.35">
      <c r="A27" t="s">
        <v>35</v>
      </c>
      <c r="B27">
        <f>B26*60</f>
        <v>15.092159282856977</v>
      </c>
      <c r="C27" t="s">
        <v>44</v>
      </c>
      <c r="E27" t="s">
        <v>91</v>
      </c>
      <c r="F27">
        <f>F23*B19</f>
        <v>5.634406132266605</v>
      </c>
    </row>
    <row r="28" spans="1:6" ht="15" thickBot="1" x14ac:dyDescent="0.35">
      <c r="A28" t="s">
        <v>36</v>
      </c>
      <c r="B28" s="10">
        <f>B27/(B1*0.66)</f>
        <v>26.902244710975001</v>
      </c>
      <c r="C28">
        <f>B27/(B1*0.34)</f>
        <v>52.222004438951473</v>
      </c>
      <c r="E28" t="s">
        <v>92</v>
      </c>
      <c r="F28">
        <f>F27*SQRT((B21/B19)^2+(F25/F23)^2)</f>
        <v>0.34230183918155244</v>
      </c>
    </row>
    <row r="30" spans="1:6" x14ac:dyDescent="0.3">
      <c r="A30" t="s">
        <v>63</v>
      </c>
      <c r="B30">
        <f>B28*0.66/0.34</f>
        <v>52.222004438951473</v>
      </c>
      <c r="E30" s="16" t="s">
        <v>84</v>
      </c>
      <c r="F30">
        <f>F27*60/22.4/B1/'Neatened Compilation'!$B$18</f>
        <v>36.309778137512282</v>
      </c>
    </row>
    <row r="31" spans="1:6" x14ac:dyDescent="0.3">
      <c r="E31" t="s">
        <v>92</v>
      </c>
      <c r="F31">
        <f>F28*60/22.4/B1/'Neatened Compilation'!$B$18</f>
        <v>2.2058942051705963</v>
      </c>
    </row>
    <row r="32" spans="1:6" ht="15" thickBot="1" x14ac:dyDescent="0.35"/>
    <row r="33" spans="5:6" x14ac:dyDescent="0.3">
      <c r="E33" s="2" t="s">
        <v>94</v>
      </c>
      <c r="F33" s="3">
        <f>1000*E9/F30/LN(2)</f>
        <v>2.3341342382412682</v>
      </c>
    </row>
    <row r="34" spans="5:6" ht="15" thickBot="1" x14ac:dyDescent="0.35">
      <c r="E34" s="4" t="s">
        <v>92</v>
      </c>
      <c r="F34" s="5">
        <f>F33*SQRT((E11/E9)^2+(F31/F30)^2)</f>
        <v>0.14180348805016038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Neatened Compilation</vt:lpstr>
      <vt:lpstr>10_22</vt:lpstr>
      <vt:lpstr>10_27</vt:lpstr>
      <vt:lpstr>11_2</vt:lpstr>
      <vt:lpstr>11_12</vt:lpstr>
      <vt:lpstr>11_19</vt:lpstr>
      <vt:lpstr>12_01</vt:lpstr>
      <vt:lpstr>12_07</vt:lpstr>
      <vt:lpstr>12_11</vt:lpstr>
      <vt:lpstr>12_19</vt:lpstr>
      <vt:lpstr>12_21</vt:lpstr>
      <vt:lpstr>Methane Standard Curve</vt:lpstr>
      <vt:lpstr>Compilation</vt:lpstr>
      <vt:lpstr>12_01_Summary of Results</vt:lpstr>
      <vt:lpstr>11_5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2015-12-01T19:29:33Z</cp:lastPrinted>
  <dcterms:created xsi:type="dcterms:W3CDTF">2015-10-26T23:35:27Z</dcterms:created>
  <dcterms:modified xsi:type="dcterms:W3CDTF">2015-12-21T23:01:30Z</dcterms:modified>
</cp:coreProperties>
</file>