
<file path=[Content_Types].xml><?xml version="1.0" encoding="utf-8"?>
<Types xmlns="http://schemas.openxmlformats.org/package/2006/content-types">
  <Default Extension="xml" ContentType="application/xml"/>
  <Default Extension="rels" ContentType="application/vnd.openxmlformats-package.relationships+xml"/>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app.xml" ContentType="application/vnd.openxmlformats-officedocument.extended-properties+xml"/>
</Types>
</file>

<file path=_rels/.rels>&#65279;<?xml version="1.0" encoding="UTF-8" standalone="yes"?><Relationships xmlns="http://schemas.openxmlformats.org/package/2006/relationships"><Relationship Id="rIdWb1" Type="http://schemas.openxmlformats.org/officeDocument/2006/relationships/officeDocument" Target="xl/workbook.xml"/><Relationship Id="app"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sheets>
    <sheet name="Sheet1" sheetId="1" r:id="RidWS1"/>
  </sheets>
  <calcPr calcCompleted="0" fullCalcOnLoad="1"/>
</workbook>
</file>

<file path=xl/sharedStrings.xml><?xml version="1.0" encoding="utf-8"?>
<sst xmlns="http://schemas.openxmlformats.org/spreadsheetml/2006/main">
</sst>
</file>

<file path=xl/styles.xml><?xml version="1.0" encoding="utf-8"?>
<styleSheet xmlns="http://schemas.openxmlformats.org/spreadsheetml/2006/main">
  <numFmts count="5">
    <numFmt numFmtId="164" formatCode="$#,##0.00"/>
    <numFmt numFmtId="165" formatCode="0.##%"/>
    <numFmt numFmtId="166" formatCode="0.0%"/>
    <numFmt numFmtId="167" formatCode="MM/dd/yyyy hh:mm"/>
    <numFmt numFmtId="168" formatCode="&lt; 0"/>
  </numFmts>
  <fonts count="3">
    <font>
      <sz val="11"/>
      <color rgb="FF000000"/>
      <name val="Calibri"/>
      <family val="2"/>
    </font>
    <font>
      <sz val="11"/>
      <color rgb="FF000000"/>
      <name val="Calibri"/>
      <family val="2"/>
      <b val="true"/>
    </font>
    <font>
      <sz val="11"/>
      <color rgb="FF0000FF"/>
      <name val="Calibri"/>
      <family val="2"/>
      <u/>
    </font>
  </fonts>
  <fills count="5">
    <fill>
      <patternFill patternType="none">
        <fgColor rgb="FFFFFFFF"/>
        <bgColor rgb="FFFFFFFF"/>
      </patternFill>
    </fill>
    <fill>
      <patternFill patternType="gray125">
        <fgColor rgb="FFFFFFFF"/>
        <bgColor rgb="FFFFFFFF"/>
      </patternFill>
    </fill>
    <fill>
      <patternFill patternType="solid">
        <fgColor rgb="FFC5E2A0"/>
        <bgColor rgb="FFC5E2A0"/>
      </patternFill>
    </fill>
    <fill>
      <patternFill patternType="solid">
        <fgColor rgb="FFFEE095"/>
        <bgColor rgb="FFFEE095"/>
      </patternFill>
    </fill>
    <fill>
      <patternFill patternType="solid">
        <fgColor rgb="FFF8C4C4"/>
        <bgColor rgb="FFF8C4C4"/>
      </patternFill>
    </fill>
  </fills>
  <borders count="1">
    <border diagonalDown="0" diagonalUp="0">
      <left/>
      <right/>
      <top/>
      <bottom/>
      <diagonal/>
    </border>
  </borders>
  <cellXfs count="18">
    <xf numFmtId="0" fontId="0" fillId="0" borderId="0" applyNumberFormat="1" applyFont="1" applyFill="1" applyBorder="1"/>
    <xf numFmtId="0" fontId="1" fillId="0" borderId="0" applyNumberFormat="1" applyFont="1" applyFill="1" applyBorder="1" applyAlignment="1">
      <alignment horizontal="center"/>
    </xf>
    <xf numFmtId="0" fontId="2" fillId="0" borderId="0" applyNumberFormat="1" applyFont="1" applyFill="1" applyBorder="1"/>
    <xf numFmtId="0" fontId="0" fillId="2" borderId="0" applyNumberFormat="1" applyFont="1" applyFill="1" applyBorder="1"/>
    <xf numFmtId="164" fontId="0" fillId="2" borderId="0" applyNumberFormat="1" applyFont="1" applyFill="1" applyBorder="1"/>
    <xf numFmtId="165" fontId="0" fillId="3" borderId="0" applyNumberFormat="1" applyFont="1" applyFill="1" applyBorder="1"/>
    <xf numFmtId="3" fontId="0" fillId="0" borderId="0" applyNumberFormat="1" applyFont="1" applyFill="1" applyBorder="1"/>
    <xf numFmtId="164" fontId="0" fillId="0" borderId="0" applyNumberFormat="1" applyFont="1" applyFill="1" applyBorder="1"/>
    <xf numFmtId="166" fontId="0" fillId="0" borderId="0" applyNumberFormat="1" applyFont="1" applyFill="1" applyBorder="1"/>
    <xf numFmtId="165" fontId="0" fillId="0" borderId="0" applyNumberFormat="1" applyFont="1" applyFill="1" applyBorder="1"/>
    <xf numFmtId="167" fontId="0" fillId="0" borderId="0" applyNumberFormat="1" applyFont="1" applyFill="1" applyBorder="1"/>
    <xf numFmtId="164" fontId="0" fillId="3" borderId="0" applyNumberFormat="1" applyFont="1" applyFill="1" applyBorder="1"/>
    <xf numFmtId="164" fontId="0" fillId="4" borderId="0" applyNumberFormat="1" applyFont="1" applyFill="1" applyBorder="1"/>
    <xf numFmtId="165" fontId="0" fillId="4" borderId="0" applyNumberFormat="1" applyFont="1" applyFill="1" applyBorder="1"/>
    <xf numFmtId="168" fontId="0" fillId="4" borderId="0" applyNumberFormat="1" applyFont="1" applyFill="1" applyBorder="1"/>
    <xf numFmtId="165" fontId="0" fillId="2" borderId="0" applyNumberFormat="1" applyFont="1" applyFill="1" applyBorder="1"/>
    <xf numFmtId="0" fontId="0" fillId="3" borderId="0" applyNumberFormat="1" applyFont="1" applyFill="1" applyBorder="1"/>
    <xf numFmtId="0" fontId="0" fillId="4" borderId="0" applyNumberFormat="1" applyFont="1" applyFill="1" applyBorder="1"/>
  </cellXfs>
</styleSheet>
</file>

<file path=xl/_rels/workbook.xml.rels>&#65279;<?xml version="1.0" encoding="UTF-8"?><Relationships xmlns="http://schemas.openxmlformats.org/package/2006/relationships"><Relationship Type="http://schemas.openxmlformats.org/officeDocument/2006/relationships/worksheet" Target="/xl/worksheets/sheet1.xml" Id="RidWS1"/><Relationship Type="http://schemas.openxmlformats.org/officeDocument/2006/relationships/styles" Target="/xl/styles.xml" Id="RidSt1"/><Relationship Type="http://schemas.openxmlformats.org/officeDocument/2006/relationships/sharedStrings" Target="/xl/sharedStrings.xml" Id="RidShS1"/></Relationships>
</file>

<file path=xl/worksheets/sheet1.xml><?xml version="1.0" encoding="utf-8"?>
<worksheet xmlns="http://schemas.openxmlformats.org/spreadsheetml/2006/main">
  <sheetViews>
    <sheetView showGridLines="1" showRowColHeaders="1" rightToLeft="0" workbookViewId="0">
      <pane ySplit="1" topLeftCell="A2" activePane="bottomLeft" state="frozen"/>
      <selection pane="bottomLeft" activeCell="A2" sqref="A2"/>
    </sheetView>
  </sheetViews>
  <cols>
    <col min="1" max="1" width="12" customWidth="1"/>
    <col min="2" max="2" width="10" customWidth="1"/>
    <col min="3" max="3" width="12" customWidth="1"/>
    <col min="4" max="4" width="24" customWidth="1"/>
    <col min="5" max="5" width="19" customWidth="1"/>
    <col min="6" max="6" width="200" customWidth="1"/>
    <col min="7" max="7" width="18" customWidth="1"/>
    <col min="8" max="8" width="38" customWidth="1"/>
    <col min="9" max="9" width="11" customWidth="1"/>
    <col min="10" max="10" width="9" customWidth="1"/>
    <col min="11" max="11" width="22" customWidth="1"/>
    <col min="12" max="12" width="22" customWidth="1"/>
    <col min="13" max="13" width="23" customWidth="1"/>
    <col min="14" max="14" width="27" customWidth="1"/>
    <col min="15" max="15" width="12" customWidth="1"/>
    <col min="16" max="16" width="20" customWidth="1"/>
    <col min="17" max="17" width="23" customWidth="1"/>
    <col min="18" max="18" width="22" customWidth="1"/>
    <col min="19" max="19" width="7" customWidth="1"/>
    <col min="20" max="20" width="12" customWidth="1"/>
    <col min="21" max="21" width="16" customWidth="1"/>
    <col min="22" max="22" width="7" customWidth="1"/>
    <col min="23" max="23" width="7" customWidth="1"/>
    <col min="24" max="24" width="27" customWidth="1"/>
    <col min="25" max="25" width="16" customWidth="1"/>
    <col min="26" max="26" width="32" customWidth="1"/>
    <col min="27" max="27" width="15" customWidth="1"/>
    <col min="28" max="28" width="9" customWidth="1"/>
    <col min="29" max="29" width="9" customWidth="1"/>
    <col min="30" max="30" width="14" customWidth="1"/>
    <col min="31" max="31" width="16" customWidth="1"/>
    <col min="32" max="32" width="16" customWidth="1"/>
    <col min="33" max="33" width="19" customWidth="1"/>
    <col min="34" max="34" width="17" customWidth="1"/>
    <col min="35" max="35" width="11" customWidth="1"/>
    <col min="36" max="36" width="42" customWidth="1"/>
    <col min="37" max="37" width="50" customWidth="1"/>
    <col min="38" max="38" width="14" customWidth="1"/>
    <col min="39" max="39" width="21" customWidth="1"/>
    <col min="40" max="40" width="200" customWidth="1"/>
    <col min="41" max="41" width="10" customWidth="1"/>
    <col min="42" max="42" width="10" customWidth="1"/>
  </cols>
  <sheetData>
    <row r="1">
      <c r="A1" s="1" t="inlineStr">
        <is>
          <t>ASIN</t>
        </is>
      </c>
      <c r="B1" s="1" t="inlineStr">
        <is>
          <t>Favorite</t>
        </is>
      </c>
      <c r="C1" s="1" t="inlineStr">
        <is>
          <t>Product ID</t>
        </is>
      </c>
      <c r="D1" s="1" t="inlineStr">
        <is>
          <t>Brand</t>
        </is>
      </c>
      <c r="E1" s="1" t="inlineStr">
        <is>
          <t>Brand Restriction</t>
        </is>
      </c>
      <c r="F1" s="1" t="inlineStr">
        <is>
          <t>Title</t>
        </is>
      </c>
      <c r="G1" s="1" t="inlineStr">
        <is>
          <t>Package Quantity</t>
        </is>
      </c>
      <c r="H1" s="1" t="inlineStr">
        <is>
          <t>Amazon Link</t>
        </is>
      </c>
      <c r="I1" s="1" t="inlineStr">
        <is>
          <t>Est Sales</t>
        </is>
      </c>
      <c r="J1" s="1" t="inlineStr">
        <is>
          <t>Profit</t>
        </is>
      </c>
      <c r="K1" s="1" t="inlineStr">
        <is>
          <t>Margin</t>
        </is>
      </c>
      <c r="L1" s="1" t="inlineStr">
        <is>
          <t>ROI</t>
        </is>
      </c>
      <c r="M1" s="1" t="inlineStr">
        <is>
          <t>Is Top Level Category</t>
        </is>
      </c>
      <c r="N1" s="1" t="inlineStr">
        <is>
          <t>Category</t>
        </is>
      </c>
      <c r="O1" s="1" t="inlineStr">
        <is>
          <t>Sales Rank</t>
        </is>
      </c>
      <c r="P1" s="1" t="inlineStr">
        <is>
          <t>Avg Sales Rank 90d</t>
        </is>
      </c>
      <c r="Q1" s="1" t="inlineStr">
        <is>
          <t>Lowest Sales Rank 90d</t>
        </is>
      </c>
      <c r="R1" s="1" t="inlineStr">
        <is>
          <t>Sales Rank Drops 90d</t>
        </is>
      </c>
      <c r="S1" s="1" t="inlineStr">
        <is>
          <t>Cost</t>
        </is>
      </c>
      <c r="T1" s="1" t="inlineStr">
        <is>
          <t>Sell Price</t>
        </is>
      </c>
      <c r="U1" s="1" t="inlineStr">
        <is>
          <t>Avg Buybox 90d</t>
        </is>
      </c>
      <c r="V1" s="1" t="inlineStr">
        <is>
          <t>VAT %</t>
        </is>
      </c>
      <c r="W1" s="1" t="inlineStr">
        <is>
          <t>VAT £</t>
        </is>
      </c>
      <c r="X1" s="1" t="inlineStr">
        <is>
          <t>Inbound Shipping Estimate</t>
        </is>
      </c>
      <c r="Y1" s="1" t="inlineStr">
        <is>
          <t>Package Weight</t>
        </is>
      </c>
      <c r="Z1" s="1" t="inlineStr">
        <is>
          <t>Amazon Seller InStock Rate 90d</t>
        </is>
      </c>
      <c r="AA1" s="1" t="inlineStr">
        <is>
          <t>Amazon Seller</t>
        </is>
      </c>
      <c r="AB1" s="1" t="inlineStr">
        <is>
          <t>Reviews</t>
        </is>
      </c>
      <c r="AC1" s="1" t="inlineStr">
        <is>
          <t>Ratings</t>
        </is>
      </c>
      <c r="AD1" s="1" t="inlineStr">
        <is>
          <t>Total Offers</t>
        </is>
      </c>
      <c r="AE1" s="1" t="inlineStr">
        <is>
          <t>New FBA Offers</t>
        </is>
      </c>
      <c r="AF1" s="1" t="inlineStr">
        <is>
          <t>New FBM Offers</t>
        </is>
      </c>
      <c r="AG1" s="1" t="inlineStr">
        <is>
          <t>BuyBox Contention</t>
        </is>
      </c>
      <c r="AH1" s="1" t="inlineStr">
        <is>
          <t>Variation Count</t>
        </is>
      </c>
      <c r="AI1" s="1" t="inlineStr">
        <is>
          <t>Is Hazmat</t>
        </is>
      </c>
      <c r="AJ1" s="1" t="inlineStr">
        <is>
          <t>Keepa</t>
        </is>
      </c>
      <c r="AK1" s="1" t="inlineStr">
        <is>
          <t>CamelCC</t>
        </is>
      </c>
      <c r="AL1" s="1" t="inlineStr">
        <is>
          <t>Custom Notes</t>
        </is>
      </c>
      <c r="AM1" s="1" t="inlineStr">
        <is>
          <t>Last Run</t>
        </is>
      </c>
      <c r="AN1" s="1" t="inlineStr">
        <is>
          <t>Product Name</t>
        </is>
      </c>
      <c r="AO1" s="1" t="inlineStr">
        <is>
          <t>Quantity</t>
        </is>
      </c>
      <c r="AP1" s="1" t="inlineStr">
        <is>
          <t>MOQ</t>
        </is>
      </c>
    </row>
    <row r="2">
      <c r="A2" t="inlineStr">
        <is>
          <t>B00004RC6S</t>
        </is>
      </c>
      <c r="B2" t="inlineStr">
        <is>
          <t>False</t>
        </is>
      </c>
      <c r="C2" t="inlineStr">
        <is>
          <t>B00004RC6S</t>
        </is>
      </c>
      <c r="D2" t="inlineStr">
        <is>
          <t>West Bend</t>
        </is>
      </c>
      <c r="E2" t="inlineStr">
        <is>
          <t>False</t>
        </is>
      </c>
      <c r="F2" t="inlineStr">
        <is>
          <t>West Bend 33600 Coffee Urn Commercial Highly-Polished Aluminum NSF Approved Features Automatic Temperature Control Large Capacity with Fast Brewing and Easy Clean Up, 100-Cup, Silver</t>
        </is>
      </c>
      <c r="G2">
        <v>1</v>
      </c>
      <c r="H2" s="2" t="str">
        <f>HYPERLINK("https://www.amazon.com/dp/B00004RC6S", "https://www.amazon.com/dp/B00004RC6S")</f>
      </c>
      <c r="I2" s="3">
        <v>427</v>
      </c>
      <c r="J2" s="4">
        <v>12.47</v>
      </c>
      <c r="K2" s="5">
        <v>0.0959</v>
      </c>
      <c r="L2" s="5">
        <v>0.163</v>
      </c>
      <c r="M2" t="inlineStr">
        <is>
          <t>True</t>
        </is>
      </c>
      <c r="N2" t="inlineStr">
        <is>
          <t>Home &amp; Kitchen</t>
        </is>
      </c>
      <c r="O2" s="6">
        <v>63269</v>
      </c>
      <c r="P2" s="6">
        <v>54427</v>
      </c>
      <c r="Q2" s="6">
        <v>12652</v>
      </c>
      <c r="R2" s="6">
        <v>175</v>
      </c>
      <c r="S2" s="7">
        <v>76.5</v>
      </c>
      <c r="T2" s="7">
        <v>129.99</v>
      </c>
      <c r="U2">
        <v>137.45</v>
      </c>
      <c r="V2" s="8">
        <v>0</v>
      </c>
      <c r="W2" s="7">
        <v>0</v>
      </c>
      <c r="X2" s="7">
        <v>0</v>
      </c>
      <c r="Y2">
        <v>12</v>
      </c>
      <c r="Z2" s="9">
        <v>1</v>
      </c>
      <c r="AB2">
        <v>0</v>
      </c>
      <c r="AC2">
        <v>0</v>
      </c>
      <c r="AD2">
        <v>17</v>
      </c>
      <c r="AE2">
        <v>2</v>
      </c>
      <c r="AF2">
        <v>4</v>
      </c>
      <c r="AG2">
        <v>1</v>
      </c>
      <c r="AH2">
        <v>3</v>
      </c>
      <c r="AI2" t="inlineStr">
        <is>
          <t>False</t>
        </is>
      </c>
      <c r="AJ2" s="2" t="str">
        <f>HYPERLINK("https://keepa.com/#!product/1-B00004RC6S", "https://keepa.com/#!product/1-B00004RC6S")</f>
      </c>
      <c r="AK2" s="2" t="str">
        <f>HYPERLINK("https://camelcamelcamel.com/search?sq=B00004RC6S", "https://camelcamelcamel.com/search?sq=B00004RC6S")</f>
      </c>
      <c r="AL2" t="inlineStr">
        <is>
          <t/>
        </is>
      </c>
      <c r="AM2" s="10">
        <v>45417.11111111111</v>
      </c>
      <c r="AN2" t="inlineStr">
        <is>
          <t>west Bend 33600 Coffee Urn Commercial Highly-Polished Aluminum NSF Approved Features Automatic Temperature Control Large Capacity with Fast Brewing and Easy Clean Up, 100-Cup, Silver</t>
        </is>
      </c>
      <c r="AO2" t="inlineStr">
        <is>
          <t>300</t>
        </is>
      </c>
      <c r="AP2" t="inlineStr">
        <is>
          <t>TAKE ALL</t>
        </is>
      </c>
    </row>
    <row r="3">
      <c r="A3" t="inlineStr">
        <is>
          <t>B00005IBX9</t>
        </is>
      </c>
      <c r="B3" t="inlineStr">
        <is>
          <t>False</t>
        </is>
      </c>
      <c r="C3" t="inlineStr">
        <is>
          <t>B00005IBX9</t>
        </is>
      </c>
      <c r="D3" t="inlineStr">
        <is>
          <t>Cuisinart</t>
        </is>
      </c>
      <c r="E3" t="inlineStr">
        <is>
          <t>True</t>
        </is>
      </c>
      <c r="F3" t="inlineStr">
        <is>
          <t>Cuisinart DCC-1200P1 Brew Central 12-Cup Programmable Coffeemaker Coffee Maker, Carafe, Brushed Chrome</t>
        </is>
      </c>
      <c r="G3">
        <v>1</v>
      </c>
      <c r="H3" s="2" t="str">
        <f>HYPERLINK("https://www.amazon.com/dp/B00005IBX9", "https://www.amazon.com/dp/B00005IBX9")</f>
      </c>
      <c r="I3" s="3">
        <v>1725</v>
      </c>
      <c r="J3" s="4">
        <v>5.27</v>
      </c>
      <c r="K3" s="5">
        <v>0.0527</v>
      </c>
      <c r="L3" s="5">
        <v>0.08109999999999999</v>
      </c>
      <c r="M3" t="inlineStr">
        <is>
          <t>True</t>
        </is>
      </c>
      <c r="N3" t="inlineStr">
        <is>
          <t>Home &amp; Kitchen</t>
        </is>
      </c>
      <c r="O3" s="6">
        <v>13951</v>
      </c>
      <c r="P3" s="6">
        <v>12415</v>
      </c>
      <c r="Q3" s="6">
        <v>7269</v>
      </c>
      <c r="R3" s="6">
        <v>189</v>
      </c>
      <c r="S3" s="7">
        <v>65</v>
      </c>
      <c r="T3" s="7">
        <v>99.95</v>
      </c>
      <c r="U3">
        <v>99.71</v>
      </c>
      <c r="V3" s="8">
        <v>0</v>
      </c>
      <c r="W3" s="7">
        <v>0</v>
      </c>
      <c r="X3" s="7">
        <v>0</v>
      </c>
      <c r="Y3">
        <v>9.41</v>
      </c>
      <c r="Z3" s="9">
        <v>1</v>
      </c>
      <c r="AB3">
        <v>0</v>
      </c>
      <c r="AC3">
        <v>0</v>
      </c>
      <c r="AD3">
        <v>43</v>
      </c>
      <c r="AE3">
        <v>3</v>
      </c>
      <c r="AF3">
        <v>14</v>
      </c>
      <c r="AG3">
        <v>3</v>
      </c>
      <c r="AH3">
        <v>2</v>
      </c>
      <c r="AI3" t="inlineStr">
        <is>
          <t>False</t>
        </is>
      </c>
      <c r="AJ3" s="2" t="str">
        <f>HYPERLINK("https://keepa.com/#!product/1-B00005IBX9", "https://keepa.com/#!product/1-B00005IBX9")</f>
      </c>
      <c r="AK3" s="2" t="str">
        <f>HYPERLINK("https://camelcamelcamel.com/search?sq=B00005IBX9", "https://camelcamelcamel.com/search?sq=B00005IBX9")</f>
      </c>
      <c r="AL3" t="inlineStr">
        <is>
          <t/>
        </is>
      </c>
      <c r="AM3" s="10">
        <v>45417.11111111111</v>
      </c>
      <c r="AN3" t="inlineStr">
        <is>
          <t>Cuisinart DCC-1200P1 Brew Central 12-Cup Programmable Coffeemaker Coffee Maker, Carafe, Brushed Chrome</t>
        </is>
      </c>
      <c r="AO3" t="inlineStr">
        <is>
          <t>263</t>
        </is>
      </c>
      <c r="AP3" t="inlineStr">
        <is>
          <t>TAKE ALL</t>
        </is>
      </c>
    </row>
    <row r="4">
      <c r="A4" t="inlineStr">
        <is>
          <t>B00006B8FZ</t>
        </is>
      </c>
      <c r="B4" t="inlineStr">
        <is>
          <t>False</t>
        </is>
      </c>
      <c r="C4" t="inlineStr">
        <is>
          <t>B00006B8FZ</t>
        </is>
      </c>
      <c r="D4" t="inlineStr">
        <is>
          <t>AVERY</t>
        </is>
      </c>
      <c r="E4" t="inlineStr">
        <is>
          <t>False</t>
        </is>
      </c>
      <c r="F4" t="inlineStr">
        <is>
          <t>Avery Easy Peel Printable Address Labels with Sure Feed, 1" x 2-5/8", White, 3,000 Blank Mailing Labels (05160)</t>
        </is>
      </c>
      <c r="G4">
        <v>1</v>
      </c>
      <c r="H4" s="2" t="str">
        <f>HYPERLINK("https://www.amazon.com/dp/B00006B8FZ", "https://www.amazon.com/dp/B00006B8FZ")</f>
      </c>
      <c r="I4" s="3">
        <v>9552</v>
      </c>
      <c r="J4" s="11">
        <v>1.89</v>
      </c>
      <c r="K4" s="5">
        <v>0.0756</v>
      </c>
      <c r="L4" s="5">
        <v>0.1426</v>
      </c>
      <c r="M4" t="inlineStr">
        <is>
          <t>True</t>
        </is>
      </c>
      <c r="N4" t="inlineStr">
        <is>
          <t>Office Products</t>
        </is>
      </c>
      <c r="O4" s="6">
        <v>317</v>
      </c>
      <c r="P4" s="6">
        <v>229</v>
      </c>
      <c r="Q4" s="6">
        <v>110</v>
      </c>
      <c r="R4" s="6">
        <v>231</v>
      </c>
      <c r="S4" s="7">
        <v>13.25</v>
      </c>
      <c r="T4" s="7">
        <v>24.99</v>
      </c>
      <c r="U4">
        <v>26.83</v>
      </c>
      <c r="V4" s="8">
        <v>0</v>
      </c>
      <c r="W4" s="7">
        <v>0</v>
      </c>
      <c r="X4" s="7">
        <v>0</v>
      </c>
      <c r="Y4">
        <v>2.43</v>
      </c>
      <c r="Z4" s="9">
        <v>1</v>
      </c>
      <c r="AB4">
        <v>0</v>
      </c>
      <c r="AC4">
        <v>0</v>
      </c>
      <c r="AD4">
        <v>735</v>
      </c>
      <c r="AE4">
        <v>5</v>
      </c>
      <c r="AF4">
        <v>724</v>
      </c>
      <c r="AG4">
        <v>1</v>
      </c>
      <c r="AH4">
        <v>6</v>
      </c>
      <c r="AI4" t="inlineStr">
        <is>
          <t>False</t>
        </is>
      </c>
      <c r="AJ4" s="2" t="str">
        <f>HYPERLINK("https://keepa.com/#!product/1-B00006B8FZ", "https://keepa.com/#!product/1-B00006B8FZ")</f>
      </c>
      <c r="AK4" s="2" t="str">
        <f>HYPERLINK("https://camelcamelcamel.com/search?sq=B00006B8FZ", "https://camelcamelcamel.com/search?sq=B00006B8FZ")</f>
      </c>
      <c r="AL4" t="inlineStr">
        <is>
          <t/>
        </is>
      </c>
      <c r="AM4" s="10">
        <v>45417.11111111111</v>
      </c>
      <c r="AN4" t="inlineStr">
        <is>
          <t>Avery Easy Peel Printable Address Labels with Sure Feed, 1" x 2-5/8", White, 3,000 Blank Mailing Labels (05160)</t>
        </is>
      </c>
      <c r="AO4" t="inlineStr">
        <is>
          <t>3000</t>
        </is>
      </c>
      <c r="AP4" t="inlineStr">
        <is>
          <t>500</t>
        </is>
      </c>
    </row>
    <row r="5">
      <c r="A5" t="inlineStr">
        <is>
          <t>B00006IFGK</t>
        </is>
      </c>
      <c r="B5" t="inlineStr">
        <is>
          <t>False</t>
        </is>
      </c>
      <c r="C5" t="inlineStr">
        <is>
          <t>B00006IFGK</t>
        </is>
      </c>
      <c r="D5" t="inlineStr">
        <is>
          <t>Prismacolor</t>
        </is>
      </c>
      <c r="E5" t="inlineStr">
        <is>
          <t>False</t>
        </is>
      </c>
      <c r="F5" t="inlineStr">
        <is>
          <t>Prismacolor Premier Double-Ended Art Markers, Fine and Chisel Tip, 12 Pack</t>
        </is>
      </c>
      <c r="G5">
        <v>1</v>
      </c>
      <c r="H5" s="2" t="str">
        <f>HYPERLINK("https://www.amazon.com/dp/B00006IFGK", "https://www.amazon.com/dp/B00006IFGK")</f>
      </c>
      <c r="I5" s="3">
        <v>778</v>
      </c>
      <c r="J5" s="4">
        <v>4.32</v>
      </c>
      <c r="K5" s="5">
        <v>0.14400000000000002</v>
      </c>
      <c r="L5" s="5">
        <v>0.2541</v>
      </c>
      <c r="M5" t="inlineStr">
        <is>
          <t>True</t>
        </is>
      </c>
      <c r="N5" t="inlineStr">
        <is>
          <t>Arts, Crafts &amp; Sewing</t>
        </is>
      </c>
      <c r="O5" s="6">
        <v>5058</v>
      </c>
      <c r="P5" s="6">
        <v>4715</v>
      </c>
      <c r="Q5" s="6">
        <v>2856</v>
      </c>
      <c r="R5" s="6">
        <v>275</v>
      </c>
      <c r="S5" s="7">
        <v>17</v>
      </c>
      <c r="T5" s="7">
        <v>29.99</v>
      </c>
      <c r="U5">
        <v>33.22</v>
      </c>
      <c r="V5" s="8">
        <v>0</v>
      </c>
      <c r="W5" s="7">
        <v>0</v>
      </c>
      <c r="X5" s="7">
        <v>0</v>
      </c>
      <c r="Y5">
        <v>0.53</v>
      </c>
      <c r="Z5" s="9">
        <v>1</v>
      </c>
      <c r="AB5">
        <v>0</v>
      </c>
      <c r="AC5">
        <v>0</v>
      </c>
      <c r="AD5">
        <v>16</v>
      </c>
      <c r="AE5">
        <v>2</v>
      </c>
      <c r="AF5">
        <v>10</v>
      </c>
      <c r="AG5">
        <v>2</v>
      </c>
      <c r="AH5">
        <v>6</v>
      </c>
      <c r="AI5" t="inlineStr">
        <is>
          <t>False</t>
        </is>
      </c>
      <c r="AJ5" s="2" t="str">
        <f>HYPERLINK("https://keepa.com/#!product/1-B00006IFGK", "https://keepa.com/#!product/1-B00006IFGK")</f>
      </c>
      <c r="AK5" s="2" t="str">
        <f>HYPERLINK("https://camelcamelcamel.com/search?sq=B00006IFGK", "https://camelcamelcamel.com/search?sq=B00006IFGK")</f>
      </c>
      <c r="AL5" t="inlineStr">
        <is>
          <t/>
        </is>
      </c>
      <c r="AM5" s="10">
        <v>45417.11111111111</v>
      </c>
      <c r="AN5" t="inlineStr">
        <is>
          <t>Prismacolor Offer</t>
        </is>
      </c>
      <c r="AO5" t="inlineStr">
        <is>
          <t>180</t>
        </is>
      </c>
      <c r="AP5" t="inlineStr">
        <is>
          <t>TAKE ALL</t>
        </is>
      </c>
    </row>
    <row r="6">
      <c r="A6" t="inlineStr">
        <is>
          <t>B00008IH9R</t>
        </is>
      </c>
      <c r="B6" t="inlineStr">
        <is>
          <t>False</t>
        </is>
      </c>
      <c r="C6" t="inlineStr">
        <is>
          <t>B00008IH9R</t>
        </is>
      </c>
      <c r="D6" t="inlineStr">
        <is>
          <t>Hamilton Beach</t>
        </is>
      </c>
      <c r="E6" t="inlineStr">
        <is>
          <t>True</t>
        </is>
      </c>
      <c r="F6" t="inlineStr">
        <is>
          <t>Hamilton Beach 45 Cup Coffee Urn and Hot Beverage Dispenser, Silver</t>
        </is>
      </c>
      <c r="G6">
        <v>1</v>
      </c>
      <c r="H6" s="2" t="str">
        <f>HYPERLINK("https://www.amazon.com/dp/B00008IH9R", "https://www.amazon.com/dp/B00008IH9R")</f>
      </c>
      <c r="I6" s="3">
        <v>2456</v>
      </c>
      <c r="J6" s="4">
        <v>7.43</v>
      </c>
      <c r="K6" s="5">
        <v>0.1281</v>
      </c>
      <c r="L6" s="5">
        <v>0.26539999999999997</v>
      </c>
      <c r="M6" t="inlineStr">
        <is>
          <t>True</t>
        </is>
      </c>
      <c r="N6" t="inlineStr">
        <is>
          <t>Kitchen &amp; Dining</t>
        </is>
      </c>
      <c r="O6" s="6">
        <v>2430</v>
      </c>
      <c r="P6" s="6">
        <v>1954</v>
      </c>
      <c r="Q6" s="6">
        <v>580</v>
      </c>
      <c r="R6" s="6">
        <v>242</v>
      </c>
      <c r="S6" s="7">
        <v>28</v>
      </c>
      <c r="T6" s="7">
        <v>57.99</v>
      </c>
      <c r="U6">
        <v>55.85</v>
      </c>
      <c r="V6" s="8">
        <v>0</v>
      </c>
      <c r="W6" s="7">
        <v>0</v>
      </c>
      <c r="X6" s="7">
        <v>0</v>
      </c>
      <c r="Y6">
        <v>5.2</v>
      </c>
      <c r="Z6" s="9">
        <v>1</v>
      </c>
      <c r="AB6">
        <v>0</v>
      </c>
      <c r="AC6">
        <v>0</v>
      </c>
      <c r="AD6">
        <v>15</v>
      </c>
      <c r="AE6">
        <v>2</v>
      </c>
      <c r="AF6">
        <v>7</v>
      </c>
      <c r="AG6">
        <v>2</v>
      </c>
      <c r="AH6">
        <v>0</v>
      </c>
      <c r="AI6" t="inlineStr">
        <is>
          <t>False</t>
        </is>
      </c>
      <c r="AJ6" s="2" t="str">
        <f>HYPERLINK("https://keepa.com/#!product/1-B00008IH9R", "https://keepa.com/#!product/1-B00008IH9R")</f>
      </c>
      <c r="AK6" s="2" t="str">
        <f>HYPERLINK("https://camelcamelcamel.com/search?sq=B00008IH9R", "https://camelcamelcamel.com/search?sq=B00008IH9R")</f>
      </c>
      <c r="AL6" t="inlineStr">
        <is>
          <t/>
        </is>
      </c>
      <c r="AM6" s="10">
        <v>45417.11111111111</v>
      </c>
      <c r="AN6" t="inlineStr">
        <is>
          <t>Hamilton Beach 45 Cup Coffee Urn and Hot Beverage Dispenser, Silver</t>
        </is>
      </c>
      <c r="AO6" t="inlineStr">
        <is>
          <t>400</t>
        </is>
      </c>
      <c r="AP6" t="inlineStr">
        <is>
          <t>120</t>
        </is>
      </c>
    </row>
    <row r="7">
      <c r="A7" t="inlineStr">
        <is>
          <t>B0000CEO7R</t>
        </is>
      </c>
      <c r="B7" t="inlineStr">
        <is>
          <t>False</t>
        </is>
      </c>
      <c r="C7" t="inlineStr">
        <is>
          <t>B0000CEO7R</t>
        </is>
      </c>
      <c r="D7" t="inlineStr">
        <is>
          <t>Clif Bar</t>
        </is>
      </c>
      <c r="E7" t="inlineStr">
        <is>
          <t>False</t>
        </is>
      </c>
      <c r="F7" t="inlineStr">
        <is>
          <t>CLIF BAR - Spiced Pumpkin Pie Flavor - Made with Organic Oats - 10g Protein - Non-GMO - Plant Based - Seasonal Energy Bars - 2.4 oz. (12 Count)</t>
        </is>
      </c>
      <c r="G7">
        <v>12</v>
      </c>
      <c r="H7" s="2" t="str">
        <f>HYPERLINK("https://www.amazon.com/dp/B0000CEO7R", "https://www.amazon.com/dp/B0000CEO7R")</f>
      </c>
      <c r="I7" s="3">
        <v>32952</v>
      </c>
      <c r="J7" s="12">
        <v>-126.22</v>
      </c>
      <c r="K7" s="13">
        <v>-7.3298000000000005</v>
      </c>
      <c r="L7" s="13">
        <v>-0.935</v>
      </c>
      <c r="M7" t="inlineStr">
        <is>
          <t>True</t>
        </is>
      </c>
      <c r="N7" t="inlineStr">
        <is>
          <t>Health &amp; Household</t>
        </is>
      </c>
      <c r="O7" s="6">
        <v>388</v>
      </c>
      <c r="P7" s="6">
        <v>362</v>
      </c>
      <c r="Q7" s="6">
        <v>271</v>
      </c>
      <c r="R7" s="6">
        <v>157</v>
      </c>
      <c r="S7" s="7">
        <v>11.25</v>
      </c>
      <c r="T7" s="7">
        <v>17.22</v>
      </c>
      <c r="U7">
        <v>14.59</v>
      </c>
      <c r="V7" s="8">
        <v>0</v>
      </c>
      <c r="W7" s="7">
        <v>0</v>
      </c>
      <c r="X7" s="7">
        <v>0</v>
      </c>
      <c r="Y7">
        <v>1.94</v>
      </c>
      <c r="Z7" s="9">
        <v>0.6</v>
      </c>
      <c r="AB7">
        <v>0</v>
      </c>
      <c r="AC7">
        <v>0</v>
      </c>
      <c r="AD7">
        <v>13</v>
      </c>
      <c r="AE7">
        <v>3</v>
      </c>
      <c r="AF7">
        <v>10</v>
      </c>
      <c r="AG7">
        <v>3</v>
      </c>
      <c r="AH7">
        <v>16</v>
      </c>
      <c r="AI7" t="inlineStr">
        <is>
          <t>False</t>
        </is>
      </c>
      <c r="AJ7" s="2" t="str">
        <f>HYPERLINK("https://keepa.com/#!product/1-B0000CEO7R", "https://keepa.com/#!product/1-B0000CEO7R")</f>
      </c>
      <c r="AK7" s="2" t="str">
        <f>HYPERLINK("https://camelcamelcamel.com/search?sq=B0000CEO7R", "https://camelcamelcamel.com/search?sq=B0000CEO7R")</f>
      </c>
      <c r="AL7" t="inlineStr">
        <is>
          <t/>
        </is>
      </c>
      <c r="AM7" s="10">
        <v>45417.11111111111</v>
      </c>
      <c r="AN7" t="inlineStr">
        <is>
          <t>CLIF BAR</t>
        </is>
      </c>
      <c r="AO7" t="inlineStr">
        <is>
          <t>1200</t>
        </is>
      </c>
      <c r="AP7" t="inlineStr">
        <is>
          <t>400</t>
        </is>
      </c>
    </row>
    <row r="8">
      <c r="A8" t="inlineStr">
        <is>
          <t>B0000DIX6V</t>
        </is>
      </c>
      <c r="B8" t="inlineStr">
        <is>
          <t>False</t>
        </is>
      </c>
      <c r="C8" t="inlineStr">
        <is>
          <t>B0000DIX6V</t>
        </is>
      </c>
      <c r="D8" t="inlineStr">
        <is>
          <t>Wilton</t>
        </is>
      </c>
      <c r="E8" t="inlineStr">
        <is>
          <t>True</t>
        </is>
      </c>
      <c r="F8" t="inlineStr">
        <is>
          <t>Wilton Excelle Elite Non-Stick Springform Pan - Perfect for Making Cheesecakes, Deep Dish Pizzas, Quiches and More with Easy Release, Steel, 10 x 2.75-Inch</t>
        </is>
      </c>
      <c r="G8">
        <v>1</v>
      </c>
      <c r="H8" s="2" t="str">
        <f>HYPERLINK("https://www.amazon.com/dp/B0000DIX6V", "https://www.amazon.com/dp/B0000DIX6V")</f>
      </c>
      <c r="I8" s="3">
        <v>648</v>
      </c>
      <c r="J8" s="11">
        <v>0.44</v>
      </c>
      <c r="K8" s="5">
        <v>0.028399999999999998</v>
      </c>
      <c r="L8" s="5">
        <v>0.0677</v>
      </c>
      <c r="M8" t="inlineStr">
        <is>
          <t>True</t>
        </is>
      </c>
      <c r="N8" t="inlineStr">
        <is>
          <t>Kitchen &amp; Dining</t>
        </is>
      </c>
      <c r="O8" s="6">
        <v>11546</v>
      </c>
      <c r="P8" s="6">
        <v>8121</v>
      </c>
      <c r="Q8" s="6">
        <v>2438</v>
      </c>
      <c r="R8" s="6">
        <v>237</v>
      </c>
      <c r="S8" s="7">
        <v>6.5</v>
      </c>
      <c r="T8" s="7">
        <v>15.48</v>
      </c>
      <c r="U8">
        <v>14.48</v>
      </c>
      <c r="V8" s="8">
        <v>0</v>
      </c>
      <c r="W8" s="7">
        <v>0</v>
      </c>
      <c r="X8" s="7">
        <v>0</v>
      </c>
      <c r="Y8">
        <v>1.46</v>
      </c>
      <c r="Z8" s="9">
        <v>0.98</v>
      </c>
      <c r="AB8">
        <v>0</v>
      </c>
      <c r="AC8">
        <v>0</v>
      </c>
      <c r="AD8">
        <v>10</v>
      </c>
      <c r="AE8">
        <v>7</v>
      </c>
      <c r="AF8">
        <v>1</v>
      </c>
      <c r="AG8">
        <v>4</v>
      </c>
      <c r="AH8">
        <v>1</v>
      </c>
      <c r="AI8" t="inlineStr">
        <is>
          <t>False</t>
        </is>
      </c>
      <c r="AJ8" s="2" t="str">
        <f>HYPERLINK("https://keepa.com/#!product/1-B0000DIX6V", "https://keepa.com/#!product/1-B0000DIX6V")</f>
      </c>
      <c r="AK8" s="2" t="str">
        <f>HYPERLINK("https://camelcamelcamel.com/search?sq=B0000DIX6V", "https://camelcamelcamel.com/search?sq=B0000DIX6V")</f>
      </c>
      <c r="AL8" t="inlineStr">
        <is>
          <t/>
        </is>
      </c>
      <c r="AM8" s="10">
        <v>45417.11111111111</v>
      </c>
      <c r="AN8" t="inlineStr">
        <is>
          <t>Wilton Excelle Elite Non-Stick Springform Pan</t>
        </is>
      </c>
      <c r="AO8" t="inlineStr">
        <is>
          <t>4000</t>
        </is>
      </c>
      <c r="AP8" t="inlineStr">
        <is>
          <t>2000</t>
        </is>
      </c>
    </row>
    <row r="9">
      <c r="A9" t="inlineStr">
        <is>
          <t>B0000DIX7K</t>
        </is>
      </c>
      <c r="B9" t="inlineStr">
        <is>
          <t>False</t>
        </is>
      </c>
      <c r="C9" t="inlineStr">
        <is>
          <t>B0000DIX7K</t>
        </is>
      </c>
      <c r="D9" t="inlineStr">
        <is>
          <t>Wilton</t>
        </is>
      </c>
      <c r="E9" t="inlineStr">
        <is>
          <t>True</t>
        </is>
      </c>
      <c r="F9" t="inlineStr">
        <is>
          <t>Wilton Excelle Elite Non-Stick - Non-Stick Tart and Quiche Pan with Removable Bottom, 9-Inch, Steel</t>
        </is>
      </c>
      <c r="G9">
        <v>1</v>
      </c>
      <c r="H9" s="2" t="str">
        <f>HYPERLINK("https://www.amazon.com/dp/B0000DIX7K", "https://www.amazon.com/dp/B0000DIX7K")</f>
      </c>
      <c r="I9" s="3">
        <v>1154</v>
      </c>
      <c r="J9" s="11">
        <v>0.34</v>
      </c>
      <c r="K9" s="5">
        <v>0.0218</v>
      </c>
      <c r="L9" s="5">
        <v>0.048600000000000004</v>
      </c>
      <c r="M9" t="inlineStr">
        <is>
          <t>True</t>
        </is>
      </c>
      <c r="N9" t="inlineStr">
        <is>
          <t>Kitchen &amp; Dining</t>
        </is>
      </c>
      <c r="O9" s="6">
        <v>6177</v>
      </c>
      <c r="P9" s="6">
        <v>4330</v>
      </c>
      <c r="Q9" s="6">
        <v>1617</v>
      </c>
      <c r="R9" s="6">
        <v>150</v>
      </c>
      <c r="S9" s="7">
        <v>7</v>
      </c>
      <c r="T9" s="7">
        <v>15.57</v>
      </c>
      <c r="U9">
        <v>14.33</v>
      </c>
      <c r="V9" s="8">
        <v>0</v>
      </c>
      <c r="W9" s="7">
        <v>0</v>
      </c>
      <c r="X9" s="7">
        <v>0</v>
      </c>
      <c r="Y9">
        <v>1.34</v>
      </c>
      <c r="Z9" s="9">
        <v>0.11</v>
      </c>
      <c r="AB9">
        <v>0</v>
      </c>
      <c r="AC9">
        <v>0</v>
      </c>
      <c r="AD9">
        <v>10</v>
      </c>
      <c r="AE9">
        <v>8</v>
      </c>
      <c r="AF9">
        <v>2</v>
      </c>
      <c r="AG9">
        <v>4</v>
      </c>
      <c r="AH9">
        <v>3</v>
      </c>
      <c r="AI9" t="inlineStr">
        <is>
          <t>False</t>
        </is>
      </c>
      <c r="AJ9" s="2" t="str">
        <f>HYPERLINK("https://keepa.com/#!product/1-B0000DIX7K", "https://keepa.com/#!product/1-B0000DIX7K")</f>
      </c>
      <c r="AK9" s="2" t="str">
        <f>HYPERLINK("https://camelcamelcamel.com/search?sq=B0000DIX7K", "https://camelcamelcamel.com/search?sq=B0000DIX7K")</f>
      </c>
      <c r="AL9" t="inlineStr">
        <is>
          <t/>
        </is>
      </c>
      <c r="AM9" s="10">
        <v>45417.11111111111</v>
      </c>
      <c r="AN9" t="inlineStr">
        <is>
          <t>Wilton Excelle Elite Non-Stick - Non-Stick Tart and Quiche Pan with Removable Bottom, 9-Inch, Stee</t>
        </is>
      </c>
      <c r="AO9" t="inlineStr">
        <is>
          <t>2000</t>
        </is>
      </c>
      <c r="AP9" t="inlineStr">
        <is>
          <t>1500</t>
        </is>
      </c>
    </row>
    <row r="10">
      <c r="A10" t="inlineStr">
        <is>
          <t>B0000VMHRI</t>
        </is>
      </c>
      <c r="B10" t="inlineStr">
        <is>
          <t>False</t>
        </is>
      </c>
      <c r="C10" t="inlineStr">
        <is>
          <t>B0000VMHRI</t>
        </is>
      </c>
      <c r="D10" t="inlineStr">
        <is>
          <t>Wilton</t>
        </is>
      </c>
      <c r="E10" t="inlineStr">
        <is>
          <t>True</t>
        </is>
      </c>
      <c r="F10" t="inlineStr">
        <is>
          <t>Wilton First &amp; Ten Football Game Night Aluminum Cake Pan</t>
        </is>
      </c>
      <c r="G10">
        <v>1</v>
      </c>
      <c r="H10" s="2" t="str">
        <f>HYPERLINK("https://www.amazon.com/dp/B0000VMHRI", "https://www.amazon.com/dp/B0000VMHRI")</f>
      </c>
      <c r="I10" s="3">
        <v>146</v>
      </c>
      <c r="J10" s="12">
        <v>-2.23</v>
      </c>
      <c r="K10" s="13">
        <v>-0.14880000000000002</v>
      </c>
      <c r="L10" s="13">
        <v>-0.25489999999999996</v>
      </c>
      <c r="M10" t="inlineStr">
        <is>
          <t>True</t>
        </is>
      </c>
      <c r="N10" t="inlineStr">
        <is>
          <t>Kitchen &amp; Dining</t>
        </is>
      </c>
      <c r="O10" s="6">
        <v>46041</v>
      </c>
      <c r="P10" s="6">
        <v>32363</v>
      </c>
      <c r="Q10" s="6">
        <v>4092</v>
      </c>
      <c r="R10" s="6">
        <v>120</v>
      </c>
      <c r="S10" s="7">
        <v>8.75</v>
      </c>
      <c r="T10" s="7">
        <v>14.99</v>
      </c>
      <c r="U10">
        <v>15.39</v>
      </c>
      <c r="V10" s="8">
        <v>0</v>
      </c>
      <c r="W10" s="7">
        <v>0</v>
      </c>
      <c r="X10" s="7">
        <v>0</v>
      </c>
      <c r="Y10">
        <v>0.35</v>
      </c>
      <c r="Z10" s="9">
        <v>0.52</v>
      </c>
      <c r="AB10">
        <v>0</v>
      </c>
      <c r="AC10">
        <v>0</v>
      </c>
      <c r="AD10">
        <v>19</v>
      </c>
      <c r="AE10">
        <v>2</v>
      </c>
      <c r="AF10">
        <v>7</v>
      </c>
      <c r="AG10">
        <v>1</v>
      </c>
      <c r="AH10">
        <v>0</v>
      </c>
      <c r="AI10" t="inlineStr">
        <is>
          <t>False</t>
        </is>
      </c>
      <c r="AJ10" s="2" t="str">
        <f>HYPERLINK("https://keepa.com/#!product/1-B0000VMHRI", "https://keepa.com/#!product/1-B0000VMHRI")</f>
      </c>
      <c r="AK10" s="2" t="str">
        <f>HYPERLINK("https://camelcamelcamel.com/search?sq=B0000VMHRI", "https://camelcamelcamel.com/search?sq=B0000VMHRI")</f>
      </c>
      <c r="AL10" t="inlineStr">
        <is>
          <t/>
        </is>
      </c>
      <c r="AM10" s="10">
        <v>45417.11111111111</v>
      </c>
      <c r="AN10" t="inlineStr">
        <is>
          <t>Wilton First &amp; Ten Football Game Night Aluminum Cake Pan</t>
        </is>
      </c>
      <c r="AO10" t="inlineStr">
        <is>
          <t>240</t>
        </is>
      </c>
      <c r="AP10" t="inlineStr">
        <is>
          <t>TAKE ALL</t>
        </is>
      </c>
    </row>
    <row r="11">
      <c r="A11" t="inlineStr">
        <is>
          <t>B0000Y8H3S</t>
        </is>
      </c>
      <c r="B11" t="inlineStr">
        <is>
          <t>False</t>
        </is>
      </c>
      <c r="C11" t="inlineStr">
        <is>
          <t>B0000Y8H3S</t>
        </is>
      </c>
      <c r="D11" t="inlineStr">
        <is>
          <t>Rogaine</t>
        </is>
      </c>
      <c r="E11" t="inlineStr">
        <is>
          <t>False</t>
        </is>
      </c>
      <c r="F11" t="inlineStr">
        <is>
          <t>Rogaine Men's Extra Strength 5% Minoxidil Topical Solution for Thin Hair, Hair Loss Treatment to Regrow Fuller, Thicker Hair, 3-Month Supply, 3 x 2 fl. oz</t>
        </is>
      </c>
      <c r="G11">
        <v>3</v>
      </c>
      <c r="H11" s="2" t="str">
        <f>HYPERLINK("https://www.amazon.com/dp/B0000Y8H3S", "https://www.amazon.com/dp/B0000Y8H3S")</f>
      </c>
      <c r="I11" s="3">
        <v>13610</v>
      </c>
      <c r="J11" s="12">
        <v>-54.14</v>
      </c>
      <c r="K11" s="13">
        <v>-1.1925</v>
      </c>
      <c r="L11" s="13">
        <v>-0.617</v>
      </c>
      <c r="M11" t="inlineStr">
        <is>
          <t>True</t>
        </is>
      </c>
      <c r="N11" t="inlineStr">
        <is>
          <t>Beauty &amp; Personal Care</t>
        </is>
      </c>
      <c r="O11" s="6">
        <v>935</v>
      </c>
      <c r="P11" s="6">
        <v>1049</v>
      </c>
      <c r="Q11" s="6">
        <v>729</v>
      </c>
      <c r="R11" s="6">
        <v>330</v>
      </c>
      <c r="S11" s="7">
        <v>29.25</v>
      </c>
      <c r="T11" s="7">
        <v>45.4</v>
      </c>
      <c r="U11">
        <v>44.89</v>
      </c>
      <c r="V11" s="8">
        <v>0</v>
      </c>
      <c r="W11" s="7">
        <v>0</v>
      </c>
      <c r="X11" s="7">
        <v>0</v>
      </c>
      <c r="Y11">
        <v>0.66</v>
      </c>
      <c r="Z11" s="9">
        <v>0.98</v>
      </c>
      <c r="AB11">
        <v>0</v>
      </c>
      <c r="AC11">
        <v>0</v>
      </c>
      <c r="AD11">
        <v>44</v>
      </c>
      <c r="AE11">
        <v>9</v>
      </c>
      <c r="AF11">
        <v>35</v>
      </c>
      <c r="AG11">
        <v>4</v>
      </c>
      <c r="AH11">
        <v>2</v>
      </c>
      <c r="AI11" t="inlineStr">
        <is>
          <t>True</t>
        </is>
      </c>
      <c r="AJ11" s="2" t="str">
        <f>HYPERLINK("https://keepa.com/#!product/1-B0000Y8H3S", "https://keepa.com/#!product/1-B0000Y8H3S")</f>
      </c>
      <c r="AK11" s="2" t="str">
        <f>HYPERLINK("https://camelcamelcamel.com/search?sq=B0000Y8H3S", "https://camelcamelcamel.com/search?sq=B0000Y8H3S")</f>
      </c>
      <c r="AL11" t="inlineStr">
        <is>
          <t/>
        </is>
      </c>
      <c r="AM11" s="10">
        <v>45417.11111111111</v>
      </c>
      <c r="AN11" t="inlineStr">
        <is>
          <t>Rogaine Men's Extra Strength 5% Minoxidil Topical Solution for Thin Hair, Hair Loss Treatment to Regrow Fuller, Thicker Hair, 3-Month Supply, 3 x 2 fl. oz</t>
        </is>
      </c>
      <c r="AO11" t="inlineStr">
        <is>
          <t>2000</t>
        </is>
      </c>
      <c r="AP11" t="inlineStr">
        <is>
          <t>200</t>
        </is>
      </c>
    </row>
    <row r="12">
      <c r="A12" t="inlineStr">
        <is>
          <t>B0006NIOJA</t>
        </is>
      </c>
      <c r="B12" t="inlineStr">
        <is>
          <t>False</t>
        </is>
      </c>
      <c r="C12" t="inlineStr">
        <is>
          <t>B0006NIOJA</t>
        </is>
      </c>
      <c r="D12" t="inlineStr">
        <is>
          <t>Nature's Bounty</t>
        </is>
      </c>
      <c r="E12" t="inlineStr">
        <is>
          <t>False</t>
        </is>
      </c>
      <c r="F12" t="inlineStr">
        <is>
          <t>Nature's Bounty Vitamin B6, Supports Energy Metabolism and Nervous System Health, 100mg, Tablets, 100 Ct</t>
        </is>
      </c>
      <c r="G12">
        <v>1</v>
      </c>
      <c r="H12" s="2" t="str">
        <f>HYPERLINK("https://www.amazon.com/dp/B0006NIOJA", "https://www.amazon.com/dp/B0006NIOJA")</f>
      </c>
      <c r="I12" s="14">
        <v>5</v>
      </c>
      <c r="J12" s="12">
        <v>-5.02</v>
      </c>
      <c r="K12" s="13">
        <v>-0.8552</v>
      </c>
      <c r="L12" s="13">
        <v>-0.6693000000000001</v>
      </c>
      <c r="M12" t="inlineStr">
        <is>
          <t>True</t>
        </is>
      </c>
      <c r="N12" t="inlineStr">
        <is>
          <t>Climate Pledge Friendly</t>
        </is>
      </c>
      <c r="O12" s="6">
        <v>724</v>
      </c>
      <c r="P12" s="6">
        <v>5169</v>
      </c>
      <c r="Q12" s="6">
        <v>471</v>
      </c>
      <c r="R12" s="6">
        <v>301</v>
      </c>
      <c r="S12" s="7">
        <v>7.5</v>
      </c>
      <c r="T12" s="7">
        <v>5.87</v>
      </c>
      <c r="U12">
        <v>6.28</v>
      </c>
      <c r="V12" s="8">
        <v>0</v>
      </c>
      <c r="W12" s="7">
        <v>0</v>
      </c>
      <c r="X12" s="7">
        <v>0</v>
      </c>
      <c r="Y12">
        <v>0.15</v>
      </c>
      <c r="Z12" s="9">
        <v>0.7</v>
      </c>
      <c r="AB12">
        <v>0</v>
      </c>
      <c r="AC12">
        <v>0</v>
      </c>
      <c r="AD12">
        <v>18</v>
      </c>
      <c r="AE12">
        <v>2</v>
      </c>
      <c r="AF12">
        <v>16</v>
      </c>
      <c r="AG12">
        <v>1</v>
      </c>
      <c r="AH12">
        <v>4</v>
      </c>
      <c r="AI12" t="inlineStr">
        <is>
          <t>False</t>
        </is>
      </c>
      <c r="AJ12" s="2" t="str">
        <f>HYPERLINK("https://keepa.com/#!product/1-B0006NIOJA", "https://keepa.com/#!product/1-B0006NIOJA")</f>
      </c>
      <c r="AK12" s="2" t="str">
        <f>HYPERLINK("https://camelcamelcamel.com/search?sq=B0006NIOJA", "https://camelcamelcamel.com/search?sq=B0006NIOJA")</f>
      </c>
      <c r="AL12" t="inlineStr">
        <is>
          <t/>
        </is>
      </c>
      <c r="AM12" s="10">
        <v>45417.11111111111</v>
      </c>
      <c r="AN12" t="inlineStr">
        <is>
          <t>Nature's Bounty Vitamin B6, Supports Energy Metabolism and Nervous System Health, 100mg, Tablets, 100 Ct</t>
        </is>
      </c>
      <c r="AO12" t="inlineStr">
        <is>
          <t>1008</t>
        </is>
      </c>
      <c r="AP12" t="inlineStr">
        <is>
          <t>TAKE ALL</t>
        </is>
      </c>
    </row>
    <row r="13">
      <c r="A13" t="inlineStr">
        <is>
          <t>B0007ZF4OA</t>
        </is>
      </c>
      <c r="B13" t="inlineStr">
        <is>
          <t>False</t>
        </is>
      </c>
      <c r="C13" t="inlineStr">
        <is>
          <t>B0007ZF4OA</t>
        </is>
      </c>
      <c r="D13" t="inlineStr">
        <is>
          <t>HotHands</t>
        </is>
      </c>
      <c r="E13" t="inlineStr">
        <is>
          <t>False</t>
        </is>
      </c>
      <c r="F13" t="inlineStr">
        <is>
          <t>HotHands Hand Warmers - Long Lasting Natural Odorless Air Activated Warmers - Up to 10 Hours of Heat - 40 Pair</t>
        </is>
      </c>
      <c r="G13">
        <v>1</v>
      </c>
      <c r="H13" s="2" t="str">
        <f>HYPERLINK("https://www.amazon.com/dp/B0007ZF4OA", "https://www.amazon.com/dp/B0007ZF4OA")</f>
      </c>
      <c r="I13" s="3">
        <v>7407</v>
      </c>
      <c r="J13" s="4">
        <v>4.47</v>
      </c>
      <c r="K13" s="5">
        <v>0.1709</v>
      </c>
      <c r="L13" s="15">
        <v>0.4361</v>
      </c>
      <c r="M13" t="inlineStr">
        <is>
          <t>True</t>
        </is>
      </c>
      <c r="N13" t="inlineStr">
        <is>
          <t>Sports &amp; Outdoors</t>
        </is>
      </c>
      <c r="O13" s="6">
        <v>418</v>
      </c>
      <c r="P13" s="6">
        <v>123</v>
      </c>
      <c r="Q13" s="6">
        <v>7</v>
      </c>
      <c r="R13" s="6">
        <v>277</v>
      </c>
      <c r="S13" s="7">
        <v>10.25</v>
      </c>
      <c r="T13" s="7">
        <v>26.16</v>
      </c>
      <c r="U13">
        <v>24.21</v>
      </c>
      <c r="V13" s="8">
        <v>0</v>
      </c>
      <c r="W13" s="7">
        <v>0</v>
      </c>
      <c r="X13" s="7">
        <v>0</v>
      </c>
      <c r="Y13">
        <v>4.23</v>
      </c>
      <c r="Z13" s="9">
        <v>1</v>
      </c>
      <c r="AB13">
        <v>0</v>
      </c>
      <c r="AC13">
        <v>0</v>
      </c>
      <c r="AD13">
        <v>53</v>
      </c>
      <c r="AE13">
        <v>1</v>
      </c>
      <c r="AF13">
        <v>22</v>
      </c>
      <c r="AG13">
        <v>1</v>
      </c>
      <c r="AH13">
        <v>1</v>
      </c>
      <c r="AI13" t="inlineStr">
        <is>
          <t>False</t>
        </is>
      </c>
      <c r="AJ13" s="2" t="str">
        <f>HYPERLINK("https://keepa.com/#!product/1-B0007ZF4OA", "https://keepa.com/#!product/1-B0007ZF4OA")</f>
      </c>
      <c r="AK13" s="2" t="str">
        <f>HYPERLINK("https://camelcamelcamel.com/search?sq=B0007ZF4OA", "https://camelcamelcamel.com/search?sq=B0007ZF4OA")</f>
      </c>
      <c r="AL13" t="inlineStr">
        <is>
          <t/>
        </is>
      </c>
      <c r="AM13" s="10">
        <v>45417.11111111111</v>
      </c>
      <c r="AN13" t="inlineStr">
        <is>
          <t>HotHands Hand Warmers - Long Lasting Safe Natural Odorless Air Activated Warmers - Up to 10 Hours of Heat - 40 Pair</t>
        </is>
      </c>
      <c r="AO13" t="inlineStr">
        <is>
          <t>2000</t>
        </is>
      </c>
      <c r="AP13" t="inlineStr">
        <is>
          <t>TAKE ALL</t>
        </is>
      </c>
    </row>
    <row r="14">
      <c r="A14" t="inlineStr">
        <is>
          <t>B000A0IL1A</t>
        </is>
      </c>
      <c r="B14" t="inlineStr">
        <is>
          <t>False</t>
        </is>
      </c>
      <c r="C14" t="inlineStr">
        <is>
          <t>B000A0IL1A</t>
        </is>
      </c>
      <c r="D14" t="inlineStr">
        <is>
          <t>MRS. MEYER'S CLEAN DAY</t>
        </is>
      </c>
      <c r="E14" t="inlineStr">
        <is>
          <t>False</t>
        </is>
      </c>
      <c r="F14" t="inlineStr">
        <is>
          <t>MRS. MEYER'S CLEAN DAY Multi-Surface Scrub, Non-Scratch Powder Cleaner, Removes Grime on Kitchen and Bathroom Surfaces, Lavender, 11 oz</t>
        </is>
      </c>
      <c r="G14">
        <v>1</v>
      </c>
      <c r="H14" s="2" t="str">
        <f>HYPERLINK("https://www.amazon.com/dp/B000A0IL1A", "https://www.amazon.com/dp/B000A0IL1A")</f>
      </c>
      <c r="I14" s="14">
        <v>5</v>
      </c>
      <c r="J14" s="12">
        <v>-0.63</v>
      </c>
      <c r="K14" s="13">
        <v>-0.0525</v>
      </c>
      <c r="L14" s="13">
        <v>-0.1008</v>
      </c>
      <c r="M14" t="inlineStr">
        <is>
          <t>False</t>
        </is>
      </c>
      <c r="N14" t="inlineStr">
        <is>
          <t>Health and Beauty</t>
        </is>
      </c>
      <c r="P14" s="6">
        <v>0</v>
      </c>
      <c r="Q14" s="6">
        <v>0</v>
      </c>
      <c r="R14" s="6">
        <v>0</v>
      </c>
      <c r="S14" s="7">
        <v>6.25</v>
      </c>
      <c r="T14" s="7">
        <v>11.99</v>
      </c>
      <c r="U14">
        <v>12.68</v>
      </c>
      <c r="V14" s="8">
        <v>0</v>
      </c>
      <c r="W14" s="7">
        <v>0</v>
      </c>
      <c r="X14" s="7">
        <v>0</v>
      </c>
      <c r="Y14">
        <v>0.77</v>
      </c>
      <c r="Z14" s="8">
        <v>0</v>
      </c>
      <c r="AB14">
        <v>0</v>
      </c>
      <c r="AC14">
        <v>0</v>
      </c>
      <c r="AD14">
        <v>10</v>
      </c>
      <c r="AE14">
        <v>9</v>
      </c>
      <c r="AF14">
        <v>1</v>
      </c>
      <c r="AG14">
        <v>7</v>
      </c>
      <c r="AH14">
        <v>7</v>
      </c>
      <c r="AI14" t="inlineStr">
        <is>
          <t>False</t>
        </is>
      </c>
      <c r="AJ14" s="2" t="str">
        <f>HYPERLINK("https://keepa.com/#!product/1-B000A0IL1A", "https://keepa.com/#!product/1-B000A0IL1A")</f>
      </c>
      <c r="AK14" s="2" t="str">
        <f>HYPERLINK("https://camelcamelcamel.com/search?sq=B000A0IL1A", "https://camelcamelcamel.com/search?sq=B000A0IL1A")</f>
      </c>
      <c r="AL14" t="inlineStr">
        <is>
          <t/>
        </is>
      </c>
      <c r="AM14" s="10">
        <v>45417.11111111111</v>
      </c>
      <c r="AN14" t="inlineStr">
        <is>
          <t>MRS. MEYER'S CLEAN DAY Multi-Surface Scrub, Non-Scratch Powder Cleaner, Removes Grime on Kitchen and Bathroom Surfaces, Lavender, 11 oz</t>
        </is>
      </c>
      <c r="AO14" t="inlineStr">
        <is>
          <t>1158</t>
        </is>
      </c>
      <c r="AP14" t="inlineStr">
        <is>
          <t>540</t>
        </is>
      </c>
    </row>
    <row r="15">
      <c r="A15" t="inlineStr">
        <is>
          <t>B000ANDTLO</t>
        </is>
      </c>
      <c r="B15" t="inlineStr">
        <is>
          <t>False</t>
        </is>
      </c>
      <c r="C15" t="inlineStr">
        <is>
          <t>B000ANDTLO</t>
        </is>
      </c>
      <c r="D15" t="inlineStr">
        <is>
          <t>DYMO</t>
        </is>
      </c>
      <c r="E15" t="inlineStr">
        <is>
          <t>False</t>
        </is>
      </c>
      <c r="F15" t="inlineStr">
        <is>
          <t>DYMO Rhino Industrial Heat-Shrink Labels, 3/4" Tube, Black Print on White</t>
        </is>
      </c>
      <c r="G15">
        <v>1</v>
      </c>
      <c r="H15" s="2" t="str">
        <f>HYPERLINK("https://www.amazon.com/dp/B000ANDTLO", "https://www.amazon.com/dp/B000ANDTLO")</f>
      </c>
      <c r="I15" s="3">
        <v>364</v>
      </c>
      <c r="J15" s="12">
        <v>-8.47</v>
      </c>
      <c r="K15" s="13">
        <v>-0.2464</v>
      </c>
      <c r="L15" s="13">
        <v>-0.2491</v>
      </c>
      <c r="M15" t="inlineStr">
        <is>
          <t>True</t>
        </is>
      </c>
      <c r="N15" t="inlineStr">
        <is>
          <t>Industrial &amp; Scientific</t>
        </is>
      </c>
      <c r="O15" s="6">
        <v>10603</v>
      </c>
      <c r="P15" s="6">
        <v>14813</v>
      </c>
      <c r="Q15" s="6">
        <v>5103</v>
      </c>
      <c r="R15" s="6">
        <v>183</v>
      </c>
      <c r="S15" s="7">
        <v>34</v>
      </c>
      <c r="T15" s="7">
        <v>34.38</v>
      </c>
      <c r="U15">
        <v>34.59</v>
      </c>
      <c r="V15" s="8">
        <v>0</v>
      </c>
      <c r="W15" s="7">
        <v>0</v>
      </c>
      <c r="X15" s="7">
        <v>0</v>
      </c>
      <c r="Y15">
        <v>0.11</v>
      </c>
      <c r="Z15" s="9">
        <v>0.48</v>
      </c>
      <c r="AB15">
        <v>0</v>
      </c>
      <c r="AC15">
        <v>0</v>
      </c>
      <c r="AD15">
        <v>61</v>
      </c>
      <c r="AE15">
        <v>2</v>
      </c>
      <c r="AF15">
        <v>59</v>
      </c>
      <c r="AG15">
        <v>2</v>
      </c>
      <c r="AH15">
        <v>10</v>
      </c>
      <c r="AI15" t="inlineStr">
        <is>
          <t>False</t>
        </is>
      </c>
      <c r="AJ15" s="2" t="str">
        <f>HYPERLINK("https://keepa.com/#!product/1-B000ANDTLO", "https://keepa.com/#!product/1-B000ANDTLO")</f>
      </c>
      <c r="AK15" s="2" t="str">
        <f>HYPERLINK("https://camelcamelcamel.com/search?sq=B000ANDTLO", "https://camelcamelcamel.com/search?sq=B000ANDTLO")</f>
      </c>
      <c r="AL15" t="inlineStr">
        <is>
          <t/>
        </is>
      </c>
      <c r="AM15" s="10">
        <v>45417.11111111111</v>
      </c>
      <c r="AN15" t="inlineStr">
        <is>
          <t>DYMO Rhino Industrial Heat-Shrink Labels, 3/4" Tube, Black Print on White</t>
        </is>
      </c>
      <c r="AO15" t="inlineStr">
        <is>
          <t>50</t>
        </is>
      </c>
      <c r="AP15" t="inlineStr">
        <is>
          <t>TAKE ALL</t>
        </is>
      </c>
    </row>
    <row r="16">
      <c r="A16" t="inlineStr">
        <is>
          <t>B000E63LDS</t>
        </is>
      </c>
      <c r="B16" t="inlineStr">
        <is>
          <t>False</t>
        </is>
      </c>
      <c r="C16" t="inlineStr">
        <is>
          <t>B000E63LDS</t>
        </is>
      </c>
      <c r="D16" t="inlineStr">
        <is>
          <t>Celestial Seasonings</t>
        </is>
      </c>
      <c r="E16" t="inlineStr">
        <is>
          <t>False</t>
        </is>
      </c>
      <c r="F16" t="inlineStr">
        <is>
          <t>Celestial Seasonings Bengal Spice Herbal Tea, Caffeine Free, 20 Tea Bags Box, (Pack of 6)</t>
        </is>
      </c>
      <c r="G16">
        <v>6</v>
      </c>
      <c r="H16" s="2" t="str">
        <f>HYPERLINK("https://www.amazon.com/dp/B000E63LDS", "https://www.amazon.com/dp/B000E63LDS")</f>
      </c>
      <c r="I16" s="3">
        <v>9067</v>
      </c>
      <c r="J16" s="12">
        <v>-69.67</v>
      </c>
      <c r="K16" s="13">
        <v>-3.7217000000000002</v>
      </c>
      <c r="L16" s="13">
        <v>-0.8764</v>
      </c>
      <c r="M16" t="inlineStr">
        <is>
          <t>True</t>
        </is>
      </c>
      <c r="N16" t="inlineStr">
        <is>
          <t>Grocery &amp; Gourmet Food</t>
        </is>
      </c>
      <c r="O16" s="6">
        <v>307</v>
      </c>
      <c r="P16" s="6">
        <v>360</v>
      </c>
      <c r="Q16" s="6">
        <v>123</v>
      </c>
      <c r="R16" s="6">
        <v>289</v>
      </c>
      <c r="S16" s="7">
        <v>13.25</v>
      </c>
      <c r="T16" s="7">
        <v>18.72</v>
      </c>
      <c r="U16">
        <v>18.89</v>
      </c>
      <c r="V16" s="8">
        <v>0</v>
      </c>
      <c r="W16" s="7">
        <v>0</v>
      </c>
      <c r="X16" s="7">
        <v>0</v>
      </c>
      <c r="Y16">
        <v>1.34</v>
      </c>
      <c r="Z16" s="9">
        <v>1</v>
      </c>
      <c r="AB16">
        <v>0</v>
      </c>
      <c r="AC16">
        <v>0</v>
      </c>
      <c r="AD16">
        <v>8</v>
      </c>
      <c r="AE16">
        <v>1</v>
      </c>
      <c r="AF16">
        <v>7</v>
      </c>
      <c r="AG16">
        <v>1</v>
      </c>
      <c r="AH16">
        <v>26</v>
      </c>
      <c r="AI16" t="inlineStr">
        <is>
          <t>False</t>
        </is>
      </c>
      <c r="AJ16" s="2" t="str">
        <f>HYPERLINK("https://keepa.com/#!product/1-B000E63LDS", "https://keepa.com/#!product/1-B000E63LDS")</f>
      </c>
      <c r="AK16" s="2" t="str">
        <f>HYPERLINK("https://camelcamelcamel.com/search?sq=B000E63LDS", "https://camelcamelcamel.com/search?sq=B000E63LDS")</f>
      </c>
      <c r="AL16" t="inlineStr">
        <is>
          <t/>
        </is>
      </c>
      <c r="AM16" s="10">
        <v>45417.11111111111</v>
      </c>
      <c r="AN16" t="inlineStr">
        <is>
          <t>Celestial Seasonings Herbal Tea, Bengal Spice, Caffeine Free, 20 tea bags (Pack of 6)</t>
        </is>
      </c>
      <c r="AO16" t="inlineStr">
        <is>
          <t>813</t>
        </is>
      </c>
      <c r="AP16" t="inlineStr">
        <is>
          <t>TAKE ALL</t>
        </is>
      </c>
    </row>
    <row r="17">
      <c r="A17" t="inlineStr">
        <is>
          <t>B000E8FF2G</t>
        </is>
      </c>
      <c r="B17" t="inlineStr">
        <is>
          <t>False</t>
        </is>
      </c>
      <c r="C17" t="inlineStr">
        <is>
          <t>B000E8FF2G</t>
        </is>
      </c>
      <c r="D17" t="inlineStr">
        <is>
          <t>Biokleen</t>
        </is>
      </c>
      <c r="E17" t="inlineStr">
        <is>
          <t>False</t>
        </is>
      </c>
      <c r="F17" t="inlineStr">
        <is>
          <t>Biokleen Bac-Out Stain+Odor Remover, Destroys Stains &amp; Odors Safely, for Pet Stains, Laundry, Diapers, Wine, Carpets, &amp; More, Eco-Friendly, Non-Toxic, Plant-Based, 16 Ounces (Pack of 12)</t>
        </is>
      </c>
      <c r="G17">
        <v>12</v>
      </c>
      <c r="H17" s="2" t="str">
        <f>HYPERLINK("https://www.amazon.com/dp/B000E8FF2G", "https://www.amazon.com/dp/B000E8FF2G")</f>
      </c>
      <c r="I17" s="3">
        <v>107</v>
      </c>
      <c r="J17" s="12">
        <v>-506.68</v>
      </c>
      <c r="K17" s="13">
        <v>-13.337200000000001</v>
      </c>
      <c r="L17" s="13">
        <v>-0.9595999999999999</v>
      </c>
      <c r="M17" t="inlineStr">
        <is>
          <t>True</t>
        </is>
      </c>
      <c r="N17" t="inlineStr">
        <is>
          <t>Health &amp; Household</t>
        </is>
      </c>
      <c r="O17" s="6">
        <v>98541</v>
      </c>
      <c r="P17" s="6">
        <v>37615</v>
      </c>
      <c r="Q17" s="6">
        <v>14395</v>
      </c>
      <c r="R17" s="6">
        <v>148</v>
      </c>
      <c r="S17" s="7">
        <v>44</v>
      </c>
      <c r="T17" s="7">
        <v>37.99</v>
      </c>
      <c r="U17">
        <v>47.31</v>
      </c>
      <c r="V17" s="8">
        <v>0</v>
      </c>
      <c r="W17" s="7">
        <v>0</v>
      </c>
      <c r="X17" s="7">
        <v>0</v>
      </c>
      <c r="Y17">
        <v>14.44</v>
      </c>
      <c r="Z17" s="9">
        <v>0.96</v>
      </c>
      <c r="AB17">
        <v>0</v>
      </c>
      <c r="AC17">
        <v>0</v>
      </c>
      <c r="AD17">
        <v>11</v>
      </c>
      <c r="AE17">
        <v>5</v>
      </c>
      <c r="AF17">
        <v>6</v>
      </c>
      <c r="AG17">
        <v>3</v>
      </c>
      <c r="AH17">
        <v>8</v>
      </c>
      <c r="AI17" t="inlineStr">
        <is>
          <t>False</t>
        </is>
      </c>
      <c r="AJ17" s="2" t="str">
        <f>HYPERLINK("https://keepa.com/#!product/1-B000E8FF2G", "https://keepa.com/#!product/1-B000E8FF2G")</f>
      </c>
      <c r="AK17" s="2" t="str">
        <f>HYPERLINK("https://camelcamelcamel.com/search?sq=B000E8FF2G", "https://camelcamelcamel.com/search?sq=B000E8FF2G")</f>
      </c>
      <c r="AL17" t="inlineStr">
        <is>
          <t/>
        </is>
      </c>
      <c r="AM17" s="10">
        <v>45417.11111111111</v>
      </c>
      <c r="AN17" t="inlineStr">
        <is>
          <t>Biokleen Bac-Out Stain+Odor Remover, Destroys Stains &amp; Odors Safely, for Pet Stains, Laundry, Diapers, Wine, Carpets, &amp; More, Eco-Friendly, Non-Toxic, Plant-Based, 16 Ounces (Pack of 12)</t>
        </is>
      </c>
      <c r="AO17" t="inlineStr">
        <is>
          <t>900</t>
        </is>
      </c>
      <c r="AP17" t="inlineStr">
        <is>
          <t>300</t>
        </is>
      </c>
    </row>
    <row r="18">
      <c r="A18" t="inlineStr">
        <is>
          <t>B000GIURIQ</t>
        </is>
      </c>
      <c r="B18" t="inlineStr">
        <is>
          <t>False</t>
        </is>
      </c>
      <c r="C18" t="inlineStr">
        <is>
          <t>B000GIURIQ</t>
        </is>
      </c>
      <c r="D18" t="inlineStr">
        <is>
          <t>Optimum Nutrition</t>
        </is>
      </c>
      <c r="E18" t="inlineStr">
        <is>
          <t>False</t>
        </is>
      </c>
      <c r="F18" t="inlineStr">
        <is>
          <t>Optimum Nutrition Gold Standard 100% Whey Protein Powder, Delicious Strawberry, 2 Pound (Pack of 1)</t>
        </is>
      </c>
      <c r="G18">
        <v>1</v>
      </c>
      <c r="H18" s="2" t="str">
        <f>HYPERLINK("https://www.amazon.com/dp/B000GIURIQ", "https://www.amazon.com/dp/B000GIURIQ")</f>
      </c>
      <c r="I18" s="3">
        <v>114599</v>
      </c>
      <c r="J18" s="4">
        <v>5.76</v>
      </c>
      <c r="K18" s="5">
        <v>0.1373</v>
      </c>
      <c r="L18" s="5">
        <v>0.2451</v>
      </c>
      <c r="M18" t="inlineStr">
        <is>
          <t>True</t>
        </is>
      </c>
      <c r="N18" t="inlineStr">
        <is>
          <t>Health &amp; Household</t>
        </is>
      </c>
      <c r="O18" s="6">
        <v>12</v>
      </c>
      <c r="P18" s="6">
        <v>10</v>
      </c>
      <c r="Q18" s="6">
        <v>3</v>
      </c>
      <c r="R18" s="6">
        <v>128</v>
      </c>
      <c r="S18" s="7">
        <v>23.5</v>
      </c>
      <c r="T18" s="7">
        <v>41.94</v>
      </c>
      <c r="U18">
        <v>39.55</v>
      </c>
      <c r="V18" s="8">
        <v>0</v>
      </c>
      <c r="W18" s="7">
        <v>0</v>
      </c>
      <c r="X18" s="7">
        <v>0</v>
      </c>
      <c r="Y18">
        <v>2.36</v>
      </c>
      <c r="Z18" s="9">
        <v>1</v>
      </c>
      <c r="AB18">
        <v>0</v>
      </c>
      <c r="AC18">
        <v>0</v>
      </c>
      <c r="AD18">
        <v>9</v>
      </c>
      <c r="AE18">
        <v>3</v>
      </c>
      <c r="AF18">
        <v>6</v>
      </c>
      <c r="AG18">
        <v>1</v>
      </c>
      <c r="AH18">
        <v>38</v>
      </c>
      <c r="AI18" t="inlineStr">
        <is>
          <t>False</t>
        </is>
      </c>
      <c r="AJ18" s="2" t="str">
        <f>HYPERLINK("https://keepa.com/#!product/1-B000GIURIQ", "https://keepa.com/#!product/1-B000GIURIQ")</f>
      </c>
      <c r="AK18" s="2" t="str">
        <f>HYPERLINK("https://camelcamelcamel.com/search?sq=B000GIURIQ", "https://camelcamelcamel.com/search?sq=B000GIURIQ")</f>
      </c>
      <c r="AL18" t="inlineStr">
        <is>
          <t/>
        </is>
      </c>
      <c r="AM18" s="10">
        <v>45417.11111111111</v>
      </c>
      <c r="AN18" t="inlineStr">
        <is>
          <t>Optimum Nutrition Gold Standard 100% Whey Protein Powder, Delicious Strawberry, 2 Pound (Pack of 1)</t>
        </is>
      </c>
      <c r="AO18" t="inlineStr">
        <is>
          <t>2000</t>
        </is>
      </c>
      <c r="AP18" t="inlineStr">
        <is>
          <t>1000</t>
        </is>
      </c>
    </row>
    <row r="19">
      <c r="A19" t="inlineStr">
        <is>
          <t>B000HEC4EO</t>
        </is>
      </c>
      <c r="B19" t="inlineStr">
        <is>
          <t>False</t>
        </is>
      </c>
      <c r="C19" t="inlineStr">
        <is>
          <t>B000HEC4EO</t>
        </is>
      </c>
      <c r="D19" t="inlineStr">
        <is>
          <t>FIRST ALERT</t>
        </is>
      </c>
      <c r="E19" t="inlineStr">
        <is>
          <t>False</t>
        </is>
      </c>
      <c r="F19" t="inlineStr">
        <is>
          <t>First Alert BRK SC-9120B Hardwired Smoke and Carbon Monoxide (CO) Detector with Battery Backup</t>
        </is>
      </c>
      <c r="G19">
        <v>1</v>
      </c>
      <c r="H19" s="2" t="str">
        <f>HYPERLINK("https://www.amazon.com/dp/B000HEC4EO", "https://www.amazon.com/dp/B000HEC4EO")</f>
      </c>
      <c r="I19" s="3">
        <v>3634</v>
      </c>
      <c r="J19" s="4">
        <v>9.3</v>
      </c>
      <c r="K19" s="5">
        <v>0.22010000000000002</v>
      </c>
      <c r="L19" s="15">
        <v>0.4227</v>
      </c>
      <c r="M19" t="inlineStr">
        <is>
          <t>True</t>
        </is>
      </c>
      <c r="N19" t="inlineStr">
        <is>
          <t>Tools &amp; Home Improvement</t>
        </is>
      </c>
      <c r="O19" s="6">
        <v>1655</v>
      </c>
      <c r="P19" s="6">
        <v>1735</v>
      </c>
      <c r="Q19" s="6">
        <v>939</v>
      </c>
      <c r="R19" s="6">
        <v>257</v>
      </c>
      <c r="S19" s="7">
        <v>22</v>
      </c>
      <c r="T19" s="7">
        <v>42.26</v>
      </c>
      <c r="U19">
        <v>37.95</v>
      </c>
      <c r="V19" s="8">
        <v>0</v>
      </c>
      <c r="W19" s="7">
        <v>0</v>
      </c>
      <c r="X19" s="7">
        <v>0</v>
      </c>
      <c r="Y19">
        <v>0.68</v>
      </c>
      <c r="Z19" s="9">
        <v>0.02</v>
      </c>
      <c r="AB19">
        <v>0</v>
      </c>
      <c r="AC19">
        <v>0</v>
      </c>
      <c r="AD19">
        <v>49</v>
      </c>
      <c r="AE19">
        <v>9</v>
      </c>
      <c r="AF19">
        <v>38</v>
      </c>
      <c r="AG19">
        <v>1</v>
      </c>
      <c r="AH19">
        <v>1</v>
      </c>
      <c r="AI19" t="inlineStr">
        <is>
          <t>False</t>
        </is>
      </c>
      <c r="AJ19" s="2" t="str">
        <f>HYPERLINK("https://keepa.com/#!product/1-B000HEC4EO", "https://keepa.com/#!product/1-B000HEC4EO")</f>
      </c>
      <c r="AK19" s="2" t="str">
        <f>HYPERLINK("https://camelcamelcamel.com/search?sq=B000HEC4EO", "https://camelcamelcamel.com/search?sq=B000HEC4EO")</f>
      </c>
      <c r="AL19" t="inlineStr">
        <is>
          <t/>
        </is>
      </c>
      <c r="AM19" s="10">
        <v>45417.11111111111</v>
      </c>
      <c r="AN19" t="inlineStr">
        <is>
          <t>First Alert BRK SC-9120B Hardwired Smoke and Carbon Monoxide (CO) Detector with Battery Backup</t>
        </is>
      </c>
      <c r="AO19" t="inlineStr">
        <is>
          <t>2000</t>
        </is>
      </c>
      <c r="AP19" t="inlineStr">
        <is>
          <t>1000</t>
        </is>
      </c>
    </row>
    <row r="20">
      <c r="A20" t="inlineStr">
        <is>
          <t>B000M8SL1A</t>
        </is>
      </c>
      <c r="B20" t="inlineStr">
        <is>
          <t>False</t>
        </is>
      </c>
      <c r="C20" t="inlineStr">
        <is>
          <t>B000M8SL1A</t>
        </is>
      </c>
      <c r="D20" t="inlineStr">
        <is>
          <t>Allergy Research Group</t>
        </is>
      </c>
      <c r="E20" t="inlineStr">
        <is>
          <t>False</t>
        </is>
      </c>
      <c r="F20" t="inlineStr">
        <is>
          <t>Allergy Research Group, Buffered Vitamin C – Antioxidant Supplements, Calcium and Magnesium Tablets, Daily Vitamins and Minerals, Vitamin C Capsules – 120 Capsules 1-Pack</t>
        </is>
      </c>
      <c r="G20">
        <v>1</v>
      </c>
      <c r="H20" s="2" t="str">
        <f>HYPERLINK("https://www.amazon.com/dp/B000M8SL1A", "https://www.amazon.com/dp/B000M8SL1A")</f>
      </c>
      <c r="I20" s="3">
        <v>381</v>
      </c>
      <c r="J20" s="11">
        <v>3.72</v>
      </c>
      <c r="K20" s="5">
        <v>0.2023</v>
      </c>
      <c r="L20" s="15">
        <v>0.465</v>
      </c>
      <c r="M20" t="inlineStr">
        <is>
          <t>True</t>
        </is>
      </c>
      <c r="N20" t="inlineStr">
        <is>
          <t>Health &amp; Household</t>
        </is>
      </c>
      <c r="O20" s="6">
        <v>45043</v>
      </c>
      <c r="P20" s="6">
        <v>47223</v>
      </c>
      <c r="Q20" s="6">
        <v>31795</v>
      </c>
      <c r="R20" s="6">
        <v>132</v>
      </c>
      <c r="S20" s="7">
        <v>8</v>
      </c>
      <c r="T20" s="7">
        <v>18.39</v>
      </c>
      <c r="U20">
        <v>18.38</v>
      </c>
      <c r="V20" s="8">
        <v>0</v>
      </c>
      <c r="W20" s="7">
        <v>0</v>
      </c>
      <c r="X20" s="7">
        <v>0</v>
      </c>
      <c r="Y20">
        <v>0.37</v>
      </c>
      <c r="Z20" s="8">
        <v>0</v>
      </c>
      <c r="AB20">
        <v>0</v>
      </c>
      <c r="AC20">
        <v>0</v>
      </c>
      <c r="AD20">
        <v>5</v>
      </c>
      <c r="AE20">
        <v>5</v>
      </c>
      <c r="AF20">
        <v>0</v>
      </c>
      <c r="AG20">
        <v>4</v>
      </c>
      <c r="AH20">
        <v>0</v>
      </c>
      <c r="AI20" t="inlineStr">
        <is>
          <t>False</t>
        </is>
      </c>
      <c r="AJ20" s="2" t="str">
        <f>HYPERLINK("https://keepa.com/#!product/1-B000M8SL1A", "https://keepa.com/#!product/1-B000M8SL1A")</f>
      </c>
      <c r="AK20" s="2" t="str">
        <f>HYPERLINK("https://camelcamelcamel.com/search?sq=B000M8SL1A", "https://camelcamelcamel.com/search?sq=B000M8SL1A")</f>
      </c>
      <c r="AL20" t="inlineStr">
        <is>
          <t/>
        </is>
      </c>
      <c r="AM20" s="10">
        <v>45417.11111111111</v>
      </c>
      <c r="AN20" t="inlineStr">
        <is>
          <t>Allergy Research Group, Buffered Vitamin C â€“ Antioxidant Supplements, Calcium and Magnesium Tablets, Daily Vitamins and Minerals, Vitamin C Capsules â€“ 120 Capsules 1-Pack</t>
        </is>
      </c>
      <c r="AO20" t="inlineStr">
        <is>
          <t>200</t>
        </is>
      </c>
      <c r="AP20" t="inlineStr">
        <is>
          <t>TAKE ALL</t>
        </is>
      </c>
    </row>
    <row r="21">
      <c r="A21" t="inlineStr">
        <is>
          <t>B000MD65FO</t>
        </is>
      </c>
      <c r="B21" t="inlineStr">
        <is>
          <t>False</t>
        </is>
      </c>
      <c r="C21" t="inlineStr">
        <is>
          <t>B000MD65FO</t>
        </is>
      </c>
      <c r="D21" t="inlineStr">
        <is>
          <t>Tea Tree</t>
        </is>
      </c>
      <c r="E21" t="inlineStr">
        <is>
          <t>False</t>
        </is>
      </c>
      <c r="F21" t="inlineStr">
        <is>
          <t>Tea Tree Special Shampoo, Deep Cleans, Refreshes Scalp, For All Hair Types, Especially Oily Hair, 33.8 fl. oz.</t>
        </is>
      </c>
      <c r="G21">
        <v>1</v>
      </c>
      <c r="H21" s="2" t="str">
        <f>HYPERLINK("https://www.amazon.com/dp/B000MD65FO", "https://www.amazon.com/dp/B000MD65FO")</f>
      </c>
      <c r="I21" s="3">
        <v>30442</v>
      </c>
      <c r="J21" s="4">
        <v>13.9</v>
      </c>
      <c r="K21" s="5">
        <v>0.278</v>
      </c>
      <c r="L21" s="15">
        <v>0.6178</v>
      </c>
      <c r="M21" t="inlineStr">
        <is>
          <t>True</t>
        </is>
      </c>
      <c r="N21" t="inlineStr">
        <is>
          <t>Beauty &amp; Personal Care</t>
        </is>
      </c>
      <c r="O21" s="6">
        <v>229</v>
      </c>
      <c r="P21" s="6">
        <v>185</v>
      </c>
      <c r="Q21" s="6">
        <v>124</v>
      </c>
      <c r="R21" s="6">
        <v>266</v>
      </c>
      <c r="S21" s="7">
        <v>22.5</v>
      </c>
      <c r="T21" s="7">
        <v>50</v>
      </c>
      <c r="U21">
        <v>45.39</v>
      </c>
      <c r="V21" s="8">
        <v>0</v>
      </c>
      <c r="W21" s="7">
        <v>0</v>
      </c>
      <c r="X21" s="7">
        <v>0</v>
      </c>
      <c r="Y21">
        <v>2.4</v>
      </c>
      <c r="Z21" s="9">
        <v>1</v>
      </c>
      <c r="AB21">
        <v>0</v>
      </c>
      <c r="AC21">
        <v>0</v>
      </c>
      <c r="AD21">
        <v>8</v>
      </c>
      <c r="AE21">
        <v>4</v>
      </c>
      <c r="AF21">
        <v>4</v>
      </c>
      <c r="AG21">
        <v>4</v>
      </c>
      <c r="AH21">
        <v>7</v>
      </c>
      <c r="AI21" t="inlineStr">
        <is>
          <t>False</t>
        </is>
      </c>
      <c r="AJ21" s="2" t="str">
        <f>HYPERLINK("https://keepa.com/#!product/1-B000MD65FO", "https://keepa.com/#!product/1-B000MD65FO")</f>
      </c>
      <c r="AK21" s="2" t="str">
        <f>HYPERLINK("https://camelcamelcamel.com/search?sq=B000MD65FO", "https://camelcamelcamel.com/search?sq=B000MD65FO")</f>
      </c>
      <c r="AL21" t="inlineStr">
        <is>
          <t/>
        </is>
      </c>
      <c r="AM21" s="10">
        <v>45417.11111111111</v>
      </c>
      <c r="AN21" t="inlineStr">
        <is>
          <t>Tea Tree Special Shampoo, Deep Cleans, Refreshes Scalp, For All Hair Types, Especially Oily Hair</t>
        </is>
      </c>
      <c r="AO21" t="inlineStr">
        <is>
          <t>1500</t>
        </is>
      </c>
      <c r="AP21" t="inlineStr">
        <is>
          <t>TAKE ALL</t>
        </is>
      </c>
    </row>
    <row r="22">
      <c r="A22" t="inlineStr">
        <is>
          <t>B000N5H2XU</t>
        </is>
      </c>
      <c r="B22" t="inlineStr">
        <is>
          <t>False</t>
        </is>
      </c>
      <c r="C22" t="inlineStr">
        <is>
          <t>B000N5H2XU</t>
        </is>
      </c>
      <c r="D22" t="inlineStr">
        <is>
          <t>Mac Knife</t>
        </is>
      </c>
      <c r="E22" t="inlineStr">
        <is>
          <t>False</t>
        </is>
      </c>
      <c r="F22" t="inlineStr">
        <is>
          <t>MAC Knife Professional series 8" Chef's knife w/dimples MTH-80</t>
        </is>
      </c>
      <c r="G22">
        <v>1</v>
      </c>
      <c r="H22" s="2" t="str">
        <f>HYPERLINK("https://www.amazon.com/dp/B000N5H2XU", "https://www.amazon.com/dp/B000N5H2XU")</f>
      </c>
      <c r="I22" s="3">
        <v>707</v>
      </c>
      <c r="J22" s="4">
        <v>30.17</v>
      </c>
      <c r="K22" s="5">
        <v>0.2011</v>
      </c>
      <c r="L22" s="15">
        <v>0.33520000000000005</v>
      </c>
      <c r="M22" t="inlineStr">
        <is>
          <t>True</t>
        </is>
      </c>
      <c r="N22" t="inlineStr">
        <is>
          <t>Kitchen &amp; Dining</t>
        </is>
      </c>
      <c r="O22" s="6">
        <v>10560</v>
      </c>
      <c r="P22" s="6">
        <v>9579</v>
      </c>
      <c r="Q22" s="6">
        <v>6297</v>
      </c>
      <c r="R22" s="6">
        <v>303</v>
      </c>
      <c r="S22" s="7">
        <v>90</v>
      </c>
      <c r="T22" s="7">
        <v>149.99</v>
      </c>
      <c r="U22">
        <v>147.63</v>
      </c>
      <c r="V22" s="8">
        <v>0</v>
      </c>
      <c r="W22" s="7">
        <v>0</v>
      </c>
      <c r="X22" s="7">
        <v>0</v>
      </c>
      <c r="Y22">
        <v>0.64</v>
      </c>
      <c r="Z22" s="8">
        <v>0</v>
      </c>
      <c r="AB22">
        <v>0</v>
      </c>
      <c r="AC22">
        <v>0</v>
      </c>
      <c r="AD22">
        <v>7</v>
      </c>
      <c r="AE22">
        <v>1</v>
      </c>
      <c r="AF22">
        <v>6</v>
      </c>
      <c r="AG22">
        <v>1</v>
      </c>
      <c r="AH22">
        <v>0</v>
      </c>
      <c r="AI22" t="inlineStr">
        <is>
          <t>False</t>
        </is>
      </c>
      <c r="AJ22" s="2" t="str">
        <f>HYPERLINK("https://keepa.com/#!product/1-B000N5H2XU", "https://keepa.com/#!product/1-B000N5H2XU")</f>
      </c>
      <c r="AK22" s="2" t="str">
        <f>HYPERLINK("https://camelcamelcamel.com/search?sq=B000N5H2XU", "https://camelcamelcamel.com/search?sq=B000N5H2XU")</f>
      </c>
      <c r="AL22" t="inlineStr">
        <is>
          <t/>
        </is>
      </c>
      <c r="AM22" s="10">
        <v>45417.11111111111</v>
      </c>
      <c r="AN22" t="inlineStr">
        <is>
          <t>MAC Knife Professional series 8" Chef's knife w/dimples MTH-80</t>
        </is>
      </c>
      <c r="AO22" t="inlineStr">
        <is>
          <t>300</t>
        </is>
      </c>
      <c r="AP22" t="inlineStr">
        <is>
          <t>50</t>
        </is>
      </c>
    </row>
    <row r="23">
      <c r="A23" t="inlineStr">
        <is>
          <t>B000PJ6NWU</t>
        </is>
      </c>
      <c r="B23" t="inlineStr">
        <is>
          <t>False</t>
        </is>
      </c>
      <c r="C23" t="inlineStr">
        <is>
          <t>B000PJ6NWU</t>
        </is>
      </c>
      <c r="D23" t="inlineStr">
        <is>
          <t>Cuisinart</t>
        </is>
      </c>
      <c r="E23" t="inlineStr">
        <is>
          <t>True</t>
        </is>
      </c>
      <c r="F23" t="inlineStr">
        <is>
          <t>Cuisinart 14-Cup Replacement Carafe for Coffee Maker, DCC-2200RC</t>
        </is>
      </c>
      <c r="G23">
        <v>1</v>
      </c>
      <c r="H23" s="2" t="str">
        <f>HYPERLINK("https://www.amazon.com/dp/B000PJ6NWU", "https://www.amazon.com/dp/B000PJ6NWU")</f>
      </c>
      <c r="I23" s="3">
        <v>4845</v>
      </c>
      <c r="J23" s="4">
        <v>4.28</v>
      </c>
      <c r="K23" s="5">
        <v>0.1225</v>
      </c>
      <c r="L23" s="5">
        <v>0.2345</v>
      </c>
      <c r="M23" t="inlineStr">
        <is>
          <t>True</t>
        </is>
      </c>
      <c r="N23" t="inlineStr">
        <is>
          <t>Home &amp; Kitchen</t>
        </is>
      </c>
      <c r="O23" s="6">
        <v>3286</v>
      </c>
      <c r="P23" s="6">
        <v>2542</v>
      </c>
      <c r="Q23" s="6">
        <v>1370</v>
      </c>
      <c r="R23" s="6">
        <v>218</v>
      </c>
      <c r="S23" s="7">
        <v>18.25</v>
      </c>
      <c r="T23" s="7">
        <v>34.95</v>
      </c>
      <c r="U23">
        <v>34.24</v>
      </c>
      <c r="V23" s="8">
        <v>0</v>
      </c>
      <c r="W23" s="7">
        <v>0</v>
      </c>
      <c r="X23" s="7">
        <v>0</v>
      </c>
      <c r="Y23">
        <v>1.43</v>
      </c>
      <c r="Z23" s="9">
        <v>1</v>
      </c>
      <c r="AB23">
        <v>0</v>
      </c>
      <c r="AC23">
        <v>0</v>
      </c>
      <c r="AD23">
        <v>18</v>
      </c>
      <c r="AE23">
        <v>3</v>
      </c>
      <c r="AF23">
        <v>10</v>
      </c>
      <c r="AG23">
        <v>2</v>
      </c>
      <c r="AH23">
        <v>0</v>
      </c>
      <c r="AI23" t="inlineStr">
        <is>
          <t>False</t>
        </is>
      </c>
      <c r="AJ23" s="2" t="str">
        <f>HYPERLINK("https://keepa.com/#!product/1-B000PJ6NWU", "https://keepa.com/#!product/1-B000PJ6NWU")</f>
      </c>
      <c r="AK23" s="2" t="str">
        <f>HYPERLINK("https://camelcamelcamel.com/search?sq=B000PJ6NWU", "https://camelcamelcamel.com/search?sq=B000PJ6NWU")</f>
      </c>
      <c r="AL23" t="inlineStr">
        <is>
          <t/>
        </is>
      </c>
      <c r="AM23" s="10">
        <v>45417.11111111111</v>
      </c>
      <c r="AN23" t="inlineStr">
        <is>
          <t>Cuisinart 14-Cup Replacement Carafe for Coffee Maker, DCC-2200RC</t>
        </is>
      </c>
      <c r="AO23" t="inlineStr">
        <is>
          <t>2500</t>
        </is>
      </c>
      <c r="AP23" t="inlineStr">
        <is>
          <t>500</t>
        </is>
      </c>
    </row>
    <row r="24">
      <c r="A24" t="inlineStr">
        <is>
          <t>B000Q3F060</t>
        </is>
      </c>
      <c r="B24" t="inlineStr">
        <is>
          <t>False</t>
        </is>
      </c>
      <c r="C24" t="inlineStr">
        <is>
          <t>B000Q3F060</t>
        </is>
      </c>
      <c r="D24" t="inlineStr">
        <is>
          <t>Wilton</t>
        </is>
      </c>
      <c r="E24" t="inlineStr">
        <is>
          <t>True</t>
        </is>
      </c>
      <c r="F24" t="inlineStr">
        <is>
          <t>Wilton Recipe Right 12-Inch Pizza Pans, 2-Piece Set, Steel</t>
        </is>
      </c>
      <c r="G24">
        <v>1</v>
      </c>
      <c r="H24" s="2" t="str">
        <f>HYPERLINK("https://www.amazon.com/dp/B000Q3F060", "https://www.amazon.com/dp/B000Q3F060")</f>
      </c>
      <c r="I24" s="3">
        <v>469</v>
      </c>
      <c r="J24" s="12">
        <v>-0.35</v>
      </c>
      <c r="K24" s="13">
        <v>-0.0195</v>
      </c>
      <c r="L24" s="13">
        <v>-0.0359</v>
      </c>
      <c r="M24" t="inlineStr">
        <is>
          <t>True</t>
        </is>
      </c>
      <c r="N24" t="inlineStr">
        <is>
          <t>Kitchen &amp; Dining</t>
        </is>
      </c>
      <c r="O24" s="6">
        <v>15962</v>
      </c>
      <c r="P24" s="6">
        <v>23011</v>
      </c>
      <c r="Q24" s="6">
        <v>7002</v>
      </c>
      <c r="R24" s="6">
        <v>117</v>
      </c>
      <c r="S24" s="7">
        <v>9.75</v>
      </c>
      <c r="T24" s="7">
        <v>17.97</v>
      </c>
      <c r="U24">
        <v>24.08</v>
      </c>
      <c r="V24" s="8">
        <v>0</v>
      </c>
      <c r="W24" s="7">
        <v>0</v>
      </c>
      <c r="X24" s="7">
        <v>0</v>
      </c>
      <c r="Y24">
        <v>1.85</v>
      </c>
      <c r="Z24" s="9">
        <v>1</v>
      </c>
      <c r="AB24">
        <v>0</v>
      </c>
      <c r="AC24">
        <v>0</v>
      </c>
      <c r="AD24">
        <v>10</v>
      </c>
      <c r="AE24">
        <v>8</v>
      </c>
      <c r="AF24">
        <v>2</v>
      </c>
      <c r="AG24">
        <v>4</v>
      </c>
      <c r="AH24">
        <v>2</v>
      </c>
      <c r="AI24" t="inlineStr">
        <is>
          <t>False</t>
        </is>
      </c>
      <c r="AJ24" s="2" t="str">
        <f>HYPERLINK("https://keepa.com/#!product/1-B000Q3F060", "https://keepa.com/#!product/1-B000Q3F060")</f>
      </c>
      <c r="AK24" s="2" t="str">
        <f>HYPERLINK("https://camelcamelcamel.com/search?sq=B000Q3F060", "https://camelcamelcamel.com/search?sq=B000Q3F060")</f>
      </c>
      <c r="AL24" t="inlineStr">
        <is>
          <t/>
        </is>
      </c>
      <c r="AM24" s="10">
        <v>45417.11111111111</v>
      </c>
      <c r="AN24" t="inlineStr">
        <is>
          <t>Wilton Recipe Right 12-Inch Pizza Pans, 2-Piece Set, Steel</t>
        </is>
      </c>
      <c r="AO24" t="inlineStr">
        <is>
          <t>1300</t>
        </is>
      </c>
      <c r="AP24" t="inlineStr">
        <is>
          <t>648</t>
        </is>
      </c>
    </row>
    <row r="25">
      <c r="A25" t="inlineStr">
        <is>
          <t>B000QR8SM4</t>
        </is>
      </c>
      <c r="B25" t="inlineStr">
        <is>
          <t>False</t>
        </is>
      </c>
      <c r="C25" t="inlineStr">
        <is>
          <t>B000QR8SM4</t>
        </is>
      </c>
      <c r="D25" t="inlineStr">
        <is>
          <t>Glade</t>
        </is>
      </c>
      <c r="E25" t="inlineStr">
        <is>
          <t>False</t>
        </is>
      </c>
      <c r="F25" t="inlineStr">
        <is>
          <t>Glade Carpet &amp; Room Deodorizer-Berry Splash-32 oz.</t>
        </is>
      </c>
      <c r="G25">
        <v>1</v>
      </c>
      <c r="H25" s="2" t="str">
        <f>HYPERLINK("https://www.amazon.com/dp/B000QR8SM4", "https://www.amazon.com/dp/B000QR8SM4")</f>
      </c>
      <c r="I25" s="3">
        <v>116</v>
      </c>
      <c r="J25" s="12">
        <v>-6.33</v>
      </c>
      <c r="K25" s="13">
        <v>-0.41159999999999997</v>
      </c>
      <c r="L25" s="13">
        <v>-0.4689</v>
      </c>
      <c r="M25" t="inlineStr">
        <is>
          <t>True</t>
        </is>
      </c>
      <c r="N25" t="inlineStr">
        <is>
          <t>Health &amp; Household</t>
        </is>
      </c>
      <c r="O25" s="6">
        <v>93437</v>
      </c>
      <c r="P25" s="6">
        <v>83749</v>
      </c>
      <c r="Q25" s="6">
        <v>53767</v>
      </c>
      <c r="R25" s="6">
        <v>142</v>
      </c>
      <c r="S25" s="7">
        <v>13.5</v>
      </c>
      <c r="T25" s="7">
        <v>15.38</v>
      </c>
      <c r="U25">
        <v>15.79</v>
      </c>
      <c r="V25" s="8">
        <v>0</v>
      </c>
      <c r="W25" s="7">
        <v>0</v>
      </c>
      <c r="X25" s="7">
        <v>0</v>
      </c>
      <c r="Y25">
        <v>2.12</v>
      </c>
      <c r="Z25" s="8">
        <v>0</v>
      </c>
      <c r="AB25">
        <v>0</v>
      </c>
      <c r="AC25">
        <v>0</v>
      </c>
      <c r="AD25">
        <v>21</v>
      </c>
      <c r="AE25">
        <v>10</v>
      </c>
      <c r="AF25">
        <v>11</v>
      </c>
      <c r="AG25">
        <v>1</v>
      </c>
      <c r="AH25">
        <v>0</v>
      </c>
      <c r="AI25" t="inlineStr">
        <is>
          <t>False</t>
        </is>
      </c>
      <c r="AJ25" s="2" t="str">
        <f>HYPERLINK("https://keepa.com/#!product/1-B000QR8SM4", "https://keepa.com/#!product/1-B000QR8SM4")</f>
      </c>
      <c r="AK25" s="2" t="str">
        <f>HYPERLINK("https://camelcamelcamel.com/search?sq=B000QR8SM4", "https://camelcamelcamel.com/search?sq=B000QR8SM4")</f>
      </c>
      <c r="AL25" t="inlineStr">
        <is>
          <t/>
        </is>
      </c>
      <c r="AM25" s="10">
        <v>45417.11111111111</v>
      </c>
      <c r="AN25" t="inlineStr">
        <is>
          <t>Glade Carpet &amp; Room Deodorizer-Berry Splash-32 oz.</t>
        </is>
      </c>
      <c r="AO25" t="inlineStr">
        <is>
          <t>252</t>
        </is>
      </c>
      <c r="AP25" t="inlineStr">
        <is>
          <t>TAKE ALL</t>
        </is>
      </c>
    </row>
    <row r="26">
      <c r="A26" t="inlineStr">
        <is>
          <t>B000QSTBNS</t>
        </is>
      </c>
      <c r="B26" t="inlineStr">
        <is>
          <t>False</t>
        </is>
      </c>
      <c r="C26" t="inlineStr">
        <is>
          <t>B000QSTBNS</t>
        </is>
      </c>
      <c r="D26" t="inlineStr">
        <is>
          <t>Optimum Nutrition</t>
        </is>
      </c>
      <c r="E26" t="inlineStr">
        <is>
          <t>False</t>
        </is>
      </c>
      <c r="F26" t="inlineStr">
        <is>
          <t>Optimum Nutrition Gold Standard 100% Whey Protein Powder, Extreme Milk Chocolate, 5 Pound (Packaging May Vary)</t>
        </is>
      </c>
      <c r="G26">
        <v>1</v>
      </c>
      <c r="H26" s="2" t="str">
        <f>HYPERLINK("https://www.amazon.com/dp/B000QSTBNS", "https://www.amazon.com/dp/B000QSTBNS")</f>
      </c>
      <c r="I26" s="3">
        <v>114599</v>
      </c>
      <c r="J26" s="4">
        <v>17.4</v>
      </c>
      <c r="K26" s="5">
        <v>0.20739999999999997</v>
      </c>
      <c r="L26" s="15">
        <v>0.3803</v>
      </c>
      <c r="M26" t="inlineStr">
        <is>
          <t>True</t>
        </is>
      </c>
      <c r="N26" t="inlineStr">
        <is>
          <t>Health &amp; Household</t>
        </is>
      </c>
      <c r="O26" s="6">
        <v>12</v>
      </c>
      <c r="P26" s="6">
        <v>10</v>
      </c>
      <c r="Q26" s="6">
        <v>3</v>
      </c>
      <c r="R26" s="6">
        <v>131</v>
      </c>
      <c r="S26" s="7">
        <v>45.75</v>
      </c>
      <c r="T26" s="7">
        <v>83.89</v>
      </c>
      <c r="U26">
        <v>82.12</v>
      </c>
      <c r="V26" s="8">
        <v>0</v>
      </c>
      <c r="W26" s="7">
        <v>0</v>
      </c>
      <c r="X26" s="7">
        <v>0</v>
      </c>
      <c r="Y26">
        <v>5.62</v>
      </c>
      <c r="Z26" s="9">
        <v>1</v>
      </c>
      <c r="AB26">
        <v>0</v>
      </c>
      <c r="AC26">
        <v>0</v>
      </c>
      <c r="AD26">
        <v>8</v>
      </c>
      <c r="AE26">
        <v>2</v>
      </c>
      <c r="AF26">
        <v>6</v>
      </c>
      <c r="AG26">
        <v>2</v>
      </c>
      <c r="AH26">
        <v>38</v>
      </c>
      <c r="AI26" t="inlineStr">
        <is>
          <t>False</t>
        </is>
      </c>
      <c r="AJ26" s="2" t="str">
        <f>HYPERLINK("https://keepa.com/#!product/1-B000QSTBNS", "https://keepa.com/#!product/1-B000QSTBNS")</f>
      </c>
      <c r="AK26" s="2" t="str">
        <f>HYPERLINK("https://camelcamelcamel.com/search?sq=B000QSTBNS", "https://camelcamelcamel.com/search?sq=B000QSTBNS")</f>
      </c>
      <c r="AL26" t="inlineStr">
        <is>
          <t/>
        </is>
      </c>
      <c r="AM26" s="10">
        <v>45417.11111111111</v>
      </c>
      <c r="AN26" t="inlineStr">
        <is>
          <t>Optimum Nutrition HOT Offer</t>
        </is>
      </c>
      <c r="AO26" t="inlineStr">
        <is>
          <t>496</t>
        </is>
      </c>
      <c r="AP26" t="inlineStr">
        <is>
          <t>TAKE ALL</t>
        </is>
      </c>
    </row>
    <row r="27">
      <c r="A27" t="inlineStr">
        <is>
          <t>B000SE5SY6</t>
        </is>
      </c>
      <c r="B27" t="inlineStr">
        <is>
          <t>False</t>
        </is>
      </c>
      <c r="C27" t="inlineStr">
        <is>
          <t>B000SE5SY6</t>
        </is>
      </c>
      <c r="D27" t="inlineStr">
        <is>
          <t>NOW</t>
        </is>
      </c>
      <c r="E27" t="inlineStr">
        <is>
          <t>False</t>
        </is>
      </c>
      <c r="F27" t="inlineStr">
        <is>
          <t>NOW Supplements, Ultra Omega-3 Molecularly Distilled and Enteric Coated, 180 Softgels</t>
        </is>
      </c>
      <c r="G27">
        <v>1</v>
      </c>
      <c r="H27" s="2" t="str">
        <f>HYPERLINK("https://www.amazon.com/dp/B000SE5SY6", "https://www.amazon.com/dp/B000SE5SY6")</f>
      </c>
      <c r="I27" s="3">
        <v>3392</v>
      </c>
      <c r="J27" s="11">
        <v>3.49</v>
      </c>
      <c r="K27" s="5">
        <v>0.1402</v>
      </c>
      <c r="L27" s="5">
        <v>0.2585</v>
      </c>
      <c r="M27" t="inlineStr">
        <is>
          <t>True</t>
        </is>
      </c>
      <c r="N27" t="inlineStr">
        <is>
          <t>Health &amp; Household</t>
        </is>
      </c>
      <c r="O27" s="6">
        <v>7844</v>
      </c>
      <c r="P27" s="6">
        <v>9237</v>
      </c>
      <c r="Q27" s="6">
        <v>7027</v>
      </c>
      <c r="R27" s="6">
        <v>268</v>
      </c>
      <c r="S27" s="7">
        <v>13.5</v>
      </c>
      <c r="T27" s="7">
        <v>24.9</v>
      </c>
      <c r="U27">
        <v>24.88</v>
      </c>
      <c r="V27" s="8">
        <v>0</v>
      </c>
      <c r="W27" s="7">
        <v>0</v>
      </c>
      <c r="X27" s="7">
        <v>0</v>
      </c>
      <c r="Y27">
        <v>0.75</v>
      </c>
      <c r="Z27" s="9">
        <v>1</v>
      </c>
      <c r="AB27">
        <v>0</v>
      </c>
      <c r="AC27">
        <v>0</v>
      </c>
      <c r="AD27">
        <v>20</v>
      </c>
      <c r="AE27">
        <v>9</v>
      </c>
      <c r="AF27">
        <v>11</v>
      </c>
      <c r="AG27">
        <v>7</v>
      </c>
      <c r="AH27">
        <v>0</v>
      </c>
      <c r="AI27" t="inlineStr">
        <is>
          <t>False</t>
        </is>
      </c>
      <c r="AJ27" s="2" t="str">
        <f>HYPERLINK("https://keepa.com/#!product/1-B000SE5SY6", "https://keepa.com/#!product/1-B000SE5SY6")</f>
      </c>
      <c r="AK27" s="2" t="str">
        <f>HYPERLINK("https://camelcamelcamel.com/search?sq=B000SE5SY6", "https://camelcamelcamel.com/search?sq=B000SE5SY6")</f>
      </c>
      <c r="AL27" t="inlineStr">
        <is>
          <t/>
        </is>
      </c>
      <c r="AM27" s="10">
        <v>45417.11111111111</v>
      </c>
      <c r="AN27" t="inlineStr">
        <is>
          <t>NOW Supplements, Ultra Omega-3 Molecularly Distilled and Enteric Coated, 180 Softgels</t>
        </is>
      </c>
      <c r="AO27" t="inlineStr">
        <is>
          <t>1000</t>
        </is>
      </c>
      <c r="AP27" t="inlineStr">
        <is>
          <t>500</t>
        </is>
      </c>
    </row>
    <row r="28">
      <c r="A28" t="inlineStr">
        <is>
          <t>B000TVWFEY</t>
        </is>
      </c>
      <c r="B28" t="inlineStr">
        <is>
          <t>False</t>
        </is>
      </c>
      <c r="C28" t="inlineStr">
        <is>
          <t>B000TVWFEY</t>
        </is>
      </c>
      <c r="D28" t="inlineStr">
        <is>
          <t>Cuisinart</t>
        </is>
      </c>
      <c r="E28" t="inlineStr">
        <is>
          <t>True</t>
        </is>
      </c>
      <c r="F28" t="inlineStr">
        <is>
          <t>Cuisinart HM-50 Power Advantage 5-Speed Hand Mixer, White</t>
        </is>
      </c>
      <c r="G28">
        <v>1</v>
      </c>
      <c r="H28" s="2" t="str">
        <f>HYPERLINK("https://www.amazon.com/dp/B000TVWFEY", "https://www.amazon.com/dp/B000TVWFEY")</f>
      </c>
      <c r="I28" s="3">
        <v>3894</v>
      </c>
      <c r="J28" s="11">
        <v>3.1</v>
      </c>
      <c r="K28" s="5">
        <v>0.0919</v>
      </c>
      <c r="L28" s="5">
        <v>0.1653</v>
      </c>
      <c r="M28" t="inlineStr">
        <is>
          <t>True</t>
        </is>
      </c>
      <c r="N28" t="inlineStr">
        <is>
          <t>Kitchen &amp; Dining</t>
        </is>
      </c>
      <c r="O28" s="6">
        <v>1262</v>
      </c>
      <c r="P28" s="6">
        <v>1055</v>
      </c>
      <c r="Q28" s="6">
        <v>387</v>
      </c>
      <c r="R28" s="6">
        <v>153</v>
      </c>
      <c r="S28" s="7">
        <v>18.75</v>
      </c>
      <c r="T28" s="7">
        <v>33.72</v>
      </c>
      <c r="U28">
        <v>35.82</v>
      </c>
      <c r="V28" s="8">
        <v>0</v>
      </c>
      <c r="W28" s="7">
        <v>0</v>
      </c>
      <c r="X28" s="7">
        <v>0</v>
      </c>
      <c r="Y28">
        <v>2.82</v>
      </c>
      <c r="Z28" s="9">
        <v>1</v>
      </c>
      <c r="AB28">
        <v>0</v>
      </c>
      <c r="AC28">
        <v>0</v>
      </c>
      <c r="AD28">
        <v>18</v>
      </c>
      <c r="AE28">
        <v>3</v>
      </c>
      <c r="AF28">
        <v>8</v>
      </c>
      <c r="AG28">
        <v>2</v>
      </c>
      <c r="AH28">
        <v>17</v>
      </c>
      <c r="AI28" t="inlineStr">
        <is>
          <t>False</t>
        </is>
      </c>
      <c r="AJ28" s="2" t="str">
        <f>HYPERLINK("https://keepa.com/#!product/1-B000TVWFEY", "https://keepa.com/#!product/1-B000TVWFEY")</f>
      </c>
      <c r="AK28" s="2" t="str">
        <f>HYPERLINK("https://camelcamelcamel.com/search?sq=B000TVWFEY", "https://camelcamelcamel.com/search?sq=B000TVWFEY")</f>
      </c>
      <c r="AL28" t="inlineStr">
        <is>
          <t/>
        </is>
      </c>
      <c r="AM28" s="10">
        <v>45417.11111111111</v>
      </c>
      <c r="AN28" t="inlineStr">
        <is>
          <t>Cuisinart HM-50 Power Advantage 5-Speed Hand Mixer, White</t>
        </is>
      </c>
      <c r="AO28" t="inlineStr">
        <is>
          <t>2500</t>
        </is>
      </c>
      <c r="AP28" t="inlineStr">
        <is>
          <t>500</t>
        </is>
      </c>
    </row>
    <row r="29">
      <c r="A29" t="inlineStr">
        <is>
          <t>B000UPOJ5W</t>
        </is>
      </c>
      <c r="B29" t="inlineStr">
        <is>
          <t>False</t>
        </is>
      </c>
      <c r="C29" t="inlineStr">
        <is>
          <t>B000UPOJ5W</t>
        </is>
      </c>
      <c r="D29" t="inlineStr">
        <is>
          <t>Vinturi</t>
        </is>
      </c>
      <c r="E29" t="inlineStr">
        <is>
          <t>False</t>
        </is>
      </c>
      <c r="F29" t="inlineStr">
        <is>
          <t>Vinturi Red Wine Aerator Includes Base Enhanced Flavors with Smoother Finish, Black</t>
        </is>
      </c>
      <c r="G29">
        <v>1</v>
      </c>
      <c r="H29" s="2" t="str">
        <f>HYPERLINK("https://www.amazon.com/dp/B000UPOJ5W", "https://www.amazon.com/dp/B000UPOJ5W")</f>
      </c>
      <c r="I29" s="3">
        <v>812</v>
      </c>
      <c r="J29" s="11">
        <v>3.46</v>
      </c>
      <c r="K29" s="5">
        <v>0.1013</v>
      </c>
      <c r="L29" s="5">
        <v>0.18960000000000002</v>
      </c>
      <c r="M29" t="inlineStr">
        <is>
          <t>True</t>
        </is>
      </c>
      <c r="N29" t="inlineStr">
        <is>
          <t>Kitchen &amp; Dining</t>
        </is>
      </c>
      <c r="O29" s="6">
        <v>9092</v>
      </c>
      <c r="P29" s="6">
        <v>8533</v>
      </c>
      <c r="Q29" s="6">
        <v>4356</v>
      </c>
      <c r="R29" s="6">
        <v>198</v>
      </c>
      <c r="S29" s="7">
        <v>18.25</v>
      </c>
      <c r="T29" s="7">
        <v>34.14</v>
      </c>
      <c r="U29">
        <v>33.88</v>
      </c>
      <c r="V29" s="8">
        <v>0</v>
      </c>
      <c r="W29" s="7">
        <v>0</v>
      </c>
      <c r="X29" s="7">
        <v>0</v>
      </c>
      <c r="Y29">
        <v>2.91</v>
      </c>
      <c r="Z29" s="9">
        <v>0.57</v>
      </c>
      <c r="AB29">
        <v>0</v>
      </c>
      <c r="AC29">
        <v>0</v>
      </c>
      <c r="AD29">
        <v>5</v>
      </c>
      <c r="AE29">
        <v>1</v>
      </c>
      <c r="AF29">
        <v>4</v>
      </c>
      <c r="AG29">
        <v>1</v>
      </c>
      <c r="AH29">
        <v>3</v>
      </c>
      <c r="AI29" t="inlineStr">
        <is>
          <t>False</t>
        </is>
      </c>
      <c r="AJ29" s="2" t="str">
        <f>HYPERLINK("https://keepa.com/#!product/1-B000UPOJ5W", "https://keepa.com/#!product/1-B000UPOJ5W")</f>
      </c>
      <c r="AK29" s="2" t="str">
        <f>HYPERLINK("https://camelcamelcamel.com/search?sq=B000UPOJ5W", "https://camelcamelcamel.com/search?sq=B000UPOJ5W")</f>
      </c>
      <c r="AL29" t="inlineStr">
        <is>
          <t/>
        </is>
      </c>
      <c r="AM29" s="10">
        <v>45417.11111111111</v>
      </c>
      <c r="AN29" t="inlineStr">
        <is>
          <t>Vinturi Red Wine Aerator Includes Base Enhanced Flavors with Smoother Finish, Black</t>
        </is>
      </c>
      <c r="AO29" t="inlineStr">
        <is>
          <t>300</t>
        </is>
      </c>
      <c r="AP29" t="inlineStr">
        <is>
          <t>TAKE ALL</t>
        </is>
      </c>
    </row>
    <row r="30">
      <c r="A30" t="inlineStr">
        <is>
          <t>B000UZTWMC</t>
        </is>
      </c>
      <c r="B30" t="inlineStr">
        <is>
          <t>False</t>
        </is>
      </c>
      <c r="C30" t="inlineStr">
        <is>
          <t>B000UZTWMC</t>
        </is>
      </c>
      <c r="D30" t="inlineStr">
        <is>
          <t>Circulon</t>
        </is>
      </c>
      <c r="E30" t="inlineStr">
        <is>
          <t>False</t>
        </is>
      </c>
      <c r="F30" t="inlineStr">
        <is>
          <t>Circulon Total Bakeware Nonstick Cookie Baking Sheet, 10" x 15", Dark Gray</t>
        </is>
      </c>
      <c r="G30">
        <v>1</v>
      </c>
      <c r="H30" s="2" t="str">
        <f>HYPERLINK("https://www.amazon.com/dp/B000UZTWMC", "https://www.amazon.com/dp/B000UZTWMC")</f>
      </c>
      <c r="I30" s="3">
        <v>400</v>
      </c>
      <c r="J30" s="11">
        <v>0.93</v>
      </c>
      <c r="K30" s="5">
        <v>0.0388</v>
      </c>
      <c r="L30" s="5">
        <v>0.0775</v>
      </c>
      <c r="M30" t="inlineStr">
        <is>
          <t>True</t>
        </is>
      </c>
      <c r="N30" t="inlineStr">
        <is>
          <t>Kitchen &amp; Dining</t>
        </is>
      </c>
      <c r="O30" s="6">
        <v>18624</v>
      </c>
      <c r="P30" s="6">
        <v>14432</v>
      </c>
      <c r="Q30" s="6">
        <v>5848</v>
      </c>
      <c r="R30" s="6">
        <v>121</v>
      </c>
      <c r="S30" s="7">
        <v>12</v>
      </c>
      <c r="T30" s="7">
        <v>24</v>
      </c>
      <c r="U30">
        <v>20.04</v>
      </c>
      <c r="V30" s="8">
        <v>0</v>
      </c>
      <c r="W30" s="7">
        <v>0</v>
      </c>
      <c r="X30" s="7">
        <v>0</v>
      </c>
      <c r="Y30">
        <v>4.15</v>
      </c>
      <c r="Z30" s="8">
        <v>0</v>
      </c>
      <c r="AB30">
        <v>0</v>
      </c>
      <c r="AC30">
        <v>0</v>
      </c>
      <c r="AD30">
        <v>3</v>
      </c>
      <c r="AE30">
        <v>2</v>
      </c>
      <c r="AF30">
        <v>1</v>
      </c>
      <c r="AG30">
        <v>0</v>
      </c>
      <c r="AH30">
        <v>3</v>
      </c>
      <c r="AI30" t="inlineStr">
        <is>
          <t>False</t>
        </is>
      </c>
      <c r="AJ30" s="2" t="str">
        <f>HYPERLINK("https://keepa.com/#!product/1-B000UZTWMC", "https://keepa.com/#!product/1-B000UZTWMC")</f>
      </c>
      <c r="AK30" s="2" t="str">
        <f>HYPERLINK("https://camelcamelcamel.com/search?sq=B000UZTWMC", "https://camelcamelcamel.com/search?sq=B000UZTWMC")</f>
      </c>
      <c r="AL30" t="inlineStr">
        <is>
          <t/>
        </is>
      </c>
      <c r="AM30" s="10">
        <v>45417.11111111111</v>
      </c>
      <c r="AN30" t="inlineStr">
        <is>
          <t>Circulon Total Bakeware Nonstick Cookie Baking Sheet, 10" x 15", Dark Gray</t>
        </is>
      </c>
      <c r="AO30" t="inlineStr">
        <is>
          <t>300</t>
        </is>
      </c>
      <c r="AP30" t="inlineStr">
        <is>
          <t>TAKE ALL</t>
        </is>
      </c>
    </row>
    <row r="31">
      <c r="A31" t="inlineStr">
        <is>
          <t>B000YG1JC8</t>
        </is>
      </c>
      <c r="B31" t="inlineStr">
        <is>
          <t>False</t>
        </is>
      </c>
      <c r="C31" t="inlineStr">
        <is>
          <t>B000YG1JC8</t>
        </is>
      </c>
      <c r="D31" t="inlineStr">
        <is>
          <t>Lipton</t>
        </is>
      </c>
      <c r="E31" t="inlineStr">
        <is>
          <t>False</t>
        </is>
      </c>
      <c r="F31" t="inlineStr">
        <is>
          <t>Lipton Black Tea</t>
        </is>
      </c>
      <c r="G31">
        <v>1</v>
      </c>
      <c r="H31" s="2" t="str">
        <f>HYPERLINK("https://www.amazon.com/dp/B000YG1JC8", "https://www.amazon.com/dp/B000YG1JC8")</f>
      </c>
      <c r="I31" s="3">
        <v>4196</v>
      </c>
      <c r="J31" s="12">
        <v>-4.54</v>
      </c>
      <c r="K31" s="13">
        <v>-1.0110999999999999</v>
      </c>
      <c r="L31" s="13">
        <v>-0.8648</v>
      </c>
      <c r="M31" t="inlineStr">
        <is>
          <t>True</t>
        </is>
      </c>
      <c r="N31" t="inlineStr">
        <is>
          <t>Grocery &amp; Gourmet Food</t>
        </is>
      </c>
      <c r="O31" s="6">
        <v>1436</v>
      </c>
      <c r="P31" s="6">
        <v>1337</v>
      </c>
      <c r="Q31" s="6">
        <v>914</v>
      </c>
      <c r="R31" s="6">
        <v>418</v>
      </c>
      <c r="S31" s="7">
        <v>5.25</v>
      </c>
      <c r="T31" s="7">
        <v>4.49</v>
      </c>
      <c r="U31">
        <v>4.49</v>
      </c>
      <c r="V31" s="8">
        <v>0</v>
      </c>
      <c r="W31" s="7">
        <v>0</v>
      </c>
      <c r="X31" s="7">
        <v>0</v>
      </c>
      <c r="Y31">
        <v>0.4</v>
      </c>
      <c r="Z31" s="8">
        <v>0</v>
      </c>
      <c r="AB31">
        <v>0</v>
      </c>
      <c r="AC31">
        <v>0</v>
      </c>
      <c r="AD31">
        <v>11</v>
      </c>
      <c r="AE31">
        <v>7</v>
      </c>
      <c r="AF31">
        <v>4</v>
      </c>
      <c r="AG31">
        <v>1</v>
      </c>
      <c r="AH31">
        <v>21</v>
      </c>
      <c r="AI31" t="inlineStr">
        <is>
          <t>False</t>
        </is>
      </c>
      <c r="AJ31" s="2" t="str">
        <f>HYPERLINK("https://keepa.com/#!product/1-B000YG1JC8", "https://keepa.com/#!product/1-B000YG1JC8")</f>
      </c>
      <c r="AK31" s="2" t="str">
        <f>HYPERLINK("https://camelcamelcamel.com/search?sq=B000YG1JC8", "https://camelcamelcamel.com/search?sq=B000YG1JC8")</f>
      </c>
      <c r="AL31" t="inlineStr">
        <is>
          <t/>
        </is>
      </c>
      <c r="AM31" s="10">
        <v>45417.11111111111</v>
      </c>
      <c r="AN31" t="inlineStr">
        <is>
          <t>Lipton Black Tea Bags, Hot or Iced, Can Support Heart Health, 50 Count</t>
        </is>
      </c>
      <c r="AO31" t="inlineStr">
        <is>
          <t>1632</t>
        </is>
      </c>
      <c r="AP31" t="inlineStr">
        <is>
          <t>TAKE ALL</t>
        </is>
      </c>
    </row>
    <row r="32">
      <c r="A32" t="inlineStr">
        <is>
          <t>B0013OSPLI</t>
        </is>
      </c>
      <c r="B32" t="inlineStr">
        <is>
          <t>False</t>
        </is>
      </c>
      <c r="C32" t="inlineStr">
        <is>
          <t>B0013OSPLI</t>
        </is>
      </c>
      <c r="D32" t="inlineStr">
        <is>
          <t>NOW</t>
        </is>
      </c>
      <c r="E32" t="inlineStr">
        <is>
          <t>False</t>
        </is>
      </c>
      <c r="F32" t="inlineStr">
        <is>
          <t>NOW Supplements, Prostate Support, Prostate Support, with Standardized Saw Palmetto, Stinging Nettle &amp; Lycopene, 90 Softgels</t>
        </is>
      </c>
      <c r="G32">
        <v>1</v>
      </c>
      <c r="H32" s="2" t="str">
        <f>HYPERLINK("https://www.amazon.com/dp/B0013OSPLI", "https://www.amazon.com/dp/B0013OSPLI")</f>
      </c>
      <c r="I32" s="3">
        <v>1888</v>
      </c>
      <c r="J32" s="11">
        <v>2.63</v>
      </c>
      <c r="K32" s="5">
        <v>0.1537</v>
      </c>
      <c r="L32" s="15">
        <v>0.32880000000000004</v>
      </c>
      <c r="M32" t="inlineStr">
        <is>
          <t>True</t>
        </is>
      </c>
      <c r="N32" t="inlineStr">
        <is>
          <t>Health &amp; Household</t>
        </is>
      </c>
      <c r="O32" s="6">
        <v>13391</v>
      </c>
      <c r="P32" s="6">
        <v>12902</v>
      </c>
      <c r="Q32" s="6">
        <v>10038</v>
      </c>
      <c r="R32" s="6">
        <v>142</v>
      </c>
      <c r="S32" s="7">
        <v>8</v>
      </c>
      <c r="T32" s="7">
        <v>17.11</v>
      </c>
      <c r="U32">
        <v>17.07</v>
      </c>
      <c r="V32" s="8">
        <v>0</v>
      </c>
      <c r="W32" s="7">
        <v>0</v>
      </c>
      <c r="X32" s="7">
        <v>0</v>
      </c>
      <c r="Y32">
        <v>0.35</v>
      </c>
      <c r="Z32" s="9">
        <v>1</v>
      </c>
      <c r="AB32">
        <v>0</v>
      </c>
      <c r="AC32">
        <v>0</v>
      </c>
      <c r="AD32">
        <v>17</v>
      </c>
      <c r="AE32">
        <v>1</v>
      </c>
      <c r="AF32">
        <v>16</v>
      </c>
      <c r="AG32">
        <v>1</v>
      </c>
      <c r="AH32">
        <v>2</v>
      </c>
      <c r="AI32" t="inlineStr">
        <is>
          <t>False</t>
        </is>
      </c>
      <c r="AJ32" s="2" t="str">
        <f>HYPERLINK("https://keepa.com/#!product/1-B0013OSPLI", "https://keepa.com/#!product/1-B0013OSPLI")</f>
      </c>
      <c r="AK32" s="2" t="str">
        <f>HYPERLINK("https://camelcamelcamel.com/search?sq=B0013OSPLI", "https://camelcamelcamel.com/search?sq=B0013OSPLI")</f>
      </c>
      <c r="AL32" t="inlineStr">
        <is>
          <t/>
        </is>
      </c>
      <c r="AM32" s="10">
        <v>45417.11111111111</v>
      </c>
      <c r="AN32" t="inlineStr">
        <is>
          <t>NOW Supplements, Prostate Support, Prostate Support, with Standardized Saw Palmetto, Stinging Nettle &amp; Lycopene, 90 Softgels</t>
        </is>
      </c>
      <c r="AO32" t="inlineStr">
        <is>
          <t>500</t>
        </is>
      </c>
      <c r="AP32" t="inlineStr">
        <is>
          <t>TAKE ALL</t>
        </is>
      </c>
    </row>
    <row r="33">
      <c r="A33" t="inlineStr">
        <is>
          <t>B0013OXAE0</t>
        </is>
      </c>
      <c r="B33" t="inlineStr">
        <is>
          <t>False</t>
        </is>
      </c>
      <c r="C33" t="inlineStr">
        <is>
          <t>B0013OXAE0</t>
        </is>
      </c>
      <c r="D33" t="inlineStr">
        <is>
          <t>Jarrow Formulas</t>
        </is>
      </c>
      <c r="E33" t="inlineStr">
        <is>
          <t>False</t>
        </is>
      </c>
      <c r="F33" t="inlineStr">
        <is>
          <t>Jarrow Formulas Quercetin 500 mg - Bioflavonoid - Quercetin Dietary Supplement - 100 Servings (Veggie Caps) - Supports Cellular Function, Cardiovascular Health, Immune Health &amp; Response</t>
        </is>
      </c>
      <c r="G33">
        <v>1</v>
      </c>
      <c r="H33" s="2" t="str">
        <f>HYPERLINK("https://www.amazon.com/dp/B0013OXAE0", "https://www.amazon.com/dp/B0013OXAE0")</f>
      </c>
      <c r="I33" s="3">
        <v>1583</v>
      </c>
      <c r="J33" s="4">
        <v>6.65</v>
      </c>
      <c r="K33" s="5">
        <v>0.2087</v>
      </c>
      <c r="L33" s="15">
        <v>0.397</v>
      </c>
      <c r="M33" t="inlineStr">
        <is>
          <t>True</t>
        </is>
      </c>
      <c r="N33" t="inlineStr">
        <is>
          <t>Health &amp; Household</t>
        </is>
      </c>
      <c r="O33" s="6">
        <v>15621</v>
      </c>
      <c r="P33" s="6">
        <v>10288</v>
      </c>
      <c r="Q33" s="6">
        <v>4572</v>
      </c>
      <c r="R33" s="6">
        <v>211</v>
      </c>
      <c r="S33" s="7">
        <v>16.75</v>
      </c>
      <c r="T33" s="7">
        <v>31.87</v>
      </c>
      <c r="U33">
        <v>24.94</v>
      </c>
      <c r="V33" s="8">
        <v>0</v>
      </c>
      <c r="W33" s="7">
        <v>0</v>
      </c>
      <c r="X33" s="7">
        <v>0</v>
      </c>
      <c r="Y33">
        <v>0.24</v>
      </c>
      <c r="Z33" s="9">
        <v>1</v>
      </c>
      <c r="AB33">
        <v>0</v>
      </c>
      <c r="AC33">
        <v>0</v>
      </c>
      <c r="AD33">
        <v>9</v>
      </c>
      <c r="AE33">
        <v>6</v>
      </c>
      <c r="AF33">
        <v>3</v>
      </c>
      <c r="AG33">
        <v>6</v>
      </c>
      <c r="AH33">
        <v>0</v>
      </c>
      <c r="AI33" t="inlineStr">
        <is>
          <t>False</t>
        </is>
      </c>
      <c r="AJ33" s="2" t="str">
        <f>HYPERLINK("https://keepa.com/#!product/1-B0013OXAE0", "https://keepa.com/#!product/1-B0013OXAE0")</f>
      </c>
      <c r="AK33" s="2" t="str">
        <f>HYPERLINK("https://camelcamelcamel.com/search?sq=B0013OXAE0", "https://camelcamelcamel.com/search?sq=B0013OXAE0")</f>
      </c>
      <c r="AL33" t="inlineStr">
        <is>
          <t/>
        </is>
      </c>
      <c r="AM33" s="10">
        <v>45417.11111111111</v>
      </c>
      <c r="AN33" t="inlineStr">
        <is>
          <t>Jarrow Formulas Quercetin 500 mg - Bioflavonoid - Quercetin Dietary Supplement - 100 Servings (Veggie Caps) - Supports Cellular Function, Cardiovascular Health, Immune Health &amp; Response</t>
        </is>
      </c>
      <c r="AO33" t="inlineStr">
        <is>
          <t>1000</t>
        </is>
      </c>
      <c r="AP33" t="inlineStr">
        <is>
          <t>TAKE ALL</t>
        </is>
      </c>
    </row>
    <row r="34">
      <c r="A34" t="inlineStr">
        <is>
          <t>B0015QSUNC</t>
        </is>
      </c>
      <c r="B34" t="inlineStr">
        <is>
          <t>False</t>
        </is>
      </c>
      <c r="C34" t="inlineStr">
        <is>
          <t>B0015QSUNC</t>
        </is>
      </c>
      <c r="D34" t="inlineStr">
        <is>
          <t>BSN</t>
        </is>
      </c>
      <c r="E34" t="inlineStr">
        <is>
          <t>False</t>
        </is>
      </c>
      <c r="F34" t="inlineStr">
        <is>
          <t>BSN TRUE-MASS Weight Gainer, Muscle Mass Gainer Protein Powder, Cookies &amp; Cream, 5.82 Pound</t>
        </is>
      </c>
      <c r="G34">
        <v>1</v>
      </c>
      <c r="H34" s="2" t="str">
        <f>HYPERLINK("https://www.amazon.com/dp/B0015QSUNC", "https://www.amazon.com/dp/B0015QSUNC")</f>
      </c>
      <c r="I34" s="3">
        <v>1887</v>
      </c>
      <c r="J34" s="4">
        <v>18.76</v>
      </c>
      <c r="K34" s="5">
        <v>0.2502</v>
      </c>
      <c r="L34" s="15">
        <v>0.514</v>
      </c>
      <c r="M34" t="inlineStr">
        <is>
          <t>True</t>
        </is>
      </c>
      <c r="N34" t="inlineStr">
        <is>
          <t>Health &amp; Household</t>
        </is>
      </c>
      <c r="O34" s="6">
        <v>13406</v>
      </c>
      <c r="P34" s="6">
        <v>12822</v>
      </c>
      <c r="Q34" s="6">
        <v>1673</v>
      </c>
      <c r="R34" s="6">
        <v>144</v>
      </c>
      <c r="S34" s="7">
        <v>36.5</v>
      </c>
      <c r="T34" s="7">
        <v>74.99</v>
      </c>
      <c r="U34">
        <v>69.18</v>
      </c>
      <c r="V34" s="8">
        <v>0</v>
      </c>
      <c r="W34" s="7">
        <v>0</v>
      </c>
      <c r="X34" s="7">
        <v>0</v>
      </c>
      <c r="Y34">
        <v>6.59</v>
      </c>
      <c r="Z34" s="9">
        <v>0.5</v>
      </c>
      <c r="AB34">
        <v>0</v>
      </c>
      <c r="AC34">
        <v>0</v>
      </c>
      <c r="AD34">
        <v>2</v>
      </c>
      <c r="AE34">
        <v>1</v>
      </c>
      <c r="AF34">
        <v>1</v>
      </c>
      <c r="AG34">
        <v>1</v>
      </c>
      <c r="AH34">
        <v>7</v>
      </c>
      <c r="AI34" t="inlineStr">
        <is>
          <t>False</t>
        </is>
      </c>
      <c r="AJ34" s="2" t="str">
        <f>HYPERLINK("https://keepa.com/#!product/1-B0015QSUNC", "https://keepa.com/#!product/1-B0015QSUNC")</f>
      </c>
      <c r="AK34" s="2" t="str">
        <f>HYPERLINK("https://camelcamelcamel.com/search?sq=B0015QSUNC", "https://camelcamelcamel.com/search?sq=B0015QSUNC")</f>
      </c>
      <c r="AL34" t="inlineStr">
        <is>
          <t/>
        </is>
      </c>
      <c r="AM34" s="10">
        <v>45417.11111111111</v>
      </c>
      <c r="AN34" t="inlineStr">
        <is>
          <t>BSN TRUE-MASS Weight Gainer, Muscle Mass Gainer Protein Powder, Cookies &amp; Cream, 5.82 Pound</t>
        </is>
      </c>
      <c r="AO34" t="inlineStr">
        <is>
          <t>1700</t>
        </is>
      </c>
      <c r="AP34" t="inlineStr">
        <is>
          <t>500</t>
        </is>
      </c>
    </row>
    <row r="35">
      <c r="A35" t="inlineStr">
        <is>
          <t>B0017HYOQG</t>
        </is>
      </c>
      <c r="B35" t="inlineStr">
        <is>
          <t>False</t>
        </is>
      </c>
      <c r="C35" t="inlineStr">
        <is>
          <t>B0017HYOQG</t>
        </is>
      </c>
      <c r="D35" t="inlineStr">
        <is>
          <t>Nature's Bounty</t>
        </is>
      </c>
      <c r="E35" t="inlineStr">
        <is>
          <t>False</t>
        </is>
      </c>
      <c r="F35" t="inlineStr">
        <is>
          <t>MET-Rx Natural Whey Protein Powder, Chocolate Protein Powder, 5 Lb</t>
        </is>
      </c>
      <c r="G35">
        <v>1</v>
      </c>
      <c r="H35" s="2" t="str">
        <f>HYPERLINK("https://www.amazon.com/dp/B0017HYOQG", "https://www.amazon.com/dp/B0017HYOQG")</f>
      </c>
      <c r="I35" s="3">
        <v>278</v>
      </c>
      <c r="J35" s="11">
        <v>2.68</v>
      </c>
      <c r="K35" s="5">
        <v>0.0377</v>
      </c>
      <c r="L35" s="5">
        <v>0.0541</v>
      </c>
      <c r="M35" t="inlineStr">
        <is>
          <t>True</t>
        </is>
      </c>
      <c r="N35" t="inlineStr">
        <is>
          <t>Health &amp; Household</t>
        </is>
      </c>
      <c r="O35" s="6">
        <v>55126</v>
      </c>
      <c r="P35" s="6">
        <v>50380</v>
      </c>
      <c r="Q35" s="6">
        <v>34297</v>
      </c>
      <c r="R35" s="6">
        <v>143</v>
      </c>
      <c r="S35" s="7">
        <v>49.5</v>
      </c>
      <c r="T35" s="7">
        <v>71</v>
      </c>
      <c r="U35">
        <v>76.32</v>
      </c>
      <c r="V35" s="8">
        <v>0</v>
      </c>
      <c r="W35" s="7">
        <v>0</v>
      </c>
      <c r="X35" s="7">
        <v>0</v>
      </c>
      <c r="Y35">
        <v>5.73</v>
      </c>
      <c r="Z35" s="9">
        <v>0.83</v>
      </c>
      <c r="AB35">
        <v>0</v>
      </c>
      <c r="AC35">
        <v>0</v>
      </c>
      <c r="AD35">
        <v>7</v>
      </c>
      <c r="AE35">
        <v>2</v>
      </c>
      <c r="AF35">
        <v>5</v>
      </c>
      <c r="AG35">
        <v>2</v>
      </c>
      <c r="AH35">
        <v>2</v>
      </c>
      <c r="AI35" t="inlineStr">
        <is>
          <t>False</t>
        </is>
      </c>
      <c r="AJ35" s="2" t="str">
        <f>HYPERLINK("https://keepa.com/#!product/1-B0017HYOQG", "https://keepa.com/#!product/1-B0017HYOQG")</f>
      </c>
      <c r="AK35" s="2" t="str">
        <f>HYPERLINK("https://camelcamelcamel.com/search?sq=B0017HYOQG", "https://camelcamelcamel.com/search?sq=B0017HYOQG")</f>
      </c>
      <c r="AL35" t="inlineStr">
        <is>
          <t/>
        </is>
      </c>
      <c r="AM35" s="10">
        <v>45417.11111111111</v>
      </c>
      <c r="AN35" t="inlineStr">
        <is>
          <t>MET-Rx Natural Whey Protein Powder, Chocolate Protein Powder, 5 Lb</t>
        </is>
      </c>
      <c r="AO35" t="inlineStr">
        <is>
          <t>250</t>
        </is>
      </c>
      <c r="AP35" t="inlineStr">
        <is>
          <t>TAKE ALL</t>
        </is>
      </c>
    </row>
    <row r="36">
      <c r="A36" t="inlineStr">
        <is>
          <t>B0019CULMA</t>
        </is>
      </c>
      <c r="B36" t="inlineStr">
        <is>
          <t>False</t>
        </is>
      </c>
      <c r="C36" t="inlineStr">
        <is>
          <t>B0019CULMA</t>
        </is>
      </c>
      <c r="D36" t="inlineStr">
        <is>
          <t>ONE A DAY</t>
        </is>
      </c>
      <c r="E36" t="inlineStr">
        <is>
          <t>False</t>
        </is>
      </c>
      <c r="F36" t="inlineStr">
        <is>
          <t>One A Day Energy Multivitamin with Vitamin A, C, D, E, Zinc for Immune Health*, Caffeine, Biotin, B6, B12 &amp; More, 50 Tablets</t>
        </is>
      </c>
      <c r="G36">
        <v>1</v>
      </c>
      <c r="H36" s="2" t="str">
        <f>HYPERLINK("https://www.amazon.com/dp/B0019CULMA", "https://www.amazon.com/dp/B0019CULMA")</f>
      </c>
      <c r="I36" s="3">
        <v>5209</v>
      </c>
      <c r="J36" s="11">
        <v>1.64</v>
      </c>
      <c r="K36" s="5">
        <v>0.1417</v>
      </c>
      <c r="L36" s="15">
        <v>0.3644</v>
      </c>
      <c r="M36" t="inlineStr">
        <is>
          <t>True</t>
        </is>
      </c>
      <c r="N36" t="inlineStr">
        <is>
          <t>Health &amp; Household</t>
        </is>
      </c>
      <c r="O36" s="6">
        <v>5064</v>
      </c>
      <c r="P36" s="6">
        <v>5140</v>
      </c>
      <c r="Q36" s="6">
        <v>3730</v>
      </c>
      <c r="R36" s="6">
        <v>277</v>
      </c>
      <c r="S36" s="7">
        <v>4.5</v>
      </c>
      <c r="T36" s="7">
        <v>11.57</v>
      </c>
      <c r="U36">
        <v>11.03</v>
      </c>
      <c r="V36" s="8">
        <v>0</v>
      </c>
      <c r="W36" s="7">
        <v>0</v>
      </c>
      <c r="X36" s="7">
        <v>0</v>
      </c>
      <c r="Y36">
        <v>0.24</v>
      </c>
      <c r="Z36" s="9">
        <v>1</v>
      </c>
      <c r="AB36">
        <v>0</v>
      </c>
      <c r="AC36">
        <v>0</v>
      </c>
      <c r="AD36">
        <v>4</v>
      </c>
      <c r="AE36">
        <v>1</v>
      </c>
      <c r="AF36">
        <v>3</v>
      </c>
      <c r="AG36">
        <v>1</v>
      </c>
      <c r="AH36">
        <v>0</v>
      </c>
      <c r="AI36" t="inlineStr">
        <is>
          <t>False</t>
        </is>
      </c>
      <c r="AJ36" s="2" t="str">
        <f>HYPERLINK("https://keepa.com/#!product/1-B0019CULMA", "https://keepa.com/#!product/1-B0019CULMA")</f>
      </c>
      <c r="AK36" s="2" t="str">
        <f>HYPERLINK("https://camelcamelcamel.com/search?sq=B0019CULMA", "https://camelcamelcamel.com/search?sq=B0019CULMA")</f>
      </c>
      <c r="AL36" t="inlineStr">
        <is>
          <t/>
        </is>
      </c>
      <c r="AM36" s="10">
        <v>45417.11111111111</v>
      </c>
      <c r="AN36" t="inlineStr">
        <is>
          <t>One A Day Energy Multivitamin with Vitamin A, C, D, E, Zinc for Immune Health*, Caffeine, Biotin, B6, B12 &amp; More, 50 Tablets</t>
        </is>
      </c>
      <c r="AO36" t="inlineStr">
        <is>
          <t>2000</t>
        </is>
      </c>
      <c r="AP36" t="inlineStr">
        <is>
          <t>TAKE ALL</t>
        </is>
      </c>
    </row>
    <row r="37">
      <c r="A37" t="inlineStr">
        <is>
          <t>B0019LWTVM</t>
        </is>
      </c>
      <c r="B37" t="inlineStr">
        <is>
          <t>False</t>
        </is>
      </c>
      <c r="C37" t="inlineStr">
        <is>
          <t>B0019LWTVM</t>
        </is>
      </c>
      <c r="D37" t="inlineStr">
        <is>
          <t>NOW</t>
        </is>
      </c>
      <c r="E37" t="inlineStr">
        <is>
          <t>False</t>
        </is>
      </c>
      <c r="F37" t="inlineStr">
        <is>
          <t>NOW Supplements, Female Balance™ with Wild Yam, Vitex, Dong Quai, GLA, Vitamin B-6 and Folate, 90 Capsules</t>
        </is>
      </c>
      <c r="G37">
        <v>1</v>
      </c>
      <c r="H37" s="2" t="str">
        <f>HYPERLINK("https://www.amazon.com/dp/B0019LWTVM", "https://www.amazon.com/dp/B0019LWTVM")</f>
      </c>
      <c r="I37" s="3">
        <v>764</v>
      </c>
      <c r="J37" s="11">
        <v>2.07</v>
      </c>
      <c r="K37" s="5">
        <v>0.1496</v>
      </c>
      <c r="L37" s="15">
        <v>0.345</v>
      </c>
      <c r="M37" t="inlineStr">
        <is>
          <t>True</t>
        </is>
      </c>
      <c r="N37" t="inlineStr">
        <is>
          <t>Health &amp; Household</t>
        </is>
      </c>
      <c r="O37" s="6">
        <v>27613</v>
      </c>
      <c r="P37" s="6">
        <v>28216</v>
      </c>
      <c r="Q37" s="6">
        <v>20451</v>
      </c>
      <c r="R37" s="6">
        <v>161</v>
      </c>
      <c r="S37" s="7">
        <v>6</v>
      </c>
      <c r="T37" s="7">
        <v>13.84</v>
      </c>
      <c r="U37">
        <v>13.54</v>
      </c>
      <c r="V37" s="8">
        <v>0</v>
      </c>
      <c r="W37" s="7">
        <v>0</v>
      </c>
      <c r="X37" s="7">
        <v>0</v>
      </c>
      <c r="Y37">
        <v>0.15</v>
      </c>
      <c r="Z37" s="9">
        <v>1</v>
      </c>
      <c r="AB37">
        <v>0</v>
      </c>
      <c r="AC37">
        <v>0</v>
      </c>
      <c r="AD37">
        <v>8</v>
      </c>
      <c r="AE37">
        <v>3</v>
      </c>
      <c r="AF37">
        <v>5</v>
      </c>
      <c r="AG37">
        <v>1</v>
      </c>
      <c r="AH37">
        <v>0</v>
      </c>
      <c r="AI37" t="inlineStr">
        <is>
          <t>False</t>
        </is>
      </c>
      <c r="AJ37" s="2" t="str">
        <f>HYPERLINK("https://keepa.com/#!product/1-B0019LWTVM", "https://keepa.com/#!product/1-B0019LWTVM")</f>
      </c>
      <c r="AK37" s="2" t="str">
        <f>HYPERLINK("https://camelcamelcamel.com/search?sq=B0019LWTVM", "https://camelcamelcamel.com/search?sq=B0019LWTVM")</f>
      </c>
      <c r="AL37" t="inlineStr">
        <is>
          <t/>
        </is>
      </c>
      <c r="AM37" s="10">
        <v>45417.11111111111</v>
      </c>
      <c r="AN37" t="inlineStr">
        <is>
          <t>NOW Supplements, Female Balanceâ„¢ with Wild Yam, Vitex, Dong Quai, GLA, Vitamin B-6 and Folate, 90 Capsules</t>
        </is>
      </c>
      <c r="AO37" t="inlineStr">
        <is>
          <t>500</t>
        </is>
      </c>
      <c r="AP37" t="inlineStr">
        <is>
          <t>TAKE ALL</t>
        </is>
      </c>
    </row>
    <row r="38">
      <c r="A38" t="inlineStr">
        <is>
          <t>B001CFQUGA</t>
        </is>
      </c>
      <c r="B38" t="inlineStr">
        <is>
          <t>False</t>
        </is>
      </c>
      <c r="C38" t="inlineStr">
        <is>
          <t>B001CFQUGA</t>
        </is>
      </c>
      <c r="D38" t="inlineStr">
        <is>
          <t>Anchor Hocking</t>
        </is>
      </c>
      <c r="E38" t="inlineStr">
        <is>
          <t>False</t>
        </is>
      </c>
      <c r="F38" t="inlineStr">
        <is>
          <t>Anchor Hocking Café Glass Coffee Mugs, 16 oz, Set of 6</t>
        </is>
      </c>
      <c r="G38">
        <v>1</v>
      </c>
      <c r="H38" s="2" t="str">
        <f>HYPERLINK("https://www.amazon.com/dp/B001CFQUGA", "https://www.amazon.com/dp/B001CFQUGA")</f>
      </c>
      <c r="I38" s="3">
        <v>398</v>
      </c>
      <c r="J38" s="4">
        <v>7.77</v>
      </c>
      <c r="K38" s="5">
        <v>0.1978</v>
      </c>
      <c r="L38" s="15">
        <v>0.4571</v>
      </c>
      <c r="M38" t="inlineStr">
        <is>
          <t>True</t>
        </is>
      </c>
      <c r="N38" t="inlineStr">
        <is>
          <t>Kitchen &amp; Dining</t>
        </is>
      </c>
      <c r="O38" s="6">
        <v>18766</v>
      </c>
      <c r="P38" s="6">
        <v>18002</v>
      </c>
      <c r="Q38" s="6">
        <v>3814</v>
      </c>
      <c r="R38" s="6">
        <v>259</v>
      </c>
      <c r="S38" s="7">
        <v>17</v>
      </c>
      <c r="T38" s="7">
        <v>39.29</v>
      </c>
      <c r="U38">
        <v>40.17</v>
      </c>
      <c r="V38" s="8">
        <v>0</v>
      </c>
      <c r="W38" s="7">
        <v>0</v>
      </c>
      <c r="X38" s="7">
        <v>0</v>
      </c>
      <c r="Y38">
        <v>7.08</v>
      </c>
      <c r="Z38" s="9">
        <v>1</v>
      </c>
      <c r="AB38">
        <v>0</v>
      </c>
      <c r="AC38">
        <v>0</v>
      </c>
      <c r="AD38">
        <v>10</v>
      </c>
      <c r="AE38">
        <v>4</v>
      </c>
      <c r="AF38">
        <v>1</v>
      </c>
      <c r="AG38">
        <v>4</v>
      </c>
      <c r="AH38">
        <v>0</v>
      </c>
      <c r="AI38" t="inlineStr">
        <is>
          <t>False</t>
        </is>
      </c>
      <c r="AJ38" s="2" t="str">
        <f>HYPERLINK("https://keepa.com/#!product/1-B001CFQUGA", "https://keepa.com/#!product/1-B001CFQUGA")</f>
      </c>
      <c r="AK38" s="2" t="str">
        <f>HYPERLINK("https://camelcamelcamel.com/search?sq=B001CFQUGA", "https://camelcamelcamel.com/search?sq=B001CFQUGA")</f>
      </c>
      <c r="AL38" t="inlineStr">
        <is>
          <t/>
        </is>
      </c>
      <c r="AM38" s="10">
        <v>45417.11111111111</v>
      </c>
      <c r="AN38" t="inlineStr">
        <is>
          <t>Anchor Hocking CafÃ© Glass Coffee Mugs, 16 oz, Set of 6</t>
        </is>
      </c>
      <c r="AO38" t="inlineStr">
        <is>
          <t>600</t>
        </is>
      </c>
      <c r="AP38" t="inlineStr">
        <is>
          <t>TAKE ALL</t>
        </is>
      </c>
    </row>
    <row r="39">
      <c r="A39" t="inlineStr">
        <is>
          <t>B001CZ9XT6</t>
        </is>
      </c>
      <c r="B39" t="inlineStr">
        <is>
          <t>False</t>
        </is>
      </c>
      <c r="C39" t="inlineStr">
        <is>
          <t>B001CZ9XT6</t>
        </is>
      </c>
      <c r="D39" t="inlineStr">
        <is>
          <t>Dove</t>
        </is>
      </c>
      <c r="E39" t="inlineStr">
        <is>
          <t>True</t>
        </is>
      </c>
      <c r="F39" t="inlineStr">
        <is>
          <t>Dove Scrub Pomegranate &amp; Shea Butter For Silky, Soft Skin Body Scrub Exfoliates and Provides Lasting Nourishment 10.5 oz</t>
        </is>
      </c>
      <c r="G39">
        <v>1</v>
      </c>
      <c r="H39" s="2" t="str">
        <f>HYPERLINK("https://www.amazon.com/dp/B001CZ9XT6", "https://www.amazon.com/dp/B001CZ9XT6")</f>
      </c>
      <c r="I39" s="3">
        <v>13515</v>
      </c>
      <c r="J39" s="11">
        <v>0.11</v>
      </c>
      <c r="K39" s="5">
        <v>0.0158</v>
      </c>
      <c r="L39" s="5">
        <v>0.044000000000000004</v>
      </c>
      <c r="M39" t="inlineStr">
        <is>
          <t>True</t>
        </is>
      </c>
      <c r="N39" t="inlineStr">
        <is>
          <t>Beauty &amp; Personal Care</t>
        </is>
      </c>
      <c r="O39" s="6">
        <v>947</v>
      </c>
      <c r="P39" s="6">
        <v>1001</v>
      </c>
      <c r="Q39" s="6">
        <v>653</v>
      </c>
      <c r="R39" s="6">
        <v>295</v>
      </c>
      <c r="S39" s="7">
        <v>2.5</v>
      </c>
      <c r="T39" s="7">
        <v>6.97</v>
      </c>
      <c r="U39">
        <v>6.84</v>
      </c>
      <c r="V39" s="8">
        <v>0</v>
      </c>
      <c r="W39" s="7">
        <v>0</v>
      </c>
      <c r="X39" s="7">
        <v>0</v>
      </c>
      <c r="Y39">
        <v>0.77</v>
      </c>
      <c r="Z39" s="9">
        <v>1</v>
      </c>
      <c r="AB39">
        <v>0</v>
      </c>
      <c r="AC39">
        <v>0</v>
      </c>
      <c r="AD39">
        <v>26</v>
      </c>
      <c r="AE39">
        <v>11</v>
      </c>
      <c r="AF39">
        <v>15</v>
      </c>
      <c r="AG39">
        <v>2</v>
      </c>
      <c r="AH39">
        <v>2</v>
      </c>
      <c r="AI39" t="inlineStr">
        <is>
          <t>False</t>
        </is>
      </c>
      <c r="AJ39" s="2" t="str">
        <f>HYPERLINK("https://keepa.com/#!product/1-B001CZ9XT6", "https://keepa.com/#!product/1-B001CZ9XT6")</f>
      </c>
      <c r="AK39" s="2" t="str">
        <f>HYPERLINK("https://camelcamelcamel.com/search?sq=B001CZ9XT6", "https://camelcamelcamel.com/search?sq=B001CZ9XT6")</f>
      </c>
      <c r="AL39" t="inlineStr">
        <is>
          <t/>
        </is>
      </c>
      <c r="AM39" s="10">
        <v>45417.11111111111</v>
      </c>
      <c r="AN39" t="inlineStr">
        <is>
          <t>Dove Scrub Pomegranate &amp; Shea Butter For Silky, Soft Skin Body Scrub Exfoliates and Provides Lasting Nourishment 10.5 oz</t>
        </is>
      </c>
      <c r="AO39" t="inlineStr">
        <is>
          <t>2000</t>
        </is>
      </c>
      <c r="AP39" t="inlineStr">
        <is>
          <t>TAKE ALL</t>
        </is>
      </c>
    </row>
    <row r="40">
      <c r="A40" t="inlineStr">
        <is>
          <t>B001E6870E</t>
        </is>
      </c>
      <c r="B40" t="inlineStr">
        <is>
          <t>False</t>
        </is>
      </c>
      <c r="C40" t="inlineStr">
        <is>
          <t>B001E6870E</t>
        </is>
      </c>
      <c r="D40" t="inlineStr">
        <is>
          <t>Armor All</t>
        </is>
      </c>
      <c r="E40" t="inlineStr">
        <is>
          <t>False</t>
        </is>
      </c>
      <c r="F40" t="inlineStr">
        <is>
          <t>Armor All Interior Car Cleaner Spray Bottle, Protectant Cleaning for Cars, Truck, Motorcycle, 28 Fl Oz, Pack of 6, 10228-6PK</t>
        </is>
      </c>
      <c r="G40">
        <v>6</v>
      </c>
      <c r="H40" s="2" t="str">
        <f>HYPERLINK("https://www.amazon.com/dp/B001E6870E", "https://www.amazon.com/dp/B001E6870E")</f>
      </c>
      <c r="I40" s="3">
        <v>1102</v>
      </c>
      <c r="J40" s="12">
        <v>-151.78</v>
      </c>
      <c r="K40" s="13">
        <v>-4.8199000000000005</v>
      </c>
      <c r="L40" s="13">
        <v>-0.8876000000000001</v>
      </c>
      <c r="M40" t="inlineStr">
        <is>
          <t>True</t>
        </is>
      </c>
      <c r="N40" t="inlineStr">
        <is>
          <t>Automotive</t>
        </is>
      </c>
      <c r="O40" s="6">
        <v>3546</v>
      </c>
      <c r="P40" s="6">
        <v>2328</v>
      </c>
      <c r="Q40" s="6">
        <v>1204</v>
      </c>
      <c r="R40" s="6">
        <v>267</v>
      </c>
      <c r="S40" s="7">
        <v>28.5</v>
      </c>
      <c r="T40" s="7">
        <v>31.49</v>
      </c>
      <c r="U40">
        <v>35.36</v>
      </c>
      <c r="V40" s="8">
        <v>0</v>
      </c>
      <c r="W40" s="7">
        <v>0</v>
      </c>
      <c r="X40" s="7">
        <v>0</v>
      </c>
      <c r="Y40">
        <v>6.99</v>
      </c>
      <c r="Z40" s="9">
        <v>0.75</v>
      </c>
      <c r="AB40">
        <v>0</v>
      </c>
      <c r="AC40">
        <v>0</v>
      </c>
      <c r="AD40">
        <v>24</v>
      </c>
      <c r="AE40">
        <v>5</v>
      </c>
      <c r="AF40">
        <v>18</v>
      </c>
      <c r="AG40">
        <v>2</v>
      </c>
      <c r="AH40">
        <v>8</v>
      </c>
      <c r="AI40" t="inlineStr">
        <is>
          <t>False</t>
        </is>
      </c>
      <c r="AJ40" s="2" t="str">
        <f>HYPERLINK("https://keepa.com/#!product/1-B001E6870E", "https://keepa.com/#!product/1-B001E6870E")</f>
      </c>
      <c r="AK40" s="2" t="str">
        <f>HYPERLINK("https://camelcamelcamel.com/search?sq=B001E6870E", "https://camelcamelcamel.com/search?sq=B001E6870E")</f>
      </c>
      <c r="AL40" t="inlineStr">
        <is>
          <t/>
        </is>
      </c>
      <c r="AM40" s="10">
        <v>45417.11111111111</v>
      </c>
      <c r="AN40" t="inlineStr">
        <is>
          <t>Armor All Interior Car Cleaner Spray Bottle, Protectant Cleaning for Cars, Truck, Motorcycle, 28 Fl Oz, Pack of 6, 10228-6PK</t>
        </is>
      </c>
      <c r="AO40" t="inlineStr">
        <is>
          <t>1000</t>
        </is>
      </c>
      <c r="AP40" t="inlineStr">
        <is>
          <t>250</t>
        </is>
      </c>
    </row>
    <row r="41">
      <c r="A41" t="inlineStr">
        <is>
          <t>B001G7RDII</t>
        </is>
      </c>
      <c r="B41" t="inlineStr">
        <is>
          <t>False</t>
        </is>
      </c>
      <c r="C41" t="inlineStr">
        <is>
          <t>B001G7RDII</t>
        </is>
      </c>
      <c r="D41" t="inlineStr">
        <is>
          <t>Clif Bar</t>
        </is>
      </c>
      <c r="E41" t="inlineStr">
        <is>
          <t>False</t>
        </is>
      </c>
      <c r="F41" t="inlineStr">
        <is>
          <t>CLIF BARS - Energy Bars - Cool Mint Chocolate - With Caffeine - Made with Organic Oats - Plant Based Food - Vegetarian - Kosher (2.4 Ounce Protein Bars, 24 Count) Packaging May Vary</t>
        </is>
      </c>
      <c r="G41">
        <v>1</v>
      </c>
      <c r="H41" s="2" t="str">
        <f>HYPERLINK("https://www.amazon.com/dp/B001G7RDII", "https://www.amazon.com/dp/B001G7RDII")</f>
      </c>
      <c r="I41" s="14">
        <v>5</v>
      </c>
      <c r="J41" s="12">
        <v>-1.46</v>
      </c>
      <c r="K41" s="13">
        <v>-0.0541</v>
      </c>
      <c r="L41" s="13">
        <v>-0.0859</v>
      </c>
      <c r="M41" t="inlineStr">
        <is>
          <t>True</t>
        </is>
      </c>
      <c r="N41" t="inlineStr">
        <is>
          <t>Climate Pledge Friendly</t>
        </is>
      </c>
      <c r="O41" s="6">
        <v>7132</v>
      </c>
      <c r="P41" s="6">
        <v>18080</v>
      </c>
      <c r="Q41" s="6">
        <v>6546</v>
      </c>
      <c r="R41" s="6">
        <v>197</v>
      </c>
      <c r="S41" s="7">
        <v>17</v>
      </c>
      <c r="T41" s="7">
        <v>27</v>
      </c>
      <c r="U41">
        <v>34.01</v>
      </c>
      <c r="V41" s="8">
        <v>0</v>
      </c>
      <c r="W41" s="7">
        <v>0</v>
      </c>
      <c r="X41" s="7">
        <v>0</v>
      </c>
      <c r="Y41">
        <v>3.73</v>
      </c>
      <c r="Z41" s="8">
        <v>0</v>
      </c>
      <c r="AB41">
        <v>0</v>
      </c>
      <c r="AC41">
        <v>0</v>
      </c>
      <c r="AD41">
        <v>12</v>
      </c>
      <c r="AE41">
        <v>3</v>
      </c>
      <c r="AF41">
        <v>9</v>
      </c>
      <c r="AG41">
        <v>2</v>
      </c>
      <c r="AH41">
        <v>2</v>
      </c>
      <c r="AI41" t="inlineStr">
        <is>
          <t>False</t>
        </is>
      </c>
      <c r="AJ41" s="2" t="str">
        <f>HYPERLINK("https://keepa.com/#!product/1-B001G7RDII", "https://keepa.com/#!product/1-B001G7RDII")</f>
      </c>
      <c r="AK41" s="2" t="str">
        <f>HYPERLINK("https://camelcamelcamel.com/search?sq=B001G7RDII", "https://camelcamelcamel.com/search?sq=B001G7RDII")</f>
      </c>
      <c r="AL41" t="inlineStr">
        <is>
          <t/>
        </is>
      </c>
      <c r="AM41" s="10">
        <v>45417.11111111111</v>
      </c>
      <c r="AN41" t="inlineStr">
        <is>
          <t>CLIF BARS - Energy Bars - Cool Mint Chocolate - With Caffeine - Made with Organic Oats - Plant Based Food - Vegetarian - Kosher (2.4 Ounce Protein Bars, 24 Count) Packaging May Vary</t>
        </is>
      </c>
      <c r="AO41" t="inlineStr">
        <is>
          <t>1700</t>
        </is>
      </c>
      <c r="AP41" t="inlineStr">
        <is>
          <t>850</t>
        </is>
      </c>
    </row>
    <row r="42">
      <c r="A42" t="inlineStr">
        <is>
          <t>B001JU81DI</t>
        </is>
      </c>
      <c r="B42" t="inlineStr">
        <is>
          <t>False</t>
        </is>
      </c>
      <c r="C42" t="inlineStr">
        <is>
          <t>B001JU81DI</t>
        </is>
      </c>
      <c r="D42" t="inlineStr">
        <is>
          <t>Sambucol</t>
        </is>
      </c>
      <c r="E42" t="inlineStr">
        <is>
          <t>False</t>
        </is>
      </c>
      <c r="F42" t="inlineStr">
        <is>
          <t>Sambucol Black Elderberry Syrup for Kids - Kids Elderberry Syrup, Added Vitamin C, Black Elderberry Syrup for Kids, Sambucus Elderberry Kids Syrup For Immune Support, Delicious Berry Taste - 4 Fl Oz</t>
        </is>
      </c>
      <c r="G42">
        <v>1</v>
      </c>
      <c r="H42" s="2" t="str">
        <f>HYPERLINK("https://www.amazon.com/dp/B001JU81DI", "https://www.amazon.com/dp/B001JU81DI")</f>
      </c>
      <c r="I42" s="3">
        <v>1383</v>
      </c>
      <c r="J42" s="12">
        <v>-1.94</v>
      </c>
      <c r="K42" s="13">
        <v>-0.2998</v>
      </c>
      <c r="L42" s="13">
        <v>-0.40840000000000004</v>
      </c>
      <c r="M42" t="inlineStr">
        <is>
          <t>True</t>
        </is>
      </c>
      <c r="N42" t="inlineStr">
        <is>
          <t>Health &amp; Household</t>
        </is>
      </c>
      <c r="O42" s="6">
        <v>17414</v>
      </c>
      <c r="P42" s="6">
        <v>15920</v>
      </c>
      <c r="Q42" s="6">
        <v>11403</v>
      </c>
      <c r="R42" s="6">
        <v>158</v>
      </c>
      <c r="S42" s="7">
        <v>4.75</v>
      </c>
      <c r="T42" s="7">
        <v>6.47</v>
      </c>
      <c r="U42">
        <v>8.13</v>
      </c>
      <c r="V42" s="8">
        <v>0</v>
      </c>
      <c r="W42" s="7">
        <v>0</v>
      </c>
      <c r="X42" s="7">
        <v>0</v>
      </c>
      <c r="Y42">
        <v>0.29</v>
      </c>
      <c r="Z42" s="9">
        <v>0.54</v>
      </c>
      <c r="AB42">
        <v>0</v>
      </c>
      <c r="AC42">
        <v>0</v>
      </c>
      <c r="AD42">
        <v>29</v>
      </c>
      <c r="AE42">
        <v>13</v>
      </c>
      <c r="AF42">
        <v>16</v>
      </c>
      <c r="AG42">
        <v>4</v>
      </c>
      <c r="AH42">
        <v>3</v>
      </c>
      <c r="AI42" t="inlineStr">
        <is>
          <t>False</t>
        </is>
      </c>
      <c r="AJ42" s="2" t="str">
        <f>HYPERLINK("https://keepa.com/#!product/1-B001JU81DI", "https://keepa.com/#!product/1-B001JU81DI")</f>
      </c>
      <c r="AK42" s="2" t="str">
        <f>HYPERLINK("https://camelcamelcamel.com/search?sq=B001JU81DI", "https://camelcamelcamel.com/search?sq=B001JU81DI")</f>
      </c>
      <c r="AL42" t="inlineStr">
        <is>
          <t/>
        </is>
      </c>
      <c r="AM42" s="10">
        <v>45417.11111111111</v>
      </c>
      <c r="AN42" t="inlineStr">
        <is>
          <t>Sambucol Black Elderberry Syrup for Kids - Kids Elderberry Syrup, Added Vitamin C, Black Elderberry Syrup for Kids, Sambucus Elderberry Kids Syrup For Immune Support, Delicious Berry Taste - 4 Fl Oz</t>
        </is>
      </c>
      <c r="AO42" t="inlineStr">
        <is>
          <t>480</t>
        </is>
      </c>
      <c r="AP42" t="inlineStr">
        <is>
          <t>TAKE ALL</t>
        </is>
      </c>
    </row>
    <row r="43">
      <c r="A43" t="inlineStr">
        <is>
          <t>B001MXEYSI</t>
        </is>
      </c>
      <c r="B43" t="inlineStr">
        <is>
          <t>False</t>
        </is>
      </c>
      <c r="C43" t="inlineStr">
        <is>
          <t>B001MXEYSI</t>
        </is>
      </c>
      <c r="D43" t="inlineStr">
        <is>
          <t>Eidon Ionic Minerals</t>
        </is>
      </c>
      <c r="E43" t="inlineStr">
        <is>
          <t>False</t>
        </is>
      </c>
      <c r="F43" t="inlineStr">
        <is>
          <t>Eidon Ionic Minerals Liquid Magnesium Concentrate - Ionic Magnesium Drops for Adults, Men &amp; Women, Supports Muscle Relaxation, Bioavailable, No Additives or Preservatives - Magnesium Chloride, 2 oz</t>
        </is>
      </c>
      <c r="G43">
        <v>1</v>
      </c>
      <c r="H43" s="2" t="str">
        <f>HYPERLINK("https://www.amazon.com/dp/B001MXEYSI", "https://www.amazon.com/dp/B001MXEYSI")</f>
      </c>
      <c r="I43" s="3">
        <v>5576</v>
      </c>
      <c r="J43" s="11">
        <v>0.19</v>
      </c>
      <c r="K43" s="5">
        <v>0.011899999999999999</v>
      </c>
      <c r="L43" s="5">
        <v>0.02</v>
      </c>
      <c r="M43" t="inlineStr">
        <is>
          <t>True</t>
        </is>
      </c>
      <c r="N43" t="inlineStr">
        <is>
          <t>Health &amp; Household</t>
        </is>
      </c>
      <c r="O43" s="6">
        <v>4711</v>
      </c>
      <c r="P43" s="6">
        <v>11228</v>
      </c>
      <c r="Q43" s="6">
        <v>4244</v>
      </c>
      <c r="R43" s="6">
        <v>243</v>
      </c>
      <c r="S43" s="7">
        <v>9.5</v>
      </c>
      <c r="T43" s="7">
        <v>16</v>
      </c>
      <c r="U43">
        <v>17.12</v>
      </c>
      <c r="V43" s="8">
        <v>0</v>
      </c>
      <c r="W43" s="7">
        <v>0</v>
      </c>
      <c r="X43" s="7">
        <v>0</v>
      </c>
      <c r="Y43">
        <v>0.33</v>
      </c>
      <c r="Z43" s="9">
        <v>0.73</v>
      </c>
      <c r="AB43">
        <v>0</v>
      </c>
      <c r="AC43">
        <v>0</v>
      </c>
      <c r="AD43">
        <v>17</v>
      </c>
      <c r="AE43">
        <v>9</v>
      </c>
      <c r="AF43">
        <v>8</v>
      </c>
      <c r="AG43">
        <v>6</v>
      </c>
      <c r="AH43">
        <v>15</v>
      </c>
      <c r="AI43" t="inlineStr">
        <is>
          <t>False</t>
        </is>
      </c>
      <c r="AJ43" s="2" t="str">
        <f>HYPERLINK("https://keepa.com/#!product/1-B001MXEYSI", "https://keepa.com/#!product/1-B001MXEYSI")</f>
      </c>
      <c r="AK43" s="2" t="str">
        <f>HYPERLINK("https://camelcamelcamel.com/search?sq=B001MXEYSI", "https://camelcamelcamel.com/search?sq=B001MXEYSI")</f>
      </c>
      <c r="AL43" t="inlineStr">
        <is>
          <t/>
        </is>
      </c>
      <c r="AM43" s="10">
        <v>45417.11111111111</v>
      </c>
      <c r="AN43" t="inlineStr">
        <is>
          <t>Eidon Iconic Minerals Liquid Magnesium Concentrate - Ionic Magnesium Drops for Adults, Men &amp; Women, Supports Muscle Relaxation, Bioavailable, No Additives or Preservatives - Magnesium Chloride, 2 oz</t>
        </is>
      </c>
      <c r="AO43" t="inlineStr">
        <is>
          <t>205</t>
        </is>
      </c>
      <c r="AP43" t="inlineStr">
        <is>
          <t>TAKE ALL</t>
        </is>
      </c>
    </row>
    <row r="44">
      <c r="A44" t="inlineStr">
        <is>
          <t>B001R762WA</t>
        </is>
      </c>
      <c r="B44" t="inlineStr">
        <is>
          <t>False</t>
        </is>
      </c>
      <c r="C44" t="inlineStr">
        <is>
          <t>B001R762WA</t>
        </is>
      </c>
      <c r="D44" t="inlineStr">
        <is>
          <t>Carbona</t>
        </is>
      </c>
      <c r="E44" t="inlineStr">
        <is>
          <t>False</t>
        </is>
      </c>
      <c r="F44" t="inlineStr">
        <is>
          <t>Carbona 2-in-1 Oven Rack and Grill Cleaner Bagged 16.8 Oz</t>
        </is>
      </c>
      <c r="G44">
        <v>1</v>
      </c>
      <c r="H44" s="2" t="str">
        <f>HYPERLINK("https://www.amazon.com/dp/B001R762WA", "https://www.amazon.com/dp/B001R762WA")</f>
      </c>
      <c r="I44" s="3">
        <v>167</v>
      </c>
      <c r="J44" s="11">
        <v>2.82</v>
      </c>
      <c r="K44" s="5">
        <v>0.1684</v>
      </c>
      <c r="L44" s="15">
        <v>0.47</v>
      </c>
      <c r="M44" t="inlineStr">
        <is>
          <t>True</t>
        </is>
      </c>
      <c r="N44" t="inlineStr">
        <is>
          <t>Health &amp; Household</t>
        </is>
      </c>
      <c r="O44" s="6">
        <v>75638</v>
      </c>
      <c r="P44" s="6">
        <v>70545</v>
      </c>
      <c r="Q44" s="6">
        <v>36030</v>
      </c>
      <c r="R44" s="6">
        <v>146</v>
      </c>
      <c r="S44" s="7">
        <v>6</v>
      </c>
      <c r="T44" s="7">
        <v>16.75</v>
      </c>
      <c r="U44">
        <v>12.17</v>
      </c>
      <c r="V44" s="8">
        <v>0</v>
      </c>
      <c r="W44" s="7">
        <v>0</v>
      </c>
      <c r="X44" s="7">
        <v>0</v>
      </c>
      <c r="Y44">
        <v>1.5</v>
      </c>
      <c r="Z44" s="9">
        <v>0.06</v>
      </c>
      <c r="AB44">
        <v>0</v>
      </c>
      <c r="AC44">
        <v>0</v>
      </c>
      <c r="AD44">
        <v>11</v>
      </c>
      <c r="AE44">
        <v>5</v>
      </c>
      <c r="AF44">
        <v>6</v>
      </c>
      <c r="AG44">
        <v>4</v>
      </c>
      <c r="AH44">
        <v>0</v>
      </c>
      <c r="AI44" t="inlineStr">
        <is>
          <t>False</t>
        </is>
      </c>
      <c r="AJ44" s="2" t="str">
        <f>HYPERLINK("https://keepa.com/#!product/1-B001R762WA", "https://keepa.com/#!product/1-B001R762WA")</f>
      </c>
      <c r="AK44" s="2" t="str">
        <f>HYPERLINK("https://camelcamelcamel.com/search?sq=B001R762WA", "https://camelcamelcamel.com/search?sq=B001R762WA")</f>
      </c>
      <c r="AL44" t="inlineStr">
        <is>
          <t/>
        </is>
      </c>
      <c r="AM44" s="10">
        <v>45417.11111111111</v>
      </c>
      <c r="AN44" t="inlineStr">
        <is>
          <t>Carbona 2-in-1 Oven Rack and Grill Cleaner Bagged 16.8 Oz</t>
        </is>
      </c>
      <c r="AO44" t="inlineStr">
        <is>
          <t>5000</t>
        </is>
      </c>
      <c r="AP44" t="inlineStr">
        <is>
          <t>2000</t>
        </is>
      </c>
    </row>
    <row r="45">
      <c r="A45" t="inlineStr">
        <is>
          <t>B001RYUCBK</t>
        </is>
      </c>
      <c r="B45" t="inlineStr">
        <is>
          <t>False</t>
        </is>
      </c>
      <c r="C45" t="inlineStr">
        <is>
          <t>B001RYUCBK</t>
        </is>
      </c>
      <c r="D45" t="inlineStr">
        <is>
          <t>L’Oréal Paris</t>
        </is>
      </c>
      <c r="E45" t="inlineStr">
        <is>
          <t>False</t>
        </is>
      </c>
      <c r="F45" t="inlineStr">
        <is>
          <t>L'oreal Paris Kids Shampoo Tropical Mango 250ml</t>
        </is>
      </c>
      <c r="G45">
        <v>1</v>
      </c>
      <c r="H45" s="2" t="str">
        <f>HYPERLINK("https://www.amazon.com/dp/B001RYUCBK", "https://www.amazon.com/dp/B001RYUCBK")</f>
      </c>
      <c r="I45" s="3">
        <v>1142</v>
      </c>
      <c r="J45" s="12">
        <v>-1.3</v>
      </c>
      <c r="K45" s="13">
        <v>-0.1524</v>
      </c>
      <c r="L45" s="13">
        <v>-0.2261</v>
      </c>
      <c r="M45" t="inlineStr">
        <is>
          <t>True</t>
        </is>
      </c>
      <c r="N45" t="inlineStr">
        <is>
          <t>Beauty &amp; Personal Care</t>
        </is>
      </c>
      <c r="O45" s="6">
        <v>15740</v>
      </c>
      <c r="P45" s="6">
        <v>22325</v>
      </c>
      <c r="Q45" s="6">
        <v>12130</v>
      </c>
      <c r="R45" s="6">
        <v>159</v>
      </c>
      <c r="S45" s="7">
        <v>5.75</v>
      </c>
      <c r="T45" s="7">
        <v>8.53</v>
      </c>
      <c r="U45">
        <v>11.31</v>
      </c>
      <c r="V45" s="8">
        <v>0</v>
      </c>
      <c r="W45" s="7">
        <v>0</v>
      </c>
      <c r="X45" s="7">
        <v>0</v>
      </c>
      <c r="Y45">
        <v>0.62</v>
      </c>
      <c r="Z45" s="8">
        <v>0</v>
      </c>
      <c r="AB45">
        <v>0</v>
      </c>
      <c r="AC45">
        <v>0</v>
      </c>
      <c r="AD45">
        <v>13</v>
      </c>
      <c r="AE45">
        <v>9</v>
      </c>
      <c r="AF45">
        <v>4</v>
      </c>
      <c r="AG45">
        <v>2</v>
      </c>
      <c r="AH45">
        <v>7</v>
      </c>
      <c r="AI45" t="inlineStr">
        <is>
          <t>False</t>
        </is>
      </c>
      <c r="AJ45" s="2" t="str">
        <f>HYPERLINK("https://keepa.com/#!product/1-B001RYUCBK", "https://keepa.com/#!product/1-B001RYUCBK")</f>
      </c>
      <c r="AK45" s="2" t="str">
        <f>HYPERLINK("https://camelcamelcamel.com/search?sq=B001RYUCBK", "https://camelcamelcamel.com/search?sq=B001RYUCBK")</f>
      </c>
      <c r="AL45" t="inlineStr">
        <is>
          <t/>
        </is>
      </c>
      <c r="AM45" s="10">
        <v>45417.11111111111</v>
      </c>
      <c r="AN45" t="inlineStr">
        <is>
          <t>L'oreal Paris Kids Shampoo Tropical Mango 250ml</t>
        </is>
      </c>
      <c r="AO45" t="inlineStr">
        <is>
          <t>300</t>
        </is>
      </c>
      <c r="AP45" t="inlineStr">
        <is>
          <t>TAKE ALL</t>
        </is>
      </c>
    </row>
    <row r="46">
      <c r="A46" t="inlineStr">
        <is>
          <t>B001V9MPR0</t>
        </is>
      </c>
      <c r="B46" t="inlineStr">
        <is>
          <t>False</t>
        </is>
      </c>
      <c r="C46" t="inlineStr">
        <is>
          <t>B001V9MPR0</t>
        </is>
      </c>
      <c r="D46" t="inlineStr">
        <is>
          <t>Nature's Bounty</t>
        </is>
      </c>
      <c r="E46" t="inlineStr">
        <is>
          <t>False</t>
        </is>
      </c>
      <c r="F46" t="inlineStr">
        <is>
          <t>Nature's Bounty Fish Oil, Dietary Supplement, Omega 3, Supports Heart Health, 1000 Mg, 220 Coated Softgels</t>
        </is>
      </c>
      <c r="G46">
        <v>1</v>
      </c>
      <c r="H46" s="2" t="str">
        <f>HYPERLINK("https://www.amazon.com/dp/B001V9MPR0", "https://www.amazon.com/dp/B001V9MPR0")</f>
      </c>
      <c r="I46" s="3">
        <v>906</v>
      </c>
      <c r="J46" s="11">
        <v>0.04</v>
      </c>
      <c r="K46" s="5">
        <v>0.0018</v>
      </c>
      <c r="L46" s="5">
        <v>0.0029</v>
      </c>
      <c r="M46" t="inlineStr">
        <is>
          <t>True</t>
        </is>
      </c>
      <c r="N46" t="inlineStr">
        <is>
          <t>Health &amp; Household</t>
        </is>
      </c>
      <c r="O46" s="6">
        <v>24259</v>
      </c>
      <c r="P46" s="6">
        <v>32003</v>
      </c>
      <c r="Q46" s="6">
        <v>6802</v>
      </c>
      <c r="R46" s="6">
        <v>193</v>
      </c>
      <c r="S46" s="7">
        <v>13.85</v>
      </c>
      <c r="T46" s="7">
        <v>21.73</v>
      </c>
      <c r="U46">
        <v>25.39</v>
      </c>
      <c r="V46" s="8">
        <v>0</v>
      </c>
      <c r="W46" s="7">
        <v>0</v>
      </c>
      <c r="X46" s="7">
        <v>0</v>
      </c>
      <c r="Y46">
        <v>0.84</v>
      </c>
      <c r="Z46" s="9">
        <v>0.96</v>
      </c>
      <c r="AB46">
        <v>0</v>
      </c>
      <c r="AC46">
        <v>0</v>
      </c>
      <c r="AD46">
        <v>7</v>
      </c>
      <c r="AE46">
        <v>2</v>
      </c>
      <c r="AF46">
        <v>5</v>
      </c>
      <c r="AG46">
        <v>1</v>
      </c>
      <c r="AH46">
        <v>0</v>
      </c>
      <c r="AI46" t="inlineStr">
        <is>
          <t>False</t>
        </is>
      </c>
      <c r="AJ46" s="2" t="str">
        <f>HYPERLINK("https://keepa.com/#!product/1-B001V9MPR0", "https://keepa.com/#!product/1-B001V9MPR0")</f>
      </c>
      <c r="AK46" s="2" t="str">
        <f>HYPERLINK("https://camelcamelcamel.com/search?sq=B001V9MPR0", "https://camelcamelcamel.com/search?sq=B001V9MPR0")</f>
      </c>
      <c r="AL46" t="inlineStr">
        <is>
          <t/>
        </is>
      </c>
      <c r="AM46" s="10">
        <v>45417.11111111111</v>
      </c>
      <c r="AN46" t="inlineStr">
        <is>
          <t>Nature's Bounty Fish Oil, Dietary Supplement, Omega 3, Supports Heart Health, 1000 Mg, 220 Coated Softgels</t>
        </is>
      </c>
      <c r="AO46" t="inlineStr">
        <is>
          <t>1000</t>
        </is>
      </c>
      <c r="AP46" t="inlineStr">
        <is>
          <t>TAKE ALL</t>
        </is>
      </c>
    </row>
    <row r="47">
      <c r="A47" t="inlineStr">
        <is>
          <t>B00212IHBY</t>
        </is>
      </c>
      <c r="B47" t="inlineStr">
        <is>
          <t>False</t>
        </is>
      </c>
      <c r="C47" t="inlineStr">
        <is>
          <t>B00212IHBY</t>
        </is>
      </c>
      <c r="D47" t="inlineStr">
        <is>
          <t>Ball</t>
        </is>
      </c>
      <c r="E47" t="inlineStr">
        <is>
          <t>False</t>
        </is>
      </c>
      <c r="F47" t="inlineStr">
        <is>
          <t>Ball Enamel Water Bath Canner, Including Chrome-Plated Rack and 4-Piece Utensil Set</t>
        </is>
      </c>
      <c r="G47">
        <v>1</v>
      </c>
      <c r="H47" s="2" t="str">
        <f>HYPERLINK("https://www.amazon.com/dp/B00212IHBY", "https://www.amazon.com/dp/B00212IHBY")</f>
      </c>
      <c r="I47" s="14">
        <v>5</v>
      </c>
      <c r="J47" s="4">
        <v>12.11</v>
      </c>
      <c r="K47" s="5">
        <v>0.1309</v>
      </c>
      <c r="L47" s="5">
        <v>0.2523</v>
      </c>
      <c r="M47" t="inlineStr">
        <is>
          <t>True</t>
        </is>
      </c>
      <c r="N47" t="inlineStr">
        <is>
          <t>Kitchen &amp; Dining</t>
        </is>
      </c>
      <c r="O47" s="6">
        <v>250014</v>
      </c>
      <c r="P47" s="6">
        <v>250073</v>
      </c>
      <c r="Q47" s="6">
        <v>86440</v>
      </c>
      <c r="R47" s="6">
        <v>31</v>
      </c>
      <c r="S47" s="7">
        <v>48</v>
      </c>
      <c r="T47" s="7">
        <v>92.54</v>
      </c>
      <c r="U47">
        <v>99.68</v>
      </c>
      <c r="V47" s="8">
        <v>0</v>
      </c>
      <c r="W47" s="7">
        <v>0</v>
      </c>
      <c r="X47" s="7">
        <v>0</v>
      </c>
      <c r="Y47">
        <v>5.25</v>
      </c>
      <c r="Z47" s="8">
        <v>0</v>
      </c>
      <c r="AB47">
        <v>0</v>
      </c>
      <c r="AC47">
        <v>0</v>
      </c>
      <c r="AD47">
        <v>4</v>
      </c>
      <c r="AE47">
        <v>3</v>
      </c>
      <c r="AF47">
        <v>1</v>
      </c>
      <c r="AG47">
        <v>3</v>
      </c>
      <c r="AH47">
        <v>0</v>
      </c>
      <c r="AI47" t="inlineStr">
        <is>
          <t>False</t>
        </is>
      </c>
      <c r="AJ47" s="2" t="str">
        <f>HYPERLINK("https://keepa.com/#!product/1-B00212IHBY", "https://keepa.com/#!product/1-B00212IHBY")</f>
      </c>
      <c r="AK47" s="2" t="str">
        <f>HYPERLINK("https://camelcamelcamel.com/search?sq=B00212IHBY", "https://camelcamelcamel.com/search?sq=B00212IHBY")</f>
      </c>
      <c r="AL47" t="inlineStr">
        <is>
          <t/>
        </is>
      </c>
      <c r="AM47" s="10">
        <v>45417.11111111111</v>
      </c>
      <c r="AN47" t="inlineStr">
        <is>
          <t>Ball Enamel Water Bath Canner, Including Chrome-Plated Rack and 4-Piece Utensil Set</t>
        </is>
      </c>
      <c r="AO47" t="inlineStr">
        <is>
          <t>116</t>
        </is>
      </c>
      <c r="AP47" t="inlineStr">
        <is>
          <t>TAKE ALL</t>
        </is>
      </c>
    </row>
    <row r="48">
      <c r="A48" t="inlineStr">
        <is>
          <t>B0029PT4KG</t>
        </is>
      </c>
      <c r="B48" t="inlineStr">
        <is>
          <t>False</t>
        </is>
      </c>
      <c r="C48" t="inlineStr">
        <is>
          <t>B0029PT4KG</t>
        </is>
      </c>
      <c r="D48" t="inlineStr">
        <is>
          <t>Burt's Bees</t>
        </is>
      </c>
      <c r="E48" t="inlineStr">
        <is>
          <t>True</t>
        </is>
      </c>
      <c r="F48" t="inlineStr">
        <is>
          <t>Burt's Bees Mama Body Oil with Vitamin E, 100% Natural Origin, 5 Fluid Ounces</t>
        </is>
      </c>
      <c r="G48">
        <v>1</v>
      </c>
      <c r="H48" s="2" t="str">
        <f>HYPERLINK("https://www.amazon.com/dp/B0029PT4KG", "https://www.amazon.com/dp/B0029PT4KG")</f>
      </c>
      <c r="I48" s="3">
        <v>1046</v>
      </c>
      <c r="J48" s="12">
        <v>-1.02</v>
      </c>
      <c r="K48" s="13">
        <v>-0.06849999999999999</v>
      </c>
      <c r="L48" s="13">
        <v>-0.10460000000000001</v>
      </c>
      <c r="M48" t="inlineStr">
        <is>
          <t>True</t>
        </is>
      </c>
      <c r="N48" t="inlineStr">
        <is>
          <t>Beauty &amp; Personal Care</t>
        </is>
      </c>
      <c r="O48" s="6">
        <v>16994</v>
      </c>
      <c r="P48" s="6">
        <v>29717</v>
      </c>
      <c r="Q48" s="6">
        <v>12591</v>
      </c>
      <c r="R48" s="6">
        <v>214</v>
      </c>
      <c r="S48" s="7">
        <v>9.75</v>
      </c>
      <c r="T48" s="7">
        <v>14.88</v>
      </c>
      <c r="U48">
        <v>16.53</v>
      </c>
      <c r="V48" s="8">
        <v>0</v>
      </c>
      <c r="W48" s="7">
        <v>0</v>
      </c>
      <c r="X48" s="7">
        <v>0</v>
      </c>
      <c r="Y48">
        <v>0.29</v>
      </c>
      <c r="Z48" s="9">
        <v>0.02</v>
      </c>
      <c r="AB48">
        <v>0</v>
      </c>
      <c r="AC48">
        <v>0</v>
      </c>
      <c r="AD48">
        <v>29</v>
      </c>
      <c r="AE48">
        <v>22</v>
      </c>
      <c r="AF48">
        <v>7</v>
      </c>
      <c r="AG48">
        <v>6</v>
      </c>
      <c r="AH48">
        <v>2</v>
      </c>
      <c r="AI48" t="inlineStr">
        <is>
          <t>False</t>
        </is>
      </c>
      <c r="AJ48" s="2" t="str">
        <f>HYPERLINK("https://keepa.com/#!product/1-B0029PT4KG", "https://keepa.com/#!product/1-B0029PT4KG")</f>
      </c>
      <c r="AK48" s="2" t="str">
        <f>HYPERLINK("https://camelcamelcamel.com/search?sq=B0029PT4KG", "https://camelcamelcamel.com/search?sq=B0029PT4KG")</f>
      </c>
      <c r="AL48" t="inlineStr">
        <is>
          <t/>
        </is>
      </c>
      <c r="AM48" s="10">
        <v>45417.11111111111</v>
      </c>
      <c r="AN48" t="inlineStr">
        <is>
          <t>Burt's Bees Mama Body Oil with Vitamin E, 100% Natural Origin, 4 Fluid Ounces</t>
        </is>
      </c>
      <c r="AO48" t="inlineStr">
        <is>
          <t>374</t>
        </is>
      </c>
      <c r="AP48" t="inlineStr">
        <is>
          <t>200</t>
        </is>
      </c>
    </row>
    <row r="49">
      <c r="A49" t="inlineStr">
        <is>
          <t>B002G9UE3Q</t>
        </is>
      </c>
      <c r="B49" t="inlineStr">
        <is>
          <t>False</t>
        </is>
      </c>
      <c r="C49" t="inlineStr">
        <is>
          <t>B002G9UE3Q</t>
        </is>
      </c>
      <c r="D49" t="inlineStr">
        <is>
          <t>Carhartt</t>
        </is>
      </c>
      <c r="E49" t="inlineStr">
        <is>
          <t>False</t>
        </is>
      </c>
      <c r="F49" t="inlineStr">
        <is>
          <t>Carhartt Men's Knit Cuffed Beanie, Coal Heather, One Size</t>
        </is>
      </c>
      <c r="G49">
        <v>1</v>
      </c>
      <c r="H49" s="2" t="str">
        <f>HYPERLINK("https://www.amazon.com/dp/B002G9UE3Q", "https://www.amazon.com/dp/B002G9UE3Q")</f>
      </c>
      <c r="I49" s="3">
        <v>9646</v>
      </c>
      <c r="J49" s="11">
        <v>3.57</v>
      </c>
      <c r="K49" s="5">
        <v>0.18309999999999998</v>
      </c>
      <c r="L49" s="15">
        <v>0.37579999999999997</v>
      </c>
      <c r="M49" t="inlineStr">
        <is>
          <t>True</t>
        </is>
      </c>
      <c r="N49" t="inlineStr">
        <is>
          <t>Clothing, Shoes &amp; Jewelry</t>
        </is>
      </c>
      <c r="O49" s="6">
        <v>1144</v>
      </c>
      <c r="P49" s="6">
        <v>515</v>
      </c>
      <c r="Q49" s="6">
        <v>4</v>
      </c>
      <c r="R49" s="6">
        <v>225</v>
      </c>
      <c r="S49" s="7">
        <v>9.5</v>
      </c>
      <c r="T49" s="7">
        <v>19.5</v>
      </c>
      <c r="U49">
        <v>18.77</v>
      </c>
      <c r="V49" s="8">
        <v>0</v>
      </c>
      <c r="W49" s="7">
        <v>0</v>
      </c>
      <c r="X49" s="7">
        <v>0</v>
      </c>
      <c r="Y49">
        <v>0.22</v>
      </c>
      <c r="Z49" s="8">
        <v>0</v>
      </c>
      <c r="AB49">
        <v>0</v>
      </c>
      <c r="AC49">
        <v>0</v>
      </c>
      <c r="AD49">
        <v>13</v>
      </c>
      <c r="AE49">
        <v>4</v>
      </c>
      <c r="AF49">
        <v>9</v>
      </c>
      <c r="AG49">
        <v>3</v>
      </c>
      <c r="AH49">
        <v>40</v>
      </c>
      <c r="AI49" t="inlineStr">
        <is>
          <t>False</t>
        </is>
      </c>
      <c r="AJ49" s="2" t="str">
        <f>HYPERLINK("https://keepa.com/#!product/1-B002G9UE3Q", "https://keepa.com/#!product/1-B002G9UE3Q")</f>
      </c>
      <c r="AK49" s="2" t="str">
        <f>HYPERLINK("https://camelcamelcamel.com/search?sq=B002G9UE3Q", "https://camelcamelcamel.com/search?sq=B002G9UE3Q")</f>
      </c>
      <c r="AL49" t="inlineStr">
        <is>
          <t/>
        </is>
      </c>
      <c r="AM49" s="10">
        <v>45417.11111111111</v>
      </c>
      <c r="AN49" t="inlineStr">
        <is>
          <t>Carhartt Men's Knit Cuffed Beanie</t>
        </is>
      </c>
      <c r="AO49" t="inlineStr">
        <is>
          <t>1500</t>
        </is>
      </c>
      <c r="AP49" t="inlineStr">
        <is>
          <t>TAKE ALL</t>
        </is>
      </c>
    </row>
    <row r="50">
      <c r="A50" t="inlineStr">
        <is>
          <t>B002HJ35YA</t>
        </is>
      </c>
      <c r="B50" t="inlineStr">
        <is>
          <t>False</t>
        </is>
      </c>
      <c r="C50" t="inlineStr">
        <is>
          <t>B002HJ35YA</t>
        </is>
      </c>
      <c r="D50" t="inlineStr">
        <is>
          <t>Wilton</t>
        </is>
      </c>
      <c r="E50" t="inlineStr">
        <is>
          <t>True</t>
        </is>
      </c>
      <c r="F50" t="inlineStr">
        <is>
          <t>Wilton Recipe Right Non-Stick Mini Loaf Pan Set, Small Loaf Pans for Baking, 3-Piece Cookware Set, 5.75 x 3 in., Steel</t>
        </is>
      </c>
      <c r="G50">
        <v>1</v>
      </c>
      <c r="H50" s="2" t="str">
        <f>HYPERLINK("https://www.amazon.com/dp/B002HJ35YA", "https://www.amazon.com/dp/B002HJ35YA")</f>
      </c>
      <c r="I50" s="3">
        <v>2491</v>
      </c>
      <c r="J50" s="12">
        <v>-0.39</v>
      </c>
      <c r="K50" s="13">
        <v>-0.0432</v>
      </c>
      <c r="L50" s="13">
        <v>-0.09179999999999999</v>
      </c>
      <c r="M50" t="inlineStr">
        <is>
          <t>True</t>
        </is>
      </c>
      <c r="N50" t="inlineStr">
        <is>
          <t>Kitchen &amp; Dining</t>
        </is>
      </c>
      <c r="O50" s="6">
        <v>2368</v>
      </c>
      <c r="P50" s="6">
        <v>9279</v>
      </c>
      <c r="Q50" s="6">
        <v>1984</v>
      </c>
      <c r="R50" s="6">
        <v>163</v>
      </c>
      <c r="S50" s="7">
        <v>4.25</v>
      </c>
      <c r="T50" s="7">
        <v>9.03</v>
      </c>
      <c r="U50">
        <v>11.88</v>
      </c>
      <c r="V50" s="8">
        <v>0</v>
      </c>
      <c r="W50" s="7">
        <v>0</v>
      </c>
      <c r="X50" s="7">
        <v>0</v>
      </c>
      <c r="Y50">
        <v>0.97</v>
      </c>
      <c r="Z50" s="9">
        <v>1</v>
      </c>
      <c r="AB50">
        <v>0</v>
      </c>
      <c r="AC50">
        <v>0</v>
      </c>
      <c r="AD50">
        <v>11</v>
      </c>
      <c r="AE50">
        <v>9</v>
      </c>
      <c r="AF50">
        <v>2</v>
      </c>
      <c r="AG50">
        <v>2</v>
      </c>
      <c r="AH50">
        <v>5</v>
      </c>
      <c r="AI50" t="inlineStr">
        <is>
          <t>False</t>
        </is>
      </c>
      <c r="AJ50" s="2" t="str">
        <f>HYPERLINK("https://keepa.com/#!product/1-B002HJ35YA", "https://keepa.com/#!product/1-B002HJ35YA")</f>
      </c>
      <c r="AK50" s="2" t="str">
        <f>HYPERLINK("https://camelcamelcamel.com/search?sq=B002HJ35YA", "https://camelcamelcamel.com/search?sq=B002HJ35YA")</f>
      </c>
      <c r="AL50" t="inlineStr">
        <is>
          <t/>
        </is>
      </c>
      <c r="AM50" s="10">
        <v>45417.11111111111</v>
      </c>
      <c r="AN50" t="inlineStr">
        <is>
          <t>Wilton Recipe Right Non-Stick Mini Loaf Pan Set, Small Loaf Pans for Baking, 3-Piece Cookware Set, 5.75 x 3 in., Steel</t>
        </is>
      </c>
      <c r="AO50" t="inlineStr">
        <is>
          <t>1664</t>
        </is>
      </c>
      <c r="AP50" t="inlineStr">
        <is>
          <t>TAKE ALL</t>
        </is>
      </c>
    </row>
    <row r="51">
      <c r="A51" t="inlineStr">
        <is>
          <t>B002LM5P5U</t>
        </is>
      </c>
      <c r="B51" t="inlineStr">
        <is>
          <t>False</t>
        </is>
      </c>
      <c r="C51" t="inlineStr">
        <is>
          <t>B002LM5P5U</t>
        </is>
      </c>
      <c r="D51" t="inlineStr">
        <is>
          <t>Sambucol</t>
        </is>
      </c>
      <c r="E51" t="inlineStr">
        <is>
          <t>False</t>
        </is>
      </c>
      <c r="F51" t="inlineStr">
        <is>
          <t>Sambucol Black Elderberry Chewable Tablets - Added Vitamin C, Chewable Elderberry Kids &amp; Adults Tablets, Supports Immunity, Black Elderberry Tablets, Gluten Free, Vegan - 30 Count, 2-Pack</t>
        </is>
      </c>
      <c r="G51">
        <v>1</v>
      </c>
      <c r="H51" s="2" t="str">
        <f>HYPERLINK("https://www.amazon.com/dp/B002LM5P5U", "https://www.amazon.com/dp/B002LM5P5U")</f>
      </c>
      <c r="I51" s="3">
        <v>298</v>
      </c>
      <c r="J51" s="11">
        <v>2.96</v>
      </c>
      <c r="K51" s="5">
        <v>0.149</v>
      </c>
      <c r="L51" s="5">
        <v>0.29600000000000004</v>
      </c>
      <c r="M51" t="inlineStr">
        <is>
          <t>True</t>
        </is>
      </c>
      <c r="N51" t="inlineStr">
        <is>
          <t>Health &amp; Household</t>
        </is>
      </c>
      <c r="O51" s="6">
        <v>53018</v>
      </c>
      <c r="P51" s="6">
        <v>46497</v>
      </c>
      <c r="Q51" s="6">
        <v>33033</v>
      </c>
      <c r="R51" s="6">
        <v>150</v>
      </c>
      <c r="S51" s="7">
        <v>10</v>
      </c>
      <c r="T51" s="7">
        <v>19.87</v>
      </c>
      <c r="U51">
        <v>19.59</v>
      </c>
      <c r="V51" s="8">
        <v>0</v>
      </c>
      <c r="W51" s="7">
        <v>0</v>
      </c>
      <c r="X51" s="7">
        <v>0</v>
      </c>
      <c r="Y51">
        <v>0.24</v>
      </c>
      <c r="Z51" s="8">
        <v>0</v>
      </c>
      <c r="AB51">
        <v>0</v>
      </c>
      <c r="AC51">
        <v>0</v>
      </c>
      <c r="AD51">
        <v>8</v>
      </c>
      <c r="AE51">
        <v>2</v>
      </c>
      <c r="AF51">
        <v>6</v>
      </c>
      <c r="AG51">
        <v>2</v>
      </c>
      <c r="AH51">
        <v>3</v>
      </c>
      <c r="AI51" t="inlineStr">
        <is>
          <t>False</t>
        </is>
      </c>
      <c r="AJ51" s="2" t="str">
        <f>HYPERLINK("https://keepa.com/#!product/1-B002LM5P5U", "https://keepa.com/#!product/1-B002LM5P5U")</f>
      </c>
      <c r="AK51" s="2" t="str">
        <f>HYPERLINK("https://camelcamelcamel.com/search?sq=B002LM5P5U", "https://camelcamelcamel.com/search?sq=B002LM5P5U")</f>
      </c>
      <c r="AL51" t="inlineStr">
        <is>
          <t/>
        </is>
      </c>
      <c r="AM51" s="10">
        <v>45417.11111111111</v>
      </c>
      <c r="AN51" t="inlineStr">
        <is>
          <t>Sambucol Black Elderberry Chewable Tablets - Added Vitamin C, Chewable Elderberry Kids &amp; Adults Tablets, Supports Immunity, Black Elderberry Tablets, Gluten Free, Vegan - 30 Count, 2-Pack</t>
        </is>
      </c>
      <c r="AO51" t="inlineStr">
        <is>
          <t>400</t>
        </is>
      </c>
      <c r="AP51" t="inlineStr">
        <is>
          <t>TAKE ALL</t>
        </is>
      </c>
    </row>
    <row r="52">
      <c r="A52" t="inlineStr">
        <is>
          <t>B002MWGN0A</t>
        </is>
      </c>
      <c r="B52" t="inlineStr">
        <is>
          <t>False</t>
        </is>
      </c>
      <c r="C52" t="inlineStr">
        <is>
          <t>B002MWGN0A</t>
        </is>
      </c>
      <c r="D52" t="inlineStr">
        <is>
          <t>Herbalife</t>
        </is>
      </c>
      <c r="E52" t="inlineStr">
        <is>
          <t>False</t>
        </is>
      </c>
      <c r="F52" t="inlineStr">
        <is>
          <t>Herbalife Herbal Aloe Drink (Concentrate)16 oz - New Mango Flavor!</t>
        </is>
      </c>
      <c r="G52">
        <v>1</v>
      </c>
      <c r="H52" s="2" t="str">
        <f>HYPERLINK("https://www.amazon.com/dp/B002MWGN0A", "https://www.amazon.com/dp/B002MWGN0A")</f>
      </c>
      <c r="I52" s="3">
        <v>1203</v>
      </c>
      <c r="J52" s="11">
        <v>1.95</v>
      </c>
      <c r="K52" s="5">
        <v>0.0703</v>
      </c>
      <c r="L52" s="5">
        <v>0.12380000000000001</v>
      </c>
      <c r="M52" t="inlineStr">
        <is>
          <t>True</t>
        </is>
      </c>
      <c r="N52" t="inlineStr">
        <is>
          <t>Health &amp; Household</t>
        </is>
      </c>
      <c r="O52" s="6">
        <v>19394</v>
      </c>
      <c r="P52" s="6">
        <v>11355</v>
      </c>
      <c r="Q52" s="6">
        <v>6842</v>
      </c>
      <c r="R52" s="6">
        <v>168</v>
      </c>
      <c r="S52" s="7">
        <v>15.75</v>
      </c>
      <c r="T52" s="7">
        <v>27.75</v>
      </c>
      <c r="U52">
        <v>32.25</v>
      </c>
      <c r="V52" s="8">
        <v>0</v>
      </c>
      <c r="W52" s="7">
        <v>0</v>
      </c>
      <c r="X52" s="7">
        <v>0</v>
      </c>
      <c r="Y52">
        <v>2.07</v>
      </c>
      <c r="Z52" s="8">
        <v>0</v>
      </c>
      <c r="AB52">
        <v>0</v>
      </c>
      <c r="AC52">
        <v>0</v>
      </c>
      <c r="AD52">
        <v>7</v>
      </c>
      <c r="AE52">
        <v>6</v>
      </c>
      <c r="AF52">
        <v>1</v>
      </c>
      <c r="AG52">
        <v>0</v>
      </c>
      <c r="AH52">
        <v>1</v>
      </c>
      <c r="AI52" t="inlineStr">
        <is>
          <t>False</t>
        </is>
      </c>
      <c r="AJ52" s="2" t="str">
        <f>HYPERLINK("https://keepa.com/#!product/1-B002MWGN0A", "https://keepa.com/#!product/1-B002MWGN0A")</f>
      </c>
      <c r="AK52" s="2" t="str">
        <f>HYPERLINK("https://camelcamelcamel.com/search?sq=B002MWGN0A", "https://camelcamelcamel.com/search?sq=B002MWGN0A")</f>
      </c>
      <c r="AL52" t="inlineStr">
        <is>
          <t/>
        </is>
      </c>
      <c r="AM52" s="10">
        <v>45417.11111111111</v>
      </c>
      <c r="AN52" t="inlineStr">
        <is>
          <t>Herbalife Herbal Aloe Drink (Concentrate)16 oz - New Mango Flavor!</t>
        </is>
      </c>
      <c r="AO52" t="inlineStr">
        <is>
          <t>500</t>
        </is>
      </c>
      <c r="AP52" t="inlineStr">
        <is>
          <t>250</t>
        </is>
      </c>
    </row>
    <row r="53">
      <c r="A53" t="inlineStr">
        <is>
          <t>B002NU6MZC</t>
        </is>
      </c>
      <c r="B53" t="inlineStr">
        <is>
          <t>False</t>
        </is>
      </c>
      <c r="C53" t="inlineStr">
        <is>
          <t>B002NU6MZC</t>
        </is>
      </c>
      <c r="D53" t="inlineStr">
        <is>
          <t>Wilton</t>
        </is>
      </c>
      <c r="E53" t="inlineStr">
        <is>
          <t>True</t>
        </is>
      </c>
      <c r="F53" t="inlineStr">
        <is>
          <t>Wilton Performance Pans Aluminum Round Cake Pan, 16-Inch</t>
        </is>
      </c>
      <c r="G53">
        <v>1</v>
      </c>
      <c r="H53" s="2" t="str">
        <f>HYPERLINK("https://www.amazon.com/dp/B002NU6MZC", "https://www.amazon.com/dp/B002NU6MZC")</f>
      </c>
      <c r="I53" s="3">
        <v>6782</v>
      </c>
      <c r="J53" s="12">
        <v>-2.66</v>
      </c>
      <c r="K53" s="13">
        <v>-0.1157</v>
      </c>
      <c r="L53" s="13">
        <v>-0.266</v>
      </c>
      <c r="M53" t="inlineStr">
        <is>
          <t>True</t>
        </is>
      </c>
      <c r="N53" t="inlineStr">
        <is>
          <t>Kitchen &amp; Dining</t>
        </is>
      </c>
      <c r="O53" s="6">
        <v>516</v>
      </c>
      <c r="P53" s="6">
        <v>18069</v>
      </c>
      <c r="Q53" s="6">
        <v>112</v>
      </c>
      <c r="R53" s="6">
        <v>149</v>
      </c>
      <c r="S53" s="7">
        <v>10</v>
      </c>
      <c r="T53" s="7">
        <v>22.99</v>
      </c>
      <c r="U53">
        <v>24.11</v>
      </c>
      <c r="V53" s="8">
        <v>0</v>
      </c>
      <c r="W53" s="7">
        <v>0</v>
      </c>
      <c r="X53" s="7">
        <v>0</v>
      </c>
      <c r="Y53">
        <v>2.26</v>
      </c>
      <c r="Z53" s="8">
        <v>0</v>
      </c>
      <c r="AB53">
        <v>0</v>
      </c>
      <c r="AC53">
        <v>0</v>
      </c>
      <c r="AD53">
        <v>19</v>
      </c>
      <c r="AE53">
        <v>5</v>
      </c>
      <c r="AF53">
        <v>4</v>
      </c>
      <c r="AG53">
        <v>1</v>
      </c>
      <c r="AH53">
        <v>10</v>
      </c>
      <c r="AI53" t="inlineStr">
        <is>
          <t>False</t>
        </is>
      </c>
      <c r="AJ53" s="2" t="str">
        <f>HYPERLINK("https://keepa.com/#!product/1-B002NU6MZC", "https://keepa.com/#!product/1-B002NU6MZC")</f>
      </c>
      <c r="AK53" s="2" t="str">
        <f>HYPERLINK("https://camelcamelcamel.com/search?sq=B002NU6MZC", "https://camelcamelcamel.com/search?sq=B002NU6MZC")</f>
      </c>
      <c r="AL53" t="inlineStr">
        <is>
          <t/>
        </is>
      </c>
      <c r="AM53" s="10">
        <v>45417.11111111111</v>
      </c>
      <c r="AN53" t="inlineStr">
        <is>
          <t>Wilton Performance Pans Aluminum Round Cake Pan, 16-Inch</t>
        </is>
      </c>
      <c r="AO53" t="inlineStr">
        <is>
          <t>3000</t>
        </is>
      </c>
      <c r="AP53" t="inlineStr">
        <is>
          <t>350</t>
        </is>
      </c>
    </row>
    <row r="54">
      <c r="A54" t="inlineStr">
        <is>
          <t>B002SMEI42</t>
        </is>
      </c>
      <c r="B54" t="inlineStr">
        <is>
          <t>False</t>
        </is>
      </c>
      <c r="C54" t="inlineStr">
        <is>
          <t>B002SMEI42</t>
        </is>
      </c>
      <c r="D54" t="inlineStr">
        <is>
          <t>SHOUT</t>
        </is>
      </c>
      <c r="E54" t="inlineStr">
        <is>
          <t>False</t>
        </is>
      </c>
      <c r="F54" t="inlineStr">
        <is>
          <t>Shout Advanced Ultra Concentrated Gel Brush, 8.7 Ounce, Treats Dried Food, Coffee, Wine, Makeup Stains, Safe for All Colorfast Washables, Works in All Water Temperatures</t>
        </is>
      </c>
      <c r="G54">
        <v>1</v>
      </c>
      <c r="H54" s="2" t="str">
        <f>HYPERLINK("https://www.amazon.com/dp/B002SMEI42", "https://www.amazon.com/dp/B002SMEI42")</f>
      </c>
      <c r="I54" s="3">
        <v>897</v>
      </c>
      <c r="J54" s="12">
        <v>-4.82</v>
      </c>
      <c r="K54" s="13">
        <v>-0.5929</v>
      </c>
      <c r="L54" s="13">
        <v>-0.6426999999999999</v>
      </c>
      <c r="M54" t="inlineStr">
        <is>
          <t>True</t>
        </is>
      </c>
      <c r="N54" t="inlineStr">
        <is>
          <t>Health &amp; Household</t>
        </is>
      </c>
      <c r="O54" s="6">
        <v>24370</v>
      </c>
      <c r="P54" s="6">
        <v>27985</v>
      </c>
      <c r="Q54" s="6">
        <v>8931</v>
      </c>
      <c r="R54" s="6">
        <v>205</v>
      </c>
      <c r="S54" s="7">
        <v>7.5</v>
      </c>
      <c r="T54" s="7">
        <v>8.13</v>
      </c>
      <c r="U54">
        <v>13.6</v>
      </c>
      <c r="V54" s="8">
        <v>0</v>
      </c>
      <c r="W54" s="7">
        <v>0</v>
      </c>
      <c r="X54" s="7">
        <v>0</v>
      </c>
      <c r="Y54">
        <v>1.08</v>
      </c>
      <c r="Z54" s="8">
        <v>0</v>
      </c>
      <c r="AB54">
        <v>0</v>
      </c>
      <c r="AC54">
        <v>0</v>
      </c>
      <c r="AD54">
        <v>63</v>
      </c>
      <c r="AE54">
        <v>38</v>
      </c>
      <c r="AF54">
        <v>25</v>
      </c>
      <c r="AG54">
        <v>0</v>
      </c>
      <c r="AH54">
        <v>4</v>
      </c>
      <c r="AI54" t="inlineStr">
        <is>
          <t>False</t>
        </is>
      </c>
      <c r="AJ54" s="2" t="str">
        <f>HYPERLINK("https://keepa.com/#!product/1-B002SMEI42", "https://keepa.com/#!product/1-B002SMEI42")</f>
      </c>
      <c r="AK54" s="2" t="str">
        <f>HYPERLINK("https://camelcamelcamel.com/search?sq=B002SMEI42", "https://camelcamelcamel.com/search?sq=B002SMEI42")</f>
      </c>
      <c r="AL54" t="inlineStr">
        <is>
          <t/>
        </is>
      </c>
      <c r="AM54" s="10">
        <v>45417.11111111111</v>
      </c>
      <c r="AN54" t="inlineStr">
        <is>
          <t>Shout Advanced Ultra Concentrated Gel Brush, 8.7 Ounce, Treats Dried Food, Coffee, Wine, Makeup Stains, Safe for All Colorfast Washables, Works in All Water Temperatures</t>
        </is>
      </c>
      <c r="AO54" t="inlineStr">
        <is>
          <t>362</t>
        </is>
      </c>
      <c r="AP54" t="inlineStr">
        <is>
          <t>TAKE ALL</t>
        </is>
      </c>
    </row>
    <row r="55">
      <c r="A55" t="inlineStr">
        <is>
          <t>B002UUTAI6</t>
        </is>
      </c>
      <c r="B55" t="inlineStr">
        <is>
          <t>False</t>
        </is>
      </c>
      <c r="C55" t="inlineStr">
        <is>
          <t>B002UUTAI6</t>
        </is>
      </c>
      <c r="D55" t="inlineStr">
        <is>
          <t>ZeroWater</t>
        </is>
      </c>
      <c r="E55" t="inlineStr">
        <is>
          <t>False</t>
        </is>
      </c>
      <c r="F55" t="inlineStr">
        <is>
          <t>ZeroWater TDSmeter-20 ZT-2 Electronic Water Tester, hand held, Blue</t>
        </is>
      </c>
      <c r="G55">
        <v>1</v>
      </c>
      <c r="H55" s="2" t="str">
        <f>HYPERLINK("https://www.amazon.com/dp/B002UUTAI6", "https://www.amazon.com/dp/B002UUTAI6")</f>
      </c>
      <c r="I55" s="3">
        <v>2485</v>
      </c>
      <c r="J55" s="11">
        <v>2</v>
      </c>
      <c r="K55" s="5">
        <v>0.15439999999999998</v>
      </c>
      <c r="L55" s="15">
        <v>0.3361</v>
      </c>
      <c r="M55" t="inlineStr">
        <is>
          <t>True</t>
        </is>
      </c>
      <c r="N55" t="inlineStr">
        <is>
          <t>Industrial &amp; Scientific</t>
        </is>
      </c>
      <c r="O55" s="6">
        <v>1292</v>
      </c>
      <c r="P55" s="6">
        <v>1303</v>
      </c>
      <c r="Q55" s="6">
        <v>854</v>
      </c>
      <c r="R55" s="6">
        <v>282</v>
      </c>
      <c r="S55" s="7">
        <v>5.95</v>
      </c>
      <c r="T55" s="7">
        <v>12.95</v>
      </c>
      <c r="U55">
        <v>12.97</v>
      </c>
      <c r="V55" s="8">
        <v>0</v>
      </c>
      <c r="W55" s="7">
        <v>0</v>
      </c>
      <c r="X55" s="7">
        <v>0</v>
      </c>
      <c r="Y55">
        <v>0.07</v>
      </c>
      <c r="Z55" s="8">
        <v>0</v>
      </c>
      <c r="AB55">
        <v>0</v>
      </c>
      <c r="AC55">
        <v>0</v>
      </c>
      <c r="AD55">
        <v>5</v>
      </c>
      <c r="AE55">
        <v>2</v>
      </c>
      <c r="AF55">
        <v>3</v>
      </c>
      <c r="AG55">
        <v>2</v>
      </c>
      <c r="AH55">
        <v>0</v>
      </c>
      <c r="AI55" t="inlineStr">
        <is>
          <t>False</t>
        </is>
      </c>
      <c r="AJ55" s="2" t="str">
        <f>HYPERLINK("https://keepa.com/#!product/1-B002UUTAI6", "https://keepa.com/#!product/1-B002UUTAI6")</f>
      </c>
      <c r="AK55" s="2" t="str">
        <f>HYPERLINK("https://camelcamelcamel.com/search?sq=B002UUTAI6", "https://camelcamelcamel.com/search?sq=B002UUTAI6")</f>
      </c>
      <c r="AL55" t="inlineStr">
        <is>
          <t/>
        </is>
      </c>
      <c r="AM55" s="10">
        <v>45417.11111111111</v>
      </c>
      <c r="AN55" t="inlineStr">
        <is>
          <t>ZeroWater TDSmeter-20 ZT-2 Electronic Water Tester, hand held, Blue</t>
        </is>
      </c>
      <c r="AO55" t="inlineStr">
        <is>
          <t>1000</t>
        </is>
      </c>
      <c r="AP55" t="inlineStr">
        <is>
          <t>TAKE ALL</t>
        </is>
      </c>
    </row>
    <row r="56">
      <c r="A56" t="inlineStr">
        <is>
          <t>B002Y27JYM</t>
        </is>
      </c>
      <c r="B56" t="inlineStr">
        <is>
          <t>False</t>
        </is>
      </c>
      <c r="C56" t="inlineStr">
        <is>
          <t>B002Y27JYM</t>
        </is>
      </c>
      <c r="D56" t="inlineStr">
        <is>
          <t>Nature's Bounty</t>
        </is>
      </c>
      <c r="E56" t="inlineStr">
        <is>
          <t>False</t>
        </is>
      </c>
      <c r="F56" t="inlineStr">
        <is>
          <t>Nature's Bounty Ginkgo Biloba Capsules 120mg, Memory Support Supplement, Supports Brain Function and Mental Alertness, 100 Capsules</t>
        </is>
      </c>
      <c r="G56">
        <v>1</v>
      </c>
      <c r="H56" s="2" t="str">
        <f>HYPERLINK("https://www.amazon.com/dp/B002Y27JYM", "https://www.amazon.com/dp/B002Y27JYM")</f>
      </c>
      <c r="I56" s="3">
        <v>6567</v>
      </c>
      <c r="J56" s="12">
        <v>-1.69</v>
      </c>
      <c r="K56" s="13">
        <v>-0.1277</v>
      </c>
      <c r="L56" s="13">
        <v>-0.1827</v>
      </c>
      <c r="M56" t="inlineStr">
        <is>
          <t>True</t>
        </is>
      </c>
      <c r="N56" t="inlineStr">
        <is>
          <t>Health &amp; Household</t>
        </is>
      </c>
      <c r="O56" s="6">
        <v>3956</v>
      </c>
      <c r="P56" s="6">
        <v>13280</v>
      </c>
      <c r="Q56" s="6">
        <v>3335</v>
      </c>
      <c r="R56" s="6">
        <v>324</v>
      </c>
      <c r="S56" s="7">
        <v>9.25</v>
      </c>
      <c r="T56" s="7">
        <v>13.23</v>
      </c>
      <c r="U56">
        <v>16.02</v>
      </c>
      <c r="V56" s="8">
        <v>0</v>
      </c>
      <c r="W56" s="7">
        <v>0</v>
      </c>
      <c r="X56" s="7">
        <v>0</v>
      </c>
      <c r="Y56">
        <v>0.15</v>
      </c>
      <c r="Z56" s="9">
        <v>0.47</v>
      </c>
      <c r="AB56">
        <v>0</v>
      </c>
      <c r="AC56">
        <v>0</v>
      </c>
      <c r="AD56">
        <v>22</v>
      </c>
      <c r="AE56">
        <v>9</v>
      </c>
      <c r="AF56">
        <v>13</v>
      </c>
      <c r="AG56">
        <v>2</v>
      </c>
      <c r="AH56">
        <v>4</v>
      </c>
      <c r="AI56" t="inlineStr">
        <is>
          <t>False</t>
        </is>
      </c>
      <c r="AJ56" s="2" t="str">
        <f>HYPERLINK("https://keepa.com/#!product/1-B002Y27JYM", "https://keepa.com/#!product/1-B002Y27JYM")</f>
      </c>
      <c r="AK56" s="2" t="str">
        <f>HYPERLINK("https://camelcamelcamel.com/search?sq=B002Y27JYM", "https://camelcamelcamel.com/search?sq=B002Y27JYM")</f>
      </c>
      <c r="AL56" t="inlineStr">
        <is>
          <t/>
        </is>
      </c>
      <c r="AM56" s="10">
        <v>45417.11111111111</v>
      </c>
      <c r="AN56" t="inlineStr">
        <is>
          <t>Nature's Bounty Ginkgo Biloba Capsules 120mg, Memory Support Supplement, Supports Brain Function and Mental Alertness, 100 Capsules</t>
        </is>
      </c>
      <c r="AO56" t="inlineStr">
        <is>
          <t>2700</t>
        </is>
      </c>
      <c r="AP56" t="inlineStr">
        <is>
          <t>1200</t>
        </is>
      </c>
    </row>
    <row r="57">
      <c r="A57" t="inlineStr">
        <is>
          <t>B0036WS1FA</t>
        </is>
      </c>
      <c r="B57" t="inlineStr">
        <is>
          <t>False</t>
        </is>
      </c>
      <c r="C57" t="inlineStr">
        <is>
          <t>B0036WS1FA</t>
        </is>
      </c>
      <c r="D57" t="inlineStr">
        <is>
          <t>West Bend</t>
        </is>
      </c>
      <c r="E57" t="inlineStr">
        <is>
          <t>False</t>
        </is>
      </c>
      <c r="F57" t="inlineStr">
        <is>
          <t>West Bend 54159 Classic Stainless Steel Electric Coffee Percolator with Heat Resistant Handle and Base Features Detachable Cord, 12-cup, Silver</t>
        </is>
      </c>
      <c r="G57">
        <v>1</v>
      </c>
      <c r="H57" s="2" t="str">
        <f>HYPERLINK("https://www.amazon.com/dp/B0036WS1FA", "https://www.amazon.com/dp/B0036WS1FA")</f>
      </c>
      <c r="I57" s="3">
        <v>270</v>
      </c>
      <c r="J57" s="12">
        <v>-3.99</v>
      </c>
      <c r="K57" s="13">
        <v>-0.1106</v>
      </c>
      <c r="L57" s="13">
        <v>-0.1506</v>
      </c>
      <c r="M57" t="inlineStr">
        <is>
          <t>True</t>
        </is>
      </c>
      <c r="N57" t="inlineStr">
        <is>
          <t>Home &amp; Kitchen</t>
        </is>
      </c>
      <c r="O57" s="6">
        <v>96335</v>
      </c>
      <c r="P57" s="6">
        <v>60245</v>
      </c>
      <c r="Q57" s="6">
        <v>19123</v>
      </c>
      <c r="R57" s="6">
        <v>188</v>
      </c>
      <c r="S57" s="7">
        <v>26.5</v>
      </c>
      <c r="T57" s="7">
        <v>36.08</v>
      </c>
      <c r="U57">
        <v>47.49</v>
      </c>
      <c r="V57" s="8">
        <v>0</v>
      </c>
      <c r="W57" s="7">
        <v>0</v>
      </c>
      <c r="X57" s="7">
        <v>0</v>
      </c>
      <c r="Y57">
        <v>3.22</v>
      </c>
      <c r="Z57" s="9">
        <v>0.98</v>
      </c>
      <c r="AB57">
        <v>0</v>
      </c>
      <c r="AC57">
        <v>0</v>
      </c>
      <c r="AD57">
        <v>14</v>
      </c>
      <c r="AE57">
        <v>1</v>
      </c>
      <c r="AF57">
        <v>6</v>
      </c>
      <c r="AG57">
        <v>1</v>
      </c>
      <c r="AH57">
        <v>0</v>
      </c>
      <c r="AI57" t="inlineStr">
        <is>
          <t>False</t>
        </is>
      </c>
      <c r="AJ57" s="2" t="str">
        <f>HYPERLINK("https://keepa.com/#!product/1-B0036WS1FA", "https://keepa.com/#!product/1-B0036WS1FA")</f>
      </c>
      <c r="AK57" s="2" t="str">
        <f>HYPERLINK("https://camelcamelcamel.com/search?sq=B0036WS1FA", "https://camelcamelcamel.com/search?sq=B0036WS1FA")</f>
      </c>
      <c r="AL57" t="inlineStr">
        <is>
          <t/>
        </is>
      </c>
      <c r="AM57" s="10">
        <v>45417.11111111111</v>
      </c>
      <c r="AN57" t="inlineStr">
        <is>
          <t>West Bend 54159 Classic Stainless Steel Electric Coffee Percolator with Heat Resistant Handle and Base Features Detachable Cord, 12-cup, Silver</t>
        </is>
      </c>
      <c r="AO57" t="inlineStr">
        <is>
          <t>300</t>
        </is>
      </c>
      <c r="AP57" t="inlineStr">
        <is>
          <t>TAKE ALL</t>
        </is>
      </c>
    </row>
    <row r="58">
      <c r="A58" t="inlineStr">
        <is>
          <t>B0037LGIMS</t>
        </is>
      </c>
      <c r="B58" t="inlineStr">
        <is>
          <t>False</t>
        </is>
      </c>
      <c r="C58" t="inlineStr">
        <is>
          <t>B0037LGIMS</t>
        </is>
      </c>
      <c r="D58" t="inlineStr">
        <is>
          <t>Aquafresh</t>
        </is>
      </c>
      <c r="E58" t="inlineStr">
        <is>
          <t>False</t>
        </is>
      </c>
      <c r="F58" t="inlineStr">
        <is>
          <t>Aqua Fresh Sensitive Maximum Strength Toothpaste, 5.6 oz, (32432)</t>
        </is>
      </c>
      <c r="G58">
        <v>1</v>
      </c>
      <c r="H58" s="2" t="str">
        <f>HYPERLINK("https://www.amazon.com/dp/B0037LGIMS", "https://www.amazon.com/dp/B0037LGIMS")</f>
      </c>
      <c r="I58" s="3">
        <v>123</v>
      </c>
      <c r="J58" s="12">
        <v>-0.95</v>
      </c>
      <c r="K58" s="13">
        <v>-0.13570000000000002</v>
      </c>
      <c r="L58" s="13">
        <v>-0.2235</v>
      </c>
      <c r="M58" t="inlineStr">
        <is>
          <t>True</t>
        </is>
      </c>
      <c r="N58" t="inlineStr">
        <is>
          <t>Health &amp; Household</t>
        </is>
      </c>
      <c r="O58" s="6">
        <v>90458</v>
      </c>
      <c r="P58" s="6">
        <v>132318</v>
      </c>
      <c r="Q58" s="6">
        <v>53685</v>
      </c>
      <c r="R58" s="6">
        <v>110</v>
      </c>
      <c r="S58" s="7">
        <v>4.25</v>
      </c>
      <c r="T58" s="7">
        <v>7</v>
      </c>
      <c r="U58">
        <v>8.41</v>
      </c>
      <c r="V58" s="8">
        <v>0</v>
      </c>
      <c r="W58" s="7">
        <v>0</v>
      </c>
      <c r="X58" s="7">
        <v>0</v>
      </c>
      <c r="Y58">
        <v>0.4</v>
      </c>
      <c r="Z58" s="8">
        <v>0</v>
      </c>
      <c r="AB58">
        <v>0</v>
      </c>
      <c r="AC58">
        <v>0</v>
      </c>
      <c r="AD58">
        <v>28</v>
      </c>
      <c r="AE58">
        <v>20</v>
      </c>
      <c r="AF58">
        <v>8</v>
      </c>
      <c r="AG58">
        <v>12</v>
      </c>
      <c r="AH58">
        <v>0</v>
      </c>
      <c r="AI58" t="inlineStr">
        <is>
          <t>False</t>
        </is>
      </c>
      <c r="AJ58" s="2" t="str">
        <f>HYPERLINK("https://keepa.com/#!product/1-B0037LGIMS", "https://keepa.com/#!product/1-B0037LGIMS")</f>
      </c>
      <c r="AK58" s="2" t="str">
        <f>HYPERLINK("https://camelcamelcamel.com/search?sq=B0037LGIMS", "https://camelcamelcamel.com/search?sq=B0037LGIMS")</f>
      </c>
      <c r="AL58" t="inlineStr">
        <is>
          <t/>
        </is>
      </c>
      <c r="AM58" s="10">
        <v>45417.11111111111</v>
      </c>
      <c r="AN58" t="inlineStr">
        <is>
          <t>Aqua Fresh Sensitive Maximum Strength Toothpaste, 5.6 oz, (32432)</t>
        </is>
      </c>
      <c r="AO58" t="inlineStr">
        <is>
          <t>15000</t>
        </is>
      </c>
      <c r="AP58" t="inlineStr">
        <is>
          <t>3000</t>
        </is>
      </c>
    </row>
    <row r="59">
      <c r="A59" t="inlineStr">
        <is>
          <t>B003CT2YQY</t>
        </is>
      </c>
      <c r="B59" t="inlineStr">
        <is>
          <t>False</t>
        </is>
      </c>
      <c r="C59" t="inlineStr">
        <is>
          <t>B003CT2YQY</t>
        </is>
      </c>
      <c r="D59" t="inlineStr">
        <is>
          <t>Metamucil</t>
        </is>
      </c>
      <c r="E59" t="inlineStr">
        <is>
          <t>False</t>
        </is>
      </c>
      <c r="F59" t="inlineStr">
        <is>
          <t>Metamucil, Daily Psyllium Husk Powder Supplement, Sugar-Free Powder, 4-in-1 Fiber for Digestive Health, Orange Flavored Drink, 180 teaspoons</t>
        </is>
      </c>
      <c r="G59">
        <v>1</v>
      </c>
      <c r="H59" s="2" t="str">
        <f>HYPERLINK("https://www.amazon.com/dp/B003CT2YQY", "https://www.amazon.com/dp/B003CT2YQY")</f>
      </c>
      <c r="I59" s="3">
        <v>36984</v>
      </c>
      <c r="J59" s="4">
        <v>4.74</v>
      </c>
      <c r="K59" s="5">
        <v>0.1437</v>
      </c>
      <c r="L59" s="5">
        <v>0.2788</v>
      </c>
      <c r="M59" t="inlineStr">
        <is>
          <t>True</t>
        </is>
      </c>
      <c r="N59" t="inlineStr">
        <is>
          <t>Health &amp; Household</t>
        </is>
      </c>
      <c r="O59" s="6">
        <v>309</v>
      </c>
      <c r="P59" s="6">
        <v>298</v>
      </c>
      <c r="Q59" s="6">
        <v>203</v>
      </c>
      <c r="R59" s="6">
        <v>283</v>
      </c>
      <c r="S59" s="7">
        <v>17</v>
      </c>
      <c r="T59" s="7">
        <v>32.98</v>
      </c>
      <c r="U59">
        <v>31.41</v>
      </c>
      <c r="V59" s="8">
        <v>0</v>
      </c>
      <c r="W59" s="7">
        <v>0</v>
      </c>
      <c r="X59" s="7">
        <v>0</v>
      </c>
      <c r="Y59">
        <v>2.56</v>
      </c>
      <c r="Z59" s="9">
        <v>1</v>
      </c>
      <c r="AB59">
        <v>0</v>
      </c>
      <c r="AC59">
        <v>0</v>
      </c>
      <c r="AD59">
        <v>21</v>
      </c>
      <c r="AE59">
        <v>2</v>
      </c>
      <c r="AF59">
        <v>19</v>
      </c>
      <c r="AG59">
        <v>1</v>
      </c>
      <c r="AH59">
        <v>1</v>
      </c>
      <c r="AI59" t="inlineStr">
        <is>
          <t>False</t>
        </is>
      </c>
      <c r="AJ59" s="2" t="str">
        <f>HYPERLINK("https://keepa.com/#!product/1-B003CT2YQY", "https://keepa.com/#!product/1-B003CT2YQY")</f>
      </c>
      <c r="AK59" s="2" t="str">
        <f>HYPERLINK("https://camelcamelcamel.com/search?sq=B003CT2YQY", "https://camelcamelcamel.com/search?sq=B003CT2YQY")</f>
      </c>
      <c r="AL59" t="inlineStr">
        <is>
          <t/>
        </is>
      </c>
      <c r="AM59" s="10">
        <v>45417.11111111111</v>
      </c>
      <c r="AN59" t="inlineStr">
        <is>
          <t>Metamucil, Daily Psyllium Husk Powder Supplement, Sugar-Free Powder, 4-in-1 Fiber for Digestive Health, Orange Flavored Drink, 180 teaspoons</t>
        </is>
      </c>
      <c r="AO59" t="inlineStr">
        <is>
          <t>108</t>
        </is>
      </c>
      <c r="AP59" t="inlineStr">
        <is>
          <t>TAKE ALL</t>
        </is>
      </c>
    </row>
    <row r="60">
      <c r="A60" t="inlineStr">
        <is>
          <t>B003DI19FG</t>
        </is>
      </c>
      <c r="B60" t="inlineStr">
        <is>
          <t>False</t>
        </is>
      </c>
      <c r="C60" t="inlineStr">
        <is>
          <t>B003DI19FG</t>
        </is>
      </c>
      <c r="D60" t="inlineStr">
        <is>
          <t>Miracle-Gro</t>
        </is>
      </c>
      <c r="E60" t="inlineStr">
        <is>
          <t>False</t>
        </is>
      </c>
      <c r="F60" t="inlineStr">
        <is>
          <t>Miracle-Gro All Purpose Plant Food - 12.5 Pound</t>
        </is>
      </c>
      <c r="G60">
        <v>1</v>
      </c>
      <c r="H60" s="2" t="str">
        <f>HYPERLINK("https://www.amazon.com/dp/B003DI19FG", "https://www.amazon.com/dp/B003DI19FG")</f>
      </c>
      <c r="I60" s="3">
        <v>60</v>
      </c>
      <c r="J60" s="4">
        <v>12.45</v>
      </c>
      <c r="K60" s="5">
        <v>0.2639</v>
      </c>
      <c r="L60" s="15">
        <v>0.7323999999999999</v>
      </c>
      <c r="M60" t="inlineStr">
        <is>
          <t>True</t>
        </is>
      </c>
      <c r="N60" t="inlineStr">
        <is>
          <t>Patio, Lawn &amp; Garden</t>
        </is>
      </c>
      <c r="O60" s="6">
        <v>91745</v>
      </c>
      <c r="P60" s="6">
        <v>56000</v>
      </c>
      <c r="Q60" s="6">
        <v>7208</v>
      </c>
      <c r="R60" s="6">
        <v>160</v>
      </c>
      <c r="S60" s="7">
        <v>17</v>
      </c>
      <c r="T60" s="7">
        <v>47.17</v>
      </c>
      <c r="U60">
        <v>38.41</v>
      </c>
      <c r="V60" s="8">
        <v>0</v>
      </c>
      <c r="W60" s="7">
        <v>0</v>
      </c>
      <c r="X60" s="7">
        <v>0</v>
      </c>
      <c r="Y60">
        <v>13.43</v>
      </c>
      <c r="Z60" s="8">
        <v>0</v>
      </c>
      <c r="AB60">
        <v>0</v>
      </c>
      <c r="AC60">
        <v>0</v>
      </c>
      <c r="AD60">
        <v>8</v>
      </c>
      <c r="AE60">
        <v>1</v>
      </c>
      <c r="AF60">
        <v>7</v>
      </c>
      <c r="AG60">
        <v>1</v>
      </c>
      <c r="AH60">
        <v>0</v>
      </c>
      <c r="AI60" t="inlineStr">
        <is>
          <t>False</t>
        </is>
      </c>
      <c r="AJ60" s="2" t="str">
        <f>HYPERLINK("https://keepa.com/#!product/1-B003DI19FG", "https://keepa.com/#!product/1-B003DI19FG")</f>
      </c>
      <c r="AK60" s="2" t="str">
        <f>HYPERLINK("https://camelcamelcamel.com/search?sq=B003DI19FG", "https://camelcamelcamel.com/search?sq=B003DI19FG")</f>
      </c>
      <c r="AL60" t="inlineStr">
        <is>
          <t/>
        </is>
      </c>
      <c r="AM60" s="10">
        <v>45417.11111111111</v>
      </c>
      <c r="AN60" t="inlineStr">
        <is>
          <t>Miracle-Gro All Purpose Plant Food - 12.5 Pound</t>
        </is>
      </c>
      <c r="AO60" t="inlineStr">
        <is>
          <t>450</t>
        </is>
      </c>
      <c r="AP60" t="inlineStr">
        <is>
          <t>144</t>
        </is>
      </c>
    </row>
    <row r="61">
      <c r="A61" t="inlineStr">
        <is>
          <t>B003JKDNQQ</t>
        </is>
      </c>
      <c r="B61" t="inlineStr">
        <is>
          <t>False</t>
        </is>
      </c>
      <c r="C61" t="inlineStr">
        <is>
          <t>B003JKDNQQ</t>
        </is>
      </c>
      <c r="D61" t="inlineStr">
        <is>
          <t>Paul Mitchell</t>
        </is>
      </c>
      <c r="E61" t="inlineStr">
        <is>
          <t>False</t>
        </is>
      </c>
      <c r="F61" t="inlineStr">
        <is>
          <t>Paul Mitchell Awapuhi Shampoo, Original Wash, Balances Moisture, For All Hair Types, 16.9 fl. oz.</t>
        </is>
      </c>
      <c r="G61">
        <v>1</v>
      </c>
      <c r="H61" s="2" t="str">
        <f>HYPERLINK("https://www.amazon.com/dp/B003JKDNQQ", "https://www.amazon.com/dp/B003JKDNQQ")</f>
      </c>
      <c r="I61" s="3">
        <v>6263</v>
      </c>
      <c r="J61" s="11">
        <v>1.35</v>
      </c>
      <c r="K61" s="5">
        <v>0.0771</v>
      </c>
      <c r="L61" s="5">
        <v>0.1588</v>
      </c>
      <c r="M61" t="inlineStr">
        <is>
          <t>True</t>
        </is>
      </c>
      <c r="N61" t="inlineStr">
        <is>
          <t>Beauty &amp; Personal Care</t>
        </is>
      </c>
      <c r="O61" s="6">
        <v>2708</v>
      </c>
      <c r="P61" s="6">
        <v>1994</v>
      </c>
      <c r="Q61" s="6">
        <v>1088</v>
      </c>
      <c r="R61" s="6">
        <v>286</v>
      </c>
      <c r="S61" s="7">
        <v>8.5</v>
      </c>
      <c r="T61" s="7">
        <v>17.5</v>
      </c>
      <c r="U61">
        <v>17.5</v>
      </c>
      <c r="V61" s="8">
        <v>0</v>
      </c>
      <c r="W61" s="7">
        <v>0</v>
      </c>
      <c r="X61" s="7">
        <v>0</v>
      </c>
      <c r="Y61">
        <v>1.23</v>
      </c>
      <c r="Z61" s="8">
        <v>0</v>
      </c>
      <c r="AB61">
        <v>0</v>
      </c>
      <c r="AC61">
        <v>0</v>
      </c>
      <c r="AD61">
        <v>4</v>
      </c>
      <c r="AE61">
        <v>3</v>
      </c>
      <c r="AF61">
        <v>1</v>
      </c>
      <c r="AG61">
        <v>2</v>
      </c>
      <c r="AH61">
        <v>0</v>
      </c>
      <c r="AI61" t="inlineStr">
        <is>
          <t>False</t>
        </is>
      </c>
      <c r="AJ61" s="2" t="str">
        <f>HYPERLINK("https://keepa.com/#!product/1-B003JKDNQQ", "https://keepa.com/#!product/1-B003JKDNQQ")</f>
      </c>
      <c r="AK61" s="2" t="str">
        <f>HYPERLINK("https://camelcamelcamel.com/search?sq=B003JKDNQQ", "https://camelcamelcamel.com/search?sq=B003JKDNQQ")</f>
      </c>
      <c r="AL61" t="inlineStr">
        <is>
          <t/>
        </is>
      </c>
      <c r="AM61" s="10">
        <v>45417.11111111111</v>
      </c>
      <c r="AN61" t="inlineStr">
        <is>
          <t>Paul Mitchell Awapuhi Shampoo, Original Wash, Balances Moisture, For All Hair Types</t>
        </is>
      </c>
      <c r="AO61" t="inlineStr">
        <is>
          <t>3200</t>
        </is>
      </c>
      <c r="AP61" t="inlineStr">
        <is>
          <t>500</t>
        </is>
      </c>
    </row>
    <row r="62">
      <c r="A62" t="inlineStr">
        <is>
          <t>B003LZVS7K</t>
        </is>
      </c>
      <c r="B62" t="inlineStr">
        <is>
          <t>False</t>
        </is>
      </c>
      <c r="C62" t="inlineStr">
        <is>
          <t>B003LZVS7K</t>
        </is>
      </c>
      <c r="D62" t="inlineStr">
        <is>
          <t>Campho-Phenique</t>
        </is>
      </c>
      <c r="E62" t="inlineStr">
        <is>
          <t>False</t>
        </is>
      </c>
      <c r="F62" t="inlineStr">
        <is>
          <t>Campho Phenique Maximum Strength Antiseptic Gel, Pain Relief and Anti-Itch Treatment, Instant Relief From Bug Bites, Minor Cuts and Skin Irritations, 0.5 Oz</t>
        </is>
      </c>
      <c r="G62">
        <v>1</v>
      </c>
      <c r="H62" s="2" t="str">
        <f>HYPERLINK("https://www.amazon.com/dp/B003LZVS7K", "https://www.amazon.com/dp/B003LZVS7K")</f>
      </c>
      <c r="I62" s="3">
        <v>562</v>
      </c>
      <c r="J62" s="11">
        <v>0.6</v>
      </c>
      <c r="K62" s="5">
        <v>0.071</v>
      </c>
      <c r="L62" s="5">
        <v>0.1412</v>
      </c>
      <c r="M62" t="inlineStr">
        <is>
          <t>True</t>
        </is>
      </c>
      <c r="N62" t="inlineStr">
        <is>
          <t>Health &amp; Household</t>
        </is>
      </c>
      <c r="O62" s="6">
        <v>34320</v>
      </c>
      <c r="P62" s="6">
        <v>39434</v>
      </c>
      <c r="Q62" s="6">
        <v>28083</v>
      </c>
      <c r="R62" s="6">
        <v>118</v>
      </c>
      <c r="S62" s="7">
        <v>4.25</v>
      </c>
      <c r="T62" s="7">
        <v>8.45</v>
      </c>
      <c r="U62">
        <v>8.66</v>
      </c>
      <c r="V62" s="8">
        <v>0</v>
      </c>
      <c r="W62" s="7">
        <v>0</v>
      </c>
      <c r="X62" s="7">
        <v>0</v>
      </c>
      <c r="Y62">
        <v>0.07</v>
      </c>
      <c r="Z62" s="9">
        <v>1</v>
      </c>
      <c r="AB62">
        <v>0</v>
      </c>
      <c r="AC62">
        <v>0</v>
      </c>
      <c r="AD62">
        <v>11</v>
      </c>
      <c r="AE62">
        <v>4</v>
      </c>
      <c r="AF62">
        <v>7</v>
      </c>
      <c r="AG62">
        <v>4</v>
      </c>
      <c r="AH62">
        <v>2</v>
      </c>
      <c r="AI62" t="inlineStr">
        <is>
          <t>False</t>
        </is>
      </c>
      <c r="AJ62" s="2" t="str">
        <f>HYPERLINK("https://keepa.com/#!product/1-B003LZVS7K", "https://keepa.com/#!product/1-B003LZVS7K")</f>
      </c>
      <c r="AK62" s="2" t="str">
        <f>HYPERLINK("https://camelcamelcamel.com/search?sq=B003LZVS7K", "https://camelcamelcamel.com/search?sq=B003LZVS7K")</f>
      </c>
      <c r="AL62" t="inlineStr">
        <is>
          <t/>
        </is>
      </c>
      <c r="AM62" s="10">
        <v>45417.11111111111</v>
      </c>
      <c r="AN62" t="inlineStr">
        <is>
          <t>Campho-Phenique Maximum Strength Antiseptic Gel, Pain Relief and Anti-Itch Treatment, Instant Relief From Bug Bites, Minor Cuts and Skin Irritations, 0.5 Oz</t>
        </is>
      </c>
      <c r="AO62" t="inlineStr">
        <is>
          <t>4000</t>
        </is>
      </c>
      <c r="AP62" t="inlineStr">
        <is>
          <t>2700</t>
        </is>
      </c>
    </row>
    <row r="63">
      <c r="A63" t="inlineStr">
        <is>
          <t>B003P7ZMXA</t>
        </is>
      </c>
      <c r="B63" t="inlineStr">
        <is>
          <t>False</t>
        </is>
      </c>
      <c r="C63" t="inlineStr">
        <is>
          <t>B003P7ZMXA</t>
        </is>
      </c>
      <c r="D63" t="inlineStr">
        <is>
          <t>Wonderful Pistachios</t>
        </is>
      </c>
      <c r="E63" t="inlineStr">
        <is>
          <t>False</t>
        </is>
      </c>
      <c r="F63" t="inlineStr">
        <is>
          <t>Wonderful Pistachios In Shell, Roasted and Salted Nuts - 32 Ounce Bag, Healthy Snack, Protein Snack, Pantry Staple</t>
        </is>
      </c>
      <c r="G63">
        <v>16</v>
      </c>
      <c r="H63" s="2" t="str">
        <f>HYPERLINK("https://www.amazon.com/dp/B003P7ZMXA", "https://www.amazon.com/dp/B003P7ZMXA")</f>
      </c>
      <c r="I63" s="3">
        <v>12287</v>
      </c>
      <c r="J63" s="12">
        <v>-77.74</v>
      </c>
      <c r="K63" s="13">
        <v>-5.840700000000001</v>
      </c>
      <c r="L63" s="13">
        <v>-0.9255</v>
      </c>
      <c r="M63" t="inlineStr">
        <is>
          <t>True</t>
        </is>
      </c>
      <c r="N63" t="inlineStr">
        <is>
          <t>Grocery &amp; Gourmet Food</t>
        </is>
      </c>
      <c r="O63" s="6">
        <v>129</v>
      </c>
      <c r="P63" s="6">
        <v>120</v>
      </c>
      <c r="Q63" s="6">
        <v>7</v>
      </c>
      <c r="R63" s="6">
        <v>289</v>
      </c>
      <c r="S63" s="7">
        <v>5.25</v>
      </c>
      <c r="T63" s="7">
        <v>13.31</v>
      </c>
      <c r="U63">
        <v>13.23</v>
      </c>
      <c r="V63" s="8">
        <v>0</v>
      </c>
      <c r="W63" s="7">
        <v>0</v>
      </c>
      <c r="X63" s="7">
        <v>0</v>
      </c>
      <c r="Y63">
        <v>2.05</v>
      </c>
      <c r="Z63" s="9">
        <v>1</v>
      </c>
      <c r="AB63">
        <v>0</v>
      </c>
      <c r="AC63">
        <v>0</v>
      </c>
      <c r="AD63">
        <v>5</v>
      </c>
      <c r="AE63">
        <v>2</v>
      </c>
      <c r="AF63">
        <v>3</v>
      </c>
      <c r="AG63">
        <v>2</v>
      </c>
      <c r="AH63">
        <v>9</v>
      </c>
      <c r="AI63" t="inlineStr">
        <is>
          <t>False</t>
        </is>
      </c>
      <c r="AJ63" s="2" t="str">
        <f>HYPERLINK("https://keepa.com/#!product/1-B003P7ZMXA", "https://keepa.com/#!product/1-B003P7ZMXA")</f>
      </c>
      <c r="AK63" s="2" t="str">
        <f>HYPERLINK("https://camelcamelcamel.com/search?sq=B003P7ZMXA", "https://camelcamelcamel.com/search?sq=B003P7ZMXA")</f>
      </c>
      <c r="AL63" t="inlineStr">
        <is>
          <t/>
        </is>
      </c>
      <c r="AM63" s="10">
        <v>45417.11111111111</v>
      </c>
      <c r="AN63" t="inlineStr">
        <is>
          <t>Wonderful Pistachios In Shell, Roasted and Salted Nuts - 32 Ounce Bag, Healthy Snack, Protein Snack, Pantry Staple</t>
        </is>
      </c>
      <c r="AO63" t="inlineStr">
        <is>
          <t>2300</t>
        </is>
      </c>
      <c r="AP63" t="inlineStr">
        <is>
          <t>1000</t>
        </is>
      </c>
    </row>
    <row r="64">
      <c r="A64" t="inlineStr">
        <is>
          <t>B003PFUN04</t>
        </is>
      </c>
      <c r="B64" t="inlineStr">
        <is>
          <t>False</t>
        </is>
      </c>
      <c r="C64" t="inlineStr">
        <is>
          <t>B003PFUN04</t>
        </is>
      </c>
      <c r="D64" t="inlineStr">
        <is>
          <t>Red Bull</t>
        </is>
      </c>
      <c r="E64" t="inlineStr">
        <is>
          <t>False</t>
        </is>
      </c>
      <c r="F64" t="inlineStr">
        <is>
          <t>Red Bull Energy Drink, 12 Fl Oz, 24 Cans</t>
        </is>
      </c>
      <c r="G64">
        <v>1</v>
      </c>
      <c r="H64" s="2" t="str">
        <f>HYPERLINK("https://www.amazon.com/dp/B003PFUN04", "https://www.amazon.com/dp/B003PFUN04")</f>
      </c>
      <c r="I64" s="3">
        <v>12487</v>
      </c>
      <c r="J64" s="4">
        <v>5.52</v>
      </c>
      <c r="K64" s="5">
        <v>0.0977</v>
      </c>
      <c r="L64" s="5">
        <v>0.2208</v>
      </c>
      <c r="M64" t="inlineStr">
        <is>
          <t>True</t>
        </is>
      </c>
      <c r="N64" t="inlineStr">
        <is>
          <t>Grocery &amp; Gourmet Food</t>
        </is>
      </c>
      <c r="O64" s="6">
        <v>123</v>
      </c>
      <c r="P64" s="6">
        <v>94</v>
      </c>
      <c r="Q64" s="6">
        <v>33</v>
      </c>
      <c r="R64" s="6">
        <v>232</v>
      </c>
      <c r="S64" s="7">
        <v>25</v>
      </c>
      <c r="T64" s="7">
        <v>56.48</v>
      </c>
      <c r="U64">
        <v>54.56</v>
      </c>
      <c r="V64" s="8">
        <v>0</v>
      </c>
      <c r="W64" s="7">
        <v>0</v>
      </c>
      <c r="X64" s="7">
        <v>0</v>
      </c>
      <c r="Y64">
        <v>20.6</v>
      </c>
      <c r="Z64" s="9">
        <v>1</v>
      </c>
      <c r="AB64">
        <v>0</v>
      </c>
      <c r="AC64">
        <v>0</v>
      </c>
      <c r="AD64">
        <v>47</v>
      </c>
      <c r="AE64">
        <v>1</v>
      </c>
      <c r="AF64">
        <v>46</v>
      </c>
      <c r="AG64">
        <v>1</v>
      </c>
      <c r="AH64">
        <v>7</v>
      </c>
      <c r="AI64" t="inlineStr">
        <is>
          <t>False</t>
        </is>
      </c>
      <c r="AJ64" s="2" t="str">
        <f>HYPERLINK("https://keepa.com/#!product/1-B003PFUN04", "https://keepa.com/#!product/1-B003PFUN04")</f>
      </c>
      <c r="AK64" s="2" t="str">
        <f>HYPERLINK("https://camelcamelcamel.com/search?sq=B003PFUN04", "https://camelcamelcamel.com/search?sq=B003PFUN04")</f>
      </c>
      <c r="AL64" t="inlineStr">
        <is>
          <t/>
        </is>
      </c>
      <c r="AM64" s="10">
        <v>45417.11111111111</v>
      </c>
      <c r="AN64" t="inlineStr">
        <is>
          <t>Red Bull Energy Drink, 12 Fl Oz, 24 Cans</t>
        </is>
      </c>
      <c r="AO64" t="inlineStr">
        <is>
          <t>4166</t>
        </is>
      </c>
      <c r="AP64" t="inlineStr">
        <is>
          <t>2500</t>
        </is>
      </c>
    </row>
    <row r="65">
      <c r="A65" t="inlineStr">
        <is>
          <t>B003T1CQDQ</t>
        </is>
      </c>
      <c r="B65" t="inlineStr">
        <is>
          <t>False</t>
        </is>
      </c>
      <c r="C65" t="inlineStr">
        <is>
          <t>B003T1CQDQ</t>
        </is>
      </c>
      <c r="D65" t="inlineStr">
        <is>
          <t>TIGI</t>
        </is>
      </c>
      <c r="E65" t="inlineStr">
        <is>
          <t>False</t>
        </is>
      </c>
      <c r="F65" t="inlineStr">
        <is>
          <t>Bed Head by TIGI Urban Antidotes Re-Energize Daily Shampoo and Conditioner 25.36 fl oz 2 count</t>
        </is>
      </c>
      <c r="G65">
        <v>1</v>
      </c>
      <c r="H65" s="2" t="str">
        <f>HYPERLINK("https://www.amazon.com/dp/B003T1CQDQ", "https://www.amazon.com/dp/B003T1CQDQ")</f>
      </c>
      <c r="I65" s="3">
        <v>974</v>
      </c>
      <c r="J65" s="4">
        <v>6.67</v>
      </c>
      <c r="K65" s="5">
        <v>0.16699999999999998</v>
      </c>
      <c r="L65" s="15">
        <v>0.3335</v>
      </c>
      <c r="M65" t="inlineStr">
        <is>
          <t>True</t>
        </is>
      </c>
      <c r="N65" t="inlineStr">
        <is>
          <t>Beauty &amp; Personal Care</t>
        </is>
      </c>
      <c r="O65" s="6">
        <v>18044</v>
      </c>
      <c r="P65" s="6">
        <v>33935</v>
      </c>
      <c r="Q65" s="6">
        <v>9871</v>
      </c>
      <c r="R65" s="6">
        <v>184</v>
      </c>
      <c r="S65" s="7">
        <v>20</v>
      </c>
      <c r="T65" s="7">
        <v>39.94</v>
      </c>
      <c r="U65">
        <v>37.48</v>
      </c>
      <c r="V65" s="8">
        <v>0</v>
      </c>
      <c r="W65" s="7">
        <v>0</v>
      </c>
      <c r="X65" s="7">
        <v>0</v>
      </c>
      <c r="Y65">
        <v>3.59</v>
      </c>
      <c r="Z65" s="8">
        <v>0</v>
      </c>
      <c r="AB65">
        <v>0</v>
      </c>
      <c r="AC65">
        <v>0</v>
      </c>
      <c r="AD65">
        <v>6</v>
      </c>
      <c r="AE65">
        <v>4</v>
      </c>
      <c r="AF65">
        <v>2</v>
      </c>
      <c r="AG65">
        <v>3</v>
      </c>
      <c r="AH65">
        <v>0</v>
      </c>
      <c r="AI65" t="inlineStr">
        <is>
          <t>False</t>
        </is>
      </c>
      <c r="AJ65" s="2" t="str">
        <f>HYPERLINK("https://keepa.com/#!product/1-B003T1CQDQ", "https://keepa.com/#!product/1-B003T1CQDQ")</f>
      </c>
      <c r="AK65" s="2" t="str">
        <f>HYPERLINK("https://camelcamelcamel.com/search?sq=B003T1CQDQ", "https://camelcamelcamel.com/search?sq=B003T1CQDQ")</f>
      </c>
      <c r="AL65" t="inlineStr">
        <is>
          <t/>
        </is>
      </c>
      <c r="AM65" s="10">
        <v>45417.11111111111</v>
      </c>
      <c r="AN65" t="inlineStr">
        <is>
          <t>Bed Head by TIGI Urban Antidotes Re-Energize Daily</t>
        </is>
      </c>
      <c r="AO65" t="inlineStr">
        <is>
          <t>450</t>
        </is>
      </c>
      <c r="AP65" t="inlineStr">
        <is>
          <t>TAKE ALL</t>
        </is>
      </c>
    </row>
    <row r="66">
      <c r="A66" t="inlineStr">
        <is>
          <t>B003XNCHAM</t>
        </is>
      </c>
      <c r="B66" t="inlineStr">
        <is>
          <t>False</t>
        </is>
      </c>
      <c r="C66" t="inlineStr">
        <is>
          <t>B003XNCHAM</t>
        </is>
      </c>
      <c r="D66" t="inlineStr">
        <is>
          <t>ORGANIC INDIA</t>
        </is>
      </c>
      <c r="E66" t="inlineStr">
        <is>
          <t>False</t>
        </is>
      </c>
      <c r="F66" t="inlineStr">
        <is>
          <t>Organic India Liver Kidney Herbal Supplement - Detoxify &amp; Rejuvenate, Supports Healthy Liver &amp; Kidney Function, Vegan, Gluten-Free, Kosher, USDA Certified Organic, Non-GMO - 90 Capsules</t>
        </is>
      </c>
      <c r="G66">
        <v>1</v>
      </c>
      <c r="H66" s="2" t="str">
        <f>HYPERLINK("https://www.amazon.com/dp/B003XNCHAM", "https://www.amazon.com/dp/B003XNCHAM")</f>
      </c>
      <c r="I66" s="3">
        <v>1558</v>
      </c>
      <c r="J66" s="11">
        <v>1.71</v>
      </c>
      <c r="K66" s="5">
        <v>0.0815</v>
      </c>
      <c r="L66" s="5">
        <v>0.1629</v>
      </c>
      <c r="M66" t="inlineStr">
        <is>
          <t>True</t>
        </is>
      </c>
      <c r="N66" t="inlineStr">
        <is>
          <t>Health &amp; Household</t>
        </is>
      </c>
      <c r="O66" s="6">
        <v>15762</v>
      </c>
      <c r="P66" s="6">
        <v>10534</v>
      </c>
      <c r="Q66" s="6">
        <v>6961</v>
      </c>
      <c r="R66" s="6">
        <v>236</v>
      </c>
      <c r="S66" s="7">
        <v>10.5</v>
      </c>
      <c r="T66" s="7">
        <v>20.99</v>
      </c>
      <c r="U66">
        <v>21.1</v>
      </c>
      <c r="V66" s="8">
        <v>0</v>
      </c>
      <c r="W66" s="7">
        <v>0</v>
      </c>
      <c r="X66" s="7">
        <v>0</v>
      </c>
      <c r="Y66">
        <v>0.44</v>
      </c>
      <c r="Z66" s="9">
        <v>0.07</v>
      </c>
      <c r="AB66">
        <v>0</v>
      </c>
      <c r="AC66">
        <v>0</v>
      </c>
      <c r="AD66">
        <v>5</v>
      </c>
      <c r="AE66">
        <v>2</v>
      </c>
      <c r="AF66">
        <v>3</v>
      </c>
      <c r="AG66">
        <v>2</v>
      </c>
      <c r="AH66">
        <v>2</v>
      </c>
      <c r="AI66" t="inlineStr">
        <is>
          <t>False</t>
        </is>
      </c>
      <c r="AJ66" s="2" t="str">
        <f>HYPERLINK("https://keepa.com/#!product/1-B003XNCHAM", "https://keepa.com/#!product/1-B003XNCHAM")</f>
      </c>
      <c r="AK66" s="2" t="str">
        <f>HYPERLINK("https://camelcamelcamel.com/search?sq=B003XNCHAM", "https://camelcamelcamel.com/search?sq=B003XNCHAM")</f>
      </c>
      <c r="AL66" t="inlineStr">
        <is>
          <t/>
        </is>
      </c>
      <c r="AM66" s="10">
        <v>45417.11111111111</v>
      </c>
      <c r="AN66" t="inlineStr">
        <is>
          <t>ORGANIC INDIA Liver Kidney Herbal Supplement - Detoxify &amp; Rejuvenate, Supports Healthy Liver &amp; Kidney Function, Vegan, Gluten-Free, Kosher, USDA Certified Organic, Non-GMO - 90 Capsules</t>
        </is>
      </c>
      <c r="AO66" t="inlineStr">
        <is>
          <t>260</t>
        </is>
      </c>
      <c r="AP66" t="inlineStr">
        <is>
          <t>TAKE ALL</t>
        </is>
      </c>
    </row>
    <row r="67">
      <c r="A67" t="inlineStr">
        <is>
          <t>B0040J2T9W</t>
        </is>
      </c>
      <c r="B67" t="inlineStr">
        <is>
          <t>False</t>
        </is>
      </c>
      <c r="C67" t="inlineStr">
        <is>
          <t>B0040J2T9W</t>
        </is>
      </c>
      <c r="D67" t="inlineStr">
        <is>
          <t>Caltrate</t>
        </is>
      </c>
      <c r="E67" t="inlineStr">
        <is>
          <t>False</t>
        </is>
      </c>
      <c r="F67" t="inlineStr">
        <is>
          <t>Caltrate Soft Chews 600 Plus D3 Calcium Vitamin D Supplement, Vanilla Creme - 60 Count</t>
        </is>
      </c>
      <c r="G67">
        <v>1</v>
      </c>
      <c r="H67" s="2" t="str">
        <f>HYPERLINK("https://www.amazon.com/dp/B0040J2T9W", "https://www.amazon.com/dp/B0040J2T9W")</f>
      </c>
      <c r="I67" s="3">
        <v>5825</v>
      </c>
      <c r="J67" s="11">
        <v>1.62</v>
      </c>
      <c r="K67" s="5">
        <v>0.1174</v>
      </c>
      <c r="L67" s="5">
        <v>0.2945</v>
      </c>
      <c r="M67" t="inlineStr">
        <is>
          <t>True</t>
        </is>
      </c>
      <c r="N67" t="inlineStr">
        <is>
          <t>Health &amp; Household</t>
        </is>
      </c>
      <c r="O67" s="6">
        <v>4508</v>
      </c>
      <c r="P67" s="6">
        <v>4268</v>
      </c>
      <c r="Q67" s="6">
        <v>3340</v>
      </c>
      <c r="R67" s="6">
        <v>305</v>
      </c>
      <c r="S67" s="7">
        <v>5.5</v>
      </c>
      <c r="T67" s="7">
        <v>13.8</v>
      </c>
      <c r="U67">
        <v>13.3</v>
      </c>
      <c r="V67" s="8">
        <v>0</v>
      </c>
      <c r="W67" s="7">
        <v>0</v>
      </c>
      <c r="X67" s="7">
        <v>0</v>
      </c>
      <c r="Y67">
        <v>0.71</v>
      </c>
      <c r="Z67" s="9">
        <v>1</v>
      </c>
      <c r="AB67">
        <v>0</v>
      </c>
      <c r="AC67">
        <v>0</v>
      </c>
      <c r="AD67">
        <v>12</v>
      </c>
      <c r="AE67">
        <v>1</v>
      </c>
      <c r="AF67">
        <v>11</v>
      </c>
      <c r="AG67">
        <v>1</v>
      </c>
      <c r="AH67">
        <v>2</v>
      </c>
      <c r="AI67" t="inlineStr">
        <is>
          <t>False</t>
        </is>
      </c>
      <c r="AJ67" s="2" t="str">
        <f>HYPERLINK("https://keepa.com/#!product/1-B0040J2T9W", "https://keepa.com/#!product/1-B0040J2T9W")</f>
      </c>
      <c r="AK67" s="2" t="str">
        <f>HYPERLINK("https://camelcamelcamel.com/search?sq=B0040J2T9W", "https://camelcamelcamel.com/search?sq=B0040J2T9W")</f>
      </c>
      <c r="AL67" t="inlineStr">
        <is>
          <t/>
        </is>
      </c>
      <c r="AM67" s="10">
        <v>45417.11111111111</v>
      </c>
      <c r="AN67" t="inlineStr">
        <is>
          <t>Caltrate Soft Chews 600 Plus D3 Calcium Vitamin D Supplement, Vanilla Creme - 60 Count</t>
        </is>
      </c>
      <c r="AO67" t="inlineStr">
        <is>
          <t>2000</t>
        </is>
      </c>
      <c r="AP67" t="inlineStr">
        <is>
          <t>1000</t>
        </is>
      </c>
    </row>
    <row r="68">
      <c r="A68" t="inlineStr">
        <is>
          <t>B004AE4U3K</t>
        </is>
      </c>
      <c r="B68" t="inlineStr">
        <is>
          <t>False</t>
        </is>
      </c>
      <c r="C68" t="inlineStr">
        <is>
          <t>B004AE4U3K</t>
        </is>
      </c>
      <c r="D68" t="inlineStr">
        <is>
          <t>Smucker's</t>
        </is>
      </c>
      <c r="E68" t="inlineStr">
        <is>
          <t>False</t>
        </is>
      </c>
      <c r="F68" t="inlineStr">
        <is>
          <t>Smucker's Peach Preserves, 18 Ounce (Pack of 6)</t>
        </is>
      </c>
      <c r="G68">
        <v>6</v>
      </c>
      <c r="H68" s="2" t="str">
        <f>HYPERLINK("https://www.amazon.com/dp/B004AE4U3K", "https://www.amazon.com/dp/B004AE4U3K")</f>
      </c>
      <c r="I68" s="3">
        <v>2091</v>
      </c>
      <c r="J68" s="12">
        <v>-127.08</v>
      </c>
      <c r="K68" s="13">
        <v>-3.5047</v>
      </c>
      <c r="L68" s="13">
        <v>-0.8558</v>
      </c>
      <c r="M68" t="inlineStr">
        <is>
          <t>True</t>
        </is>
      </c>
      <c r="N68" t="inlineStr">
        <is>
          <t>Grocery &amp; Gourmet Food</t>
        </is>
      </c>
      <c r="O68" s="6">
        <v>3851</v>
      </c>
      <c r="P68" s="6">
        <v>4042</v>
      </c>
      <c r="Q68" s="6">
        <v>2241</v>
      </c>
      <c r="R68" s="6">
        <v>382</v>
      </c>
      <c r="S68" s="7">
        <v>24.75</v>
      </c>
      <c r="T68" s="7">
        <v>36.26</v>
      </c>
      <c r="U68">
        <v>27.73</v>
      </c>
      <c r="V68" s="8">
        <v>0</v>
      </c>
      <c r="W68" s="7">
        <v>0</v>
      </c>
      <c r="X68" s="7">
        <v>0</v>
      </c>
      <c r="Y68">
        <v>9.99</v>
      </c>
      <c r="Z68" s="9">
        <v>0.13</v>
      </c>
      <c r="AB68">
        <v>0</v>
      </c>
      <c r="AC68">
        <v>0</v>
      </c>
      <c r="AD68">
        <v>6</v>
      </c>
      <c r="AE68">
        <v>2</v>
      </c>
      <c r="AF68">
        <v>4</v>
      </c>
      <c r="AG68">
        <v>0</v>
      </c>
      <c r="AH68">
        <v>13</v>
      </c>
      <c r="AI68" t="inlineStr">
        <is>
          <t>False</t>
        </is>
      </c>
      <c r="AJ68" s="2" t="str">
        <f>HYPERLINK("https://keepa.com/#!product/1-B004AE4U3K", "https://keepa.com/#!product/1-B004AE4U3K")</f>
      </c>
      <c r="AK68" s="2" t="str">
        <f>HYPERLINK("https://camelcamelcamel.com/search?sq=B004AE4U3K", "https://camelcamelcamel.com/search?sq=B004AE4U3K")</f>
      </c>
      <c r="AL68" t="inlineStr">
        <is>
          <t/>
        </is>
      </c>
      <c r="AM68" s="10">
        <v>45417.11111111111</v>
      </c>
      <c r="AN68" t="inlineStr">
        <is>
          <t>Smucker's Peach Preserves, 18 Ounce (Pack of 6)</t>
        </is>
      </c>
      <c r="AO68" t="inlineStr">
        <is>
          <t>366</t>
        </is>
      </c>
      <c r="AP68" t="inlineStr">
        <is>
          <t>TAKE ALL</t>
        </is>
      </c>
    </row>
    <row r="69">
      <c r="A69" t="inlineStr">
        <is>
          <t>B004CDQ73K</t>
        </is>
      </c>
      <c r="B69" t="inlineStr">
        <is>
          <t>False</t>
        </is>
      </c>
      <c r="C69" t="inlineStr">
        <is>
          <t>B004CDQ73K</t>
        </is>
      </c>
      <c r="D69" t="inlineStr">
        <is>
          <t>THINK</t>
        </is>
      </c>
      <c r="E69" t="inlineStr">
        <is>
          <t>False</t>
        </is>
      </c>
      <c r="F69" t="inlineStr">
        <is>
          <t>Thinkbaby SPF 50+ Baby Mineral Sunscreen – Safe, Natural Sunblock for Babies - Water Resistant Sun Cream – Broad Spectrum UVA/UVB Sun Protection – Vegan Baby Sunscreen Lotion, 3 Oz.</t>
        </is>
      </c>
      <c r="G69">
        <v>1</v>
      </c>
      <c r="H69" s="2" t="str">
        <f>HYPERLINK("https://www.amazon.com/dp/B004CDQ73K", "https://www.amazon.com/dp/B004CDQ73K")</f>
      </c>
      <c r="I69" s="3">
        <v>36038</v>
      </c>
      <c r="J69" s="11">
        <v>2.8</v>
      </c>
      <c r="K69" s="15">
        <v>0.3237</v>
      </c>
      <c r="L69" s="15">
        <v>1.2444</v>
      </c>
      <c r="M69" t="inlineStr">
        <is>
          <t>True</t>
        </is>
      </c>
      <c r="N69" t="inlineStr">
        <is>
          <t>Baby</t>
        </is>
      </c>
      <c r="O69" s="6">
        <v>13</v>
      </c>
      <c r="P69" s="6">
        <v>101</v>
      </c>
      <c r="Q69" s="6">
        <v>6</v>
      </c>
      <c r="R69" s="6">
        <v>238</v>
      </c>
      <c r="S69" s="7">
        <v>2.25</v>
      </c>
      <c r="T69" s="7">
        <v>8.65</v>
      </c>
      <c r="U69">
        <v>9.2</v>
      </c>
      <c r="V69" s="8">
        <v>0</v>
      </c>
      <c r="W69" s="7">
        <v>0</v>
      </c>
      <c r="X69" s="7">
        <v>0</v>
      </c>
      <c r="Y69">
        <v>0.24</v>
      </c>
      <c r="Z69" s="9">
        <v>1</v>
      </c>
      <c r="AB69">
        <v>0</v>
      </c>
      <c r="AC69">
        <v>0</v>
      </c>
      <c r="AD69">
        <v>16</v>
      </c>
      <c r="AE69">
        <v>5</v>
      </c>
      <c r="AF69">
        <v>11</v>
      </c>
      <c r="AG69">
        <v>2</v>
      </c>
      <c r="AH69">
        <v>2</v>
      </c>
      <c r="AI69" t="inlineStr">
        <is>
          <t>False</t>
        </is>
      </c>
      <c r="AJ69" s="2" t="str">
        <f>HYPERLINK("https://keepa.com/#!product/1-B004CDQ73K", "https://keepa.com/#!product/1-B004CDQ73K")</f>
      </c>
      <c r="AK69" s="2" t="str">
        <f>HYPERLINK("https://camelcamelcamel.com/search?sq=B004CDQ73K", "https://camelcamelcamel.com/search?sq=B004CDQ73K")</f>
      </c>
      <c r="AL69" t="inlineStr">
        <is>
          <t/>
        </is>
      </c>
      <c r="AM69" s="10">
        <v>45417.11111111111</v>
      </c>
      <c r="AN69" t="inlineStr">
        <is>
          <t>Thinkbaby SPF 50+ Baby Sunscreen â€“ Safe, Natural Sunblock for Babies - Water Resistant Sun Cream â€“ Broad Spectrum UVA/UVB Sun Protection â€“ Vegan Mineral Sun Lotion, 3 Oz.</t>
        </is>
      </c>
      <c r="AO69" t="inlineStr">
        <is>
          <t>10000</t>
        </is>
      </c>
      <c r="AP69" t="inlineStr">
        <is>
          <t>TAKE ALL</t>
        </is>
      </c>
    </row>
    <row r="70">
      <c r="A70" t="inlineStr">
        <is>
          <t>B004F7LDFK</t>
        </is>
      </c>
      <c r="B70" t="inlineStr">
        <is>
          <t>False</t>
        </is>
      </c>
      <c r="C70" t="inlineStr">
        <is>
          <t>B004F7LDFK</t>
        </is>
      </c>
      <c r="D70" t="inlineStr">
        <is>
          <t>Purell</t>
        </is>
      </c>
      <c r="E70" t="inlineStr">
        <is>
          <t>False</t>
        </is>
      </c>
      <c r="F70" t="inlineStr">
        <is>
          <t>Purell Advanced Hand Sanitizer Refreshing Gel, Clean Scent, 2-Liter Pump Bottle (Pack of 1). 9625-04</t>
        </is>
      </c>
      <c r="G70">
        <v>1</v>
      </c>
      <c r="H70" s="2" t="str">
        <f>HYPERLINK("https://www.amazon.com/dp/B004F7LDFK", "https://www.amazon.com/dp/B004F7LDFK")</f>
      </c>
      <c r="I70" s="3">
        <v>1625</v>
      </c>
      <c r="J70" s="4">
        <v>6.46</v>
      </c>
      <c r="K70" s="5">
        <v>0.2403</v>
      </c>
      <c r="L70" s="15">
        <v>0.76</v>
      </c>
      <c r="M70" t="inlineStr">
        <is>
          <t>True</t>
        </is>
      </c>
      <c r="N70" t="inlineStr">
        <is>
          <t>Health &amp; Household</t>
        </is>
      </c>
      <c r="O70" s="6">
        <v>15269</v>
      </c>
      <c r="P70" s="6">
        <v>13967</v>
      </c>
      <c r="Q70" s="6">
        <v>3112</v>
      </c>
      <c r="R70" s="6">
        <v>175</v>
      </c>
      <c r="S70" s="7">
        <v>8.5</v>
      </c>
      <c r="T70" s="7">
        <v>26.88</v>
      </c>
      <c r="U70">
        <v>29.61</v>
      </c>
      <c r="V70" s="8">
        <v>0</v>
      </c>
      <c r="W70" s="7">
        <v>0</v>
      </c>
      <c r="X70" s="7">
        <v>0</v>
      </c>
      <c r="Y70">
        <v>4.05</v>
      </c>
      <c r="Z70" s="9">
        <v>0.14</v>
      </c>
      <c r="AB70">
        <v>0</v>
      </c>
      <c r="AC70">
        <v>0</v>
      </c>
      <c r="AD70">
        <v>8</v>
      </c>
      <c r="AE70">
        <v>0</v>
      </c>
      <c r="AF70">
        <v>8</v>
      </c>
      <c r="AG70">
        <v>1</v>
      </c>
      <c r="AH70">
        <v>0</v>
      </c>
      <c r="AI70" t="inlineStr">
        <is>
          <t>True</t>
        </is>
      </c>
      <c r="AJ70" s="2" t="str">
        <f>HYPERLINK("https://keepa.com/#!product/1-B004F7LDFK", "https://keepa.com/#!product/1-B004F7LDFK")</f>
      </c>
      <c r="AK70" s="2" t="str">
        <f>HYPERLINK("https://camelcamelcamel.com/search?sq=B004F7LDFK", "https://camelcamelcamel.com/search?sq=B004F7LDFK")</f>
      </c>
      <c r="AL70" t="inlineStr">
        <is>
          <t/>
        </is>
      </c>
      <c r="AM70" s="10">
        <v>45417.11111111111</v>
      </c>
      <c r="AN70" t="inlineStr">
        <is>
          <t>Purell Advanced Hand Sanitizer Refreshing Gel, Clean Scent, 2-Liter Pump Bottle (Pack of 1). 9625-04</t>
        </is>
      </c>
      <c r="AO70" t="inlineStr">
        <is>
          <t>1000</t>
        </is>
      </c>
      <c r="AP70" t="inlineStr">
        <is>
          <t>TAKE ALL</t>
        </is>
      </c>
    </row>
    <row r="71">
      <c r="A71" t="inlineStr">
        <is>
          <t>B004FPS8NM</t>
        </is>
      </c>
      <c r="B71" t="inlineStr">
        <is>
          <t>False</t>
        </is>
      </c>
      <c r="C71" t="inlineStr">
        <is>
          <t>B004FPS8NM</t>
        </is>
      </c>
      <c r="D71" t="inlineStr">
        <is>
          <t>Natrol</t>
        </is>
      </c>
      <c r="E71" t="inlineStr">
        <is>
          <t>False</t>
        </is>
      </c>
      <c r="F71" t="inlineStr">
        <is>
          <t>Natrol Vitamin D3 10,000 IU Tablets, Support Your Immune Health, 60 Count</t>
        </is>
      </c>
      <c r="G71">
        <v>1</v>
      </c>
      <c r="H71" s="2" t="str">
        <f>HYPERLINK("https://www.amazon.com/dp/B004FPS8NM", "https://www.amazon.com/dp/B004FPS8NM")</f>
      </c>
      <c r="I71" s="3">
        <v>254</v>
      </c>
      <c r="J71" s="11">
        <v>1.27</v>
      </c>
      <c r="K71" s="5">
        <v>0.1472</v>
      </c>
      <c r="L71" s="15">
        <v>0.3387</v>
      </c>
      <c r="M71" t="inlineStr">
        <is>
          <t>True</t>
        </is>
      </c>
      <c r="N71" t="inlineStr">
        <is>
          <t>Health &amp; Household</t>
        </is>
      </c>
      <c r="O71" s="6">
        <v>58417</v>
      </c>
      <c r="P71" s="6">
        <v>55012</v>
      </c>
      <c r="Q71" s="6">
        <v>34405</v>
      </c>
      <c r="R71" s="6">
        <v>139</v>
      </c>
      <c r="S71" s="7">
        <v>3.75</v>
      </c>
      <c r="T71" s="7">
        <v>8.63</v>
      </c>
      <c r="U71">
        <v>7.94</v>
      </c>
      <c r="V71" s="8">
        <v>0</v>
      </c>
      <c r="W71" s="7">
        <v>0</v>
      </c>
      <c r="X71" s="7">
        <v>0</v>
      </c>
      <c r="Y71">
        <v>0.13</v>
      </c>
      <c r="Z71" s="9">
        <v>1</v>
      </c>
      <c r="AB71">
        <v>0</v>
      </c>
      <c r="AC71">
        <v>0</v>
      </c>
      <c r="AD71">
        <v>4</v>
      </c>
      <c r="AE71">
        <v>1</v>
      </c>
      <c r="AF71">
        <v>3</v>
      </c>
      <c r="AG71">
        <v>1</v>
      </c>
      <c r="AH71">
        <v>0</v>
      </c>
      <c r="AI71" t="inlineStr">
        <is>
          <t>False</t>
        </is>
      </c>
      <c r="AJ71" s="2" t="str">
        <f>HYPERLINK("https://keepa.com/#!product/1-B004FPS8NM", "https://keepa.com/#!product/1-B004FPS8NM")</f>
      </c>
      <c r="AK71" s="2" t="str">
        <f>HYPERLINK("https://camelcamelcamel.com/search?sq=B004FPS8NM", "https://camelcamelcamel.com/search?sq=B004FPS8NM")</f>
      </c>
      <c r="AL71" t="inlineStr">
        <is>
          <t/>
        </is>
      </c>
      <c r="AM71" s="10">
        <v>45417.11111111111</v>
      </c>
      <c r="AN71" t="inlineStr">
        <is>
          <t>Natrol Vitamin D3 10,000 IU Tablets, Support Your Immune Health, 60 Count</t>
        </is>
      </c>
      <c r="AO71" t="inlineStr">
        <is>
          <t>2000</t>
        </is>
      </c>
      <c r="AP71" t="inlineStr">
        <is>
          <t>250</t>
        </is>
      </c>
    </row>
    <row r="72">
      <c r="A72" t="inlineStr">
        <is>
          <t>B004GEYOX0</t>
        </is>
      </c>
      <c r="B72" t="inlineStr">
        <is>
          <t>False</t>
        </is>
      </c>
      <c r="C72" t="inlineStr">
        <is>
          <t>B004GEYOX0</t>
        </is>
      </c>
      <c r="D72" t="inlineStr">
        <is>
          <t>Mennen</t>
        </is>
      </c>
      <c r="E72" t="inlineStr">
        <is>
          <t>False</t>
        </is>
      </c>
      <c r="F72" t="inlineStr">
        <is>
          <t>Afta Pre-Electric Shave Lotion With Skin Conditioners Original 3 oz (6 pack)</t>
        </is>
      </c>
      <c r="G72">
        <v>6</v>
      </c>
      <c r="H72" s="2" t="str">
        <f>HYPERLINK("https://www.amazon.com/dp/B004GEYOX0", "https://www.amazon.com/dp/B004GEYOX0")</f>
      </c>
      <c r="I72" s="3">
        <v>635</v>
      </c>
      <c r="J72" s="12">
        <v>-19.34</v>
      </c>
      <c r="K72" s="13">
        <v>-0.8863</v>
      </c>
      <c r="L72" s="13">
        <v>-0.614</v>
      </c>
      <c r="M72" t="inlineStr">
        <is>
          <t>True</t>
        </is>
      </c>
      <c r="N72" t="inlineStr">
        <is>
          <t>Beauty &amp; Personal Care</t>
        </is>
      </c>
      <c r="O72" s="6">
        <v>25694</v>
      </c>
      <c r="P72" s="6">
        <v>33803</v>
      </c>
      <c r="Q72" s="6">
        <v>21774</v>
      </c>
      <c r="R72" s="6">
        <v>171</v>
      </c>
      <c r="S72" s="7">
        <v>5.25</v>
      </c>
      <c r="T72" s="7">
        <v>21.82</v>
      </c>
      <c r="U72">
        <v>22.26</v>
      </c>
      <c r="V72" s="8">
        <v>0</v>
      </c>
      <c r="W72" s="7">
        <v>0</v>
      </c>
      <c r="X72" s="7">
        <v>0</v>
      </c>
      <c r="Y72">
        <v>1.46</v>
      </c>
      <c r="Z72" s="8">
        <v>0</v>
      </c>
      <c r="AB72">
        <v>0</v>
      </c>
      <c r="AC72">
        <v>0</v>
      </c>
      <c r="AD72">
        <v>22</v>
      </c>
      <c r="AE72">
        <v>6</v>
      </c>
      <c r="AF72">
        <v>16</v>
      </c>
      <c r="AG72">
        <v>3</v>
      </c>
      <c r="AH72">
        <v>3</v>
      </c>
      <c r="AI72" t="inlineStr">
        <is>
          <t>True</t>
        </is>
      </c>
      <c r="AJ72" s="2" t="str">
        <f>HYPERLINK("https://keepa.com/#!product/1-B004GEYOX0", "https://keepa.com/#!product/1-B004GEYOX0")</f>
      </c>
      <c r="AK72" s="2" t="str">
        <f>HYPERLINK("https://camelcamelcamel.com/search?sq=B004GEYOX0", "https://camelcamelcamel.com/search?sq=B004GEYOX0")</f>
      </c>
      <c r="AL72" t="inlineStr">
        <is>
          <t/>
        </is>
      </c>
      <c r="AM72" s="10">
        <v>45417.11111111111</v>
      </c>
      <c r="AN72" t="inlineStr">
        <is>
          <t>Afta Pre-Electric Shave Lotion With Skin Conditioners Original 3 oz (6 pack)</t>
        </is>
      </c>
      <c r="AO72" t="inlineStr">
        <is>
          <t>700</t>
        </is>
      </c>
      <c r="AP72" t="inlineStr">
        <is>
          <t>350</t>
        </is>
      </c>
    </row>
    <row r="73">
      <c r="A73" t="inlineStr">
        <is>
          <t>B004I2E8HC</t>
        </is>
      </c>
      <c r="B73" t="inlineStr">
        <is>
          <t>False</t>
        </is>
      </c>
      <c r="C73" t="inlineStr">
        <is>
          <t>B004I2E8HC</t>
        </is>
      </c>
      <c r="D73" t="inlineStr">
        <is>
          <t>Bostitch</t>
        </is>
      </c>
      <c r="E73" t="inlineStr">
        <is>
          <t>False</t>
        </is>
      </c>
      <c r="F73" t="inlineStr">
        <is>
          <t>Bostitch Office EZ Squeeze 130 Sheet B8 PowerCrown Staples for Bostitch B8130, 1,000 Per Box (STCR130XHC)</t>
        </is>
      </c>
      <c r="G73">
        <v>1</v>
      </c>
      <c r="H73" s="2" t="str">
        <f>HYPERLINK("https://www.amazon.com/dp/B004I2E8HC", "https://www.amazon.com/dp/B004I2E8HC")</f>
      </c>
      <c r="I73" s="16">
        <v>45</v>
      </c>
      <c r="J73" s="11">
        <v>1.63</v>
      </c>
      <c r="K73" s="5">
        <v>0.1381</v>
      </c>
      <c r="L73" s="15">
        <v>0.36219999999999997</v>
      </c>
      <c r="M73" t="inlineStr">
        <is>
          <t>True</t>
        </is>
      </c>
      <c r="N73" t="inlineStr">
        <is>
          <t>Office Products</t>
        </is>
      </c>
      <c r="O73" s="6">
        <v>85372</v>
      </c>
      <c r="P73" s="6">
        <v>89131</v>
      </c>
      <c r="Q73" s="6">
        <v>37902</v>
      </c>
      <c r="R73" s="6">
        <v>107</v>
      </c>
      <c r="S73" s="7">
        <v>4.5</v>
      </c>
      <c r="T73" s="7">
        <v>11.8</v>
      </c>
      <c r="U73">
        <v>11.34</v>
      </c>
      <c r="V73" s="8">
        <v>0</v>
      </c>
      <c r="W73" s="7">
        <v>0</v>
      </c>
      <c r="X73" s="7">
        <v>0</v>
      </c>
      <c r="Y73">
        <v>0.31</v>
      </c>
      <c r="Z73" s="9">
        <v>1</v>
      </c>
      <c r="AB73">
        <v>0</v>
      </c>
      <c r="AC73">
        <v>0</v>
      </c>
      <c r="AD73">
        <v>16</v>
      </c>
      <c r="AE73">
        <v>4</v>
      </c>
      <c r="AF73">
        <v>12</v>
      </c>
      <c r="AG73">
        <v>4</v>
      </c>
      <c r="AH73">
        <v>0</v>
      </c>
      <c r="AI73" t="inlineStr">
        <is>
          <t>False</t>
        </is>
      </c>
      <c r="AJ73" s="2" t="str">
        <f>HYPERLINK("https://keepa.com/#!product/1-B004I2E8HC", "https://keepa.com/#!product/1-B004I2E8HC")</f>
      </c>
      <c r="AK73" s="2" t="str">
        <f>HYPERLINK("https://camelcamelcamel.com/search?sq=B004I2E8HC", "https://camelcamelcamel.com/search?sq=B004I2E8HC")</f>
      </c>
      <c r="AL73" t="inlineStr">
        <is>
          <t/>
        </is>
      </c>
      <c r="AM73" s="10">
        <v>45417.11111111111</v>
      </c>
      <c r="AN73" t="inlineStr">
        <is>
          <t>Bostitch Office EZ Squeeze 130 Sheet B8 PowerCrown Staples for Bostitch B8130, 1,000 Per Box (STCR130XHC)</t>
        </is>
      </c>
      <c r="AO73" t="inlineStr">
        <is>
          <t>200</t>
        </is>
      </c>
      <c r="AP73" t="inlineStr">
        <is>
          <t>TAKE ALL</t>
        </is>
      </c>
    </row>
    <row r="74">
      <c r="A74" t="inlineStr">
        <is>
          <t>B004JJQG9W</t>
        </is>
      </c>
      <c r="B74" t="inlineStr">
        <is>
          <t>False</t>
        </is>
      </c>
      <c r="C74" t="inlineStr">
        <is>
          <t>B004JJQG9W</t>
        </is>
      </c>
      <c r="D74" t="inlineStr">
        <is>
          <t>Starbucks</t>
        </is>
      </c>
      <c r="E74" t="inlineStr">
        <is>
          <t>False</t>
        </is>
      </c>
      <c r="F74" t="inlineStr">
        <is>
          <t>Starbucks Caffe Verona Whole Bean Coffee, 16 Ounce (Pack of 2)</t>
        </is>
      </c>
      <c r="G74">
        <v>2</v>
      </c>
      <c r="H74" s="2" t="str">
        <f>HYPERLINK("https://www.amazon.com/dp/B004JJQG9W", "https://www.amazon.com/dp/B004JJQG9W")</f>
      </c>
      <c r="I74" s="3">
        <v>171</v>
      </c>
      <c r="J74" s="12">
        <v>-17</v>
      </c>
      <c r="K74" s="13">
        <v>-0.4251</v>
      </c>
      <c r="L74" s="13">
        <v>-0.3778</v>
      </c>
      <c r="M74" t="inlineStr">
        <is>
          <t>True</t>
        </is>
      </c>
      <c r="N74" t="inlineStr">
        <is>
          <t>Grocery &amp; Gourmet Food</t>
        </is>
      </c>
      <c r="O74" s="6">
        <v>37487</v>
      </c>
      <c r="P74" s="6">
        <v>10505</v>
      </c>
      <c r="Q74" s="6">
        <v>136</v>
      </c>
      <c r="R74" s="6">
        <v>350</v>
      </c>
      <c r="S74" s="7">
        <v>22.5</v>
      </c>
      <c r="T74" s="7">
        <v>39.99</v>
      </c>
      <c r="U74">
        <v>0</v>
      </c>
      <c r="V74" s="8">
        <v>0</v>
      </c>
      <c r="W74" s="7">
        <v>0</v>
      </c>
      <c r="X74" s="7">
        <v>0</v>
      </c>
      <c r="Y74">
        <v>2.1</v>
      </c>
      <c r="Z74" s="8">
        <v>0</v>
      </c>
      <c r="AB74">
        <v>0</v>
      </c>
      <c r="AC74">
        <v>0</v>
      </c>
      <c r="AD74">
        <v>12</v>
      </c>
      <c r="AE74">
        <v>2</v>
      </c>
      <c r="AF74">
        <v>10</v>
      </c>
      <c r="AG74">
        <v>0</v>
      </c>
      <c r="AH74">
        <v>92</v>
      </c>
      <c r="AI74" t="inlineStr">
        <is>
          <t>False</t>
        </is>
      </c>
      <c r="AJ74" s="2" t="str">
        <f>HYPERLINK("https://keepa.com/#!product/1-B004JJQG9W", "https://keepa.com/#!product/1-B004JJQG9W")</f>
      </c>
      <c r="AK74" s="2" t="str">
        <f>HYPERLINK("https://camelcamelcamel.com/search?sq=B004JJQG9W", "https://camelcamelcamel.com/search?sq=B004JJQG9W")</f>
      </c>
      <c r="AL74" t="inlineStr">
        <is>
          <t/>
        </is>
      </c>
      <c r="AM74" s="10">
        <v>45417.11111111111</v>
      </c>
      <c r="AN74" t="inlineStr">
        <is>
          <t>Starbucks Offer</t>
        </is>
      </c>
      <c r="AO74" t="inlineStr">
        <is>
          <t>200</t>
        </is>
      </c>
      <c r="AP74" t="inlineStr">
        <is>
          <t>TAKE ALL</t>
        </is>
      </c>
    </row>
    <row r="75">
      <c r="A75" t="inlineStr">
        <is>
          <t>B004JMZH2G</t>
        </is>
      </c>
      <c r="B75" t="inlineStr">
        <is>
          <t>False</t>
        </is>
      </c>
      <c r="C75" t="inlineStr">
        <is>
          <t>B004JMZH2G</t>
        </is>
      </c>
      <c r="D75" t="inlineStr">
        <is>
          <t>BLACK+DECKER</t>
        </is>
      </c>
      <c r="E75" t="inlineStr">
        <is>
          <t>False</t>
        </is>
      </c>
      <c r="F75" t="inlineStr">
        <is>
          <t>BLACK+DECKER 20V MAX* Tiller (LGC120)</t>
        </is>
      </c>
      <c r="G75">
        <v>1</v>
      </c>
      <c r="H75" s="2" t="str">
        <f>HYPERLINK("https://www.amazon.com/dp/B004JMZH2G", "https://www.amazon.com/dp/B004JMZH2G")</f>
      </c>
      <c r="I75" s="3">
        <v>376</v>
      </c>
      <c r="J75" s="4">
        <v>14.83</v>
      </c>
      <c r="K75" s="5">
        <v>0.1246</v>
      </c>
      <c r="L75" s="5">
        <v>0.2165</v>
      </c>
      <c r="M75" t="inlineStr">
        <is>
          <t>True</t>
        </is>
      </c>
      <c r="N75" t="inlineStr">
        <is>
          <t>Home &amp; Kitchen</t>
        </is>
      </c>
      <c r="O75" s="6">
        <v>71415</v>
      </c>
      <c r="P75" s="6">
        <v>203498</v>
      </c>
      <c r="Q75" s="6">
        <v>65634</v>
      </c>
      <c r="R75" s="6">
        <v>111</v>
      </c>
      <c r="S75" s="7">
        <v>68.5</v>
      </c>
      <c r="T75" s="7">
        <v>119</v>
      </c>
      <c r="U75">
        <v>109.64</v>
      </c>
      <c r="V75" s="8">
        <v>0</v>
      </c>
      <c r="W75" s="7">
        <v>0</v>
      </c>
      <c r="X75" s="7">
        <v>0</v>
      </c>
      <c r="Y75">
        <v>12.15</v>
      </c>
      <c r="Z75" s="9">
        <v>0.25</v>
      </c>
      <c r="AB75">
        <v>0</v>
      </c>
      <c r="AC75">
        <v>0</v>
      </c>
      <c r="AD75">
        <v>1</v>
      </c>
      <c r="AE75">
        <v>1</v>
      </c>
      <c r="AF75">
        <v>0</v>
      </c>
      <c r="AG75">
        <v>1</v>
      </c>
      <c r="AH75">
        <v>2</v>
      </c>
      <c r="AI75" t="inlineStr">
        <is>
          <t>True</t>
        </is>
      </c>
      <c r="AJ75" s="2" t="str">
        <f>HYPERLINK("https://keepa.com/#!product/1-B004JMZH2G", "https://keepa.com/#!product/1-B004JMZH2G")</f>
      </c>
      <c r="AK75" s="2" t="str">
        <f>HYPERLINK("https://camelcamelcamel.com/search?sq=B004JMZH2G", "https://camelcamelcamel.com/search?sq=B004JMZH2G")</f>
      </c>
      <c r="AL75" t="inlineStr">
        <is>
          <t/>
        </is>
      </c>
      <c r="AM75" s="10">
        <v>45417.11111111111</v>
      </c>
      <c r="AN75" t="inlineStr">
        <is>
          <t>BLACK+DECKER 20V MAX* Tiller (LGC120)</t>
        </is>
      </c>
      <c r="AO75" t="inlineStr">
        <is>
          <t>1700</t>
        </is>
      </c>
      <c r="AP75" t="inlineStr">
        <is>
          <t>850</t>
        </is>
      </c>
    </row>
    <row r="76">
      <c r="A76" t="inlineStr">
        <is>
          <t>B004MNIVVG</t>
        </is>
      </c>
      <c r="B76" t="inlineStr">
        <is>
          <t>False</t>
        </is>
      </c>
      <c r="C76" t="inlineStr">
        <is>
          <t>B004MNIVVG</t>
        </is>
      </c>
      <c r="D76" t="inlineStr">
        <is>
          <t>Babyganics</t>
        </is>
      </c>
      <c r="E76" t="inlineStr">
        <is>
          <t>False</t>
        </is>
      </c>
      <c r="F76" t="inlineStr">
        <is>
          <t>BabyGanics Foaming Dish &amp; Bottle Soap Refill, Fragrance Free, 32 fl oz</t>
        </is>
      </c>
      <c r="G76">
        <v>1</v>
      </c>
      <c r="H76" s="2" t="str">
        <f>HYPERLINK("https://www.amazon.com/dp/B004MNIVVG", "https://www.amazon.com/dp/B004MNIVVG")</f>
      </c>
      <c r="I76" s="3">
        <v>1805</v>
      </c>
      <c r="J76" s="12">
        <v>-0.3</v>
      </c>
      <c r="K76" s="13">
        <v>-0.0167</v>
      </c>
      <c r="L76" s="13">
        <v>-0.0316</v>
      </c>
      <c r="M76" t="inlineStr">
        <is>
          <t>True</t>
        </is>
      </c>
      <c r="N76" t="inlineStr">
        <is>
          <t>Health &amp; Household</t>
        </is>
      </c>
      <c r="O76" s="6">
        <v>13947</v>
      </c>
      <c r="P76" s="6">
        <v>4471</v>
      </c>
      <c r="Q76" s="6">
        <v>1704</v>
      </c>
      <c r="R76" s="6">
        <v>295</v>
      </c>
      <c r="S76" s="7">
        <v>9.5</v>
      </c>
      <c r="T76" s="7">
        <v>18</v>
      </c>
      <c r="U76">
        <v>12.43</v>
      </c>
      <c r="V76" s="8">
        <v>0</v>
      </c>
      <c r="W76" s="7">
        <v>0</v>
      </c>
      <c r="X76" s="7">
        <v>0</v>
      </c>
      <c r="Y76">
        <v>2.27</v>
      </c>
      <c r="Z76" s="9">
        <v>0.01</v>
      </c>
      <c r="AB76">
        <v>0</v>
      </c>
      <c r="AC76">
        <v>0</v>
      </c>
      <c r="AD76">
        <v>8</v>
      </c>
      <c r="AE76">
        <v>4</v>
      </c>
      <c r="AF76">
        <v>4</v>
      </c>
      <c r="AG76">
        <v>0</v>
      </c>
      <c r="AH76">
        <v>6</v>
      </c>
      <c r="AI76" t="inlineStr">
        <is>
          <t>False</t>
        </is>
      </c>
      <c r="AJ76" s="2" t="str">
        <f>HYPERLINK("https://keepa.com/#!product/1-B004MNIVVG", "https://keepa.com/#!product/1-B004MNIVVG")</f>
      </c>
      <c r="AK76" s="2" t="str">
        <f>HYPERLINK("https://camelcamelcamel.com/search?sq=B004MNIVVG", "https://camelcamelcamel.com/search?sq=B004MNIVVG")</f>
      </c>
      <c r="AL76" t="inlineStr">
        <is>
          <t/>
        </is>
      </c>
      <c r="AM76" s="10">
        <v>45417.11111111111</v>
      </c>
      <c r="AN76" t="inlineStr">
        <is>
          <t>BabyGanics Foaming Dish &amp; Bottle Soap Refill, Fragrance Free, 32 fl oz</t>
        </is>
      </c>
      <c r="AO76" t="inlineStr">
        <is>
          <t>564</t>
        </is>
      </c>
      <c r="AP76" t="inlineStr">
        <is>
          <t>TAKE ALL</t>
        </is>
      </c>
    </row>
    <row r="77">
      <c r="A77" t="inlineStr">
        <is>
          <t>B004O277T2</t>
        </is>
      </c>
      <c r="B77" t="inlineStr">
        <is>
          <t>False</t>
        </is>
      </c>
      <c r="C77" t="inlineStr">
        <is>
          <t>B004O277T2</t>
        </is>
      </c>
      <c r="D77" t="inlineStr">
        <is>
          <t>DoTerra</t>
        </is>
      </c>
      <c r="E77" t="inlineStr">
        <is>
          <t>True</t>
        </is>
      </c>
      <c r="F77" t="inlineStr">
        <is>
          <t>doTERRA - On Guard Foaming Hand Wash Refill - 16 oz</t>
        </is>
      </c>
      <c r="G77">
        <v>1</v>
      </c>
      <c r="H77" s="2" t="str">
        <f>HYPERLINK("https://www.amazon.com/dp/B004O277T2", "https://www.amazon.com/dp/B004O277T2")</f>
      </c>
      <c r="I77" s="3">
        <v>695</v>
      </c>
      <c r="J77" s="4">
        <v>4.14</v>
      </c>
      <c r="K77" s="5">
        <v>0.1552</v>
      </c>
      <c r="L77" s="15">
        <v>0.30670000000000003</v>
      </c>
      <c r="M77" t="inlineStr">
        <is>
          <t>True</t>
        </is>
      </c>
      <c r="N77" t="inlineStr">
        <is>
          <t>Beauty &amp; Personal Care</t>
        </is>
      </c>
      <c r="O77" s="6">
        <v>23803</v>
      </c>
      <c r="P77" s="6">
        <v>38254</v>
      </c>
      <c r="Q77" s="6">
        <v>20936</v>
      </c>
      <c r="R77" s="6">
        <v>124</v>
      </c>
      <c r="S77" s="7">
        <v>13.5</v>
      </c>
      <c r="T77" s="7">
        <v>26.67</v>
      </c>
      <c r="U77">
        <v>26.28</v>
      </c>
      <c r="V77" s="8">
        <v>0</v>
      </c>
      <c r="W77" s="7">
        <v>0</v>
      </c>
      <c r="X77" s="7">
        <v>0</v>
      </c>
      <c r="Y77">
        <v>1.17</v>
      </c>
      <c r="Z77" s="8">
        <v>0</v>
      </c>
      <c r="AB77">
        <v>0</v>
      </c>
      <c r="AC77">
        <v>0</v>
      </c>
      <c r="AD77">
        <v>8</v>
      </c>
      <c r="AE77">
        <v>7</v>
      </c>
      <c r="AF77">
        <v>1</v>
      </c>
      <c r="AG77">
        <v>7</v>
      </c>
      <c r="AH77">
        <v>3</v>
      </c>
      <c r="AI77" t="inlineStr">
        <is>
          <t>False</t>
        </is>
      </c>
      <c r="AJ77" s="2" t="str">
        <f>HYPERLINK("https://keepa.com/#!product/1-B004O277T2", "https://keepa.com/#!product/1-B004O277T2")</f>
      </c>
      <c r="AK77" s="2" t="str">
        <f>HYPERLINK("https://camelcamelcamel.com/search?sq=B004O277T2", "https://camelcamelcamel.com/search?sq=B004O277T2")</f>
      </c>
      <c r="AL77" t="inlineStr">
        <is>
          <t/>
        </is>
      </c>
      <c r="AM77" s="10">
        <v>45417.11111111111</v>
      </c>
      <c r="AN77" t="inlineStr">
        <is>
          <t>doTERRA - On Guard Foaming Hand Wash Refill - 16 oz</t>
        </is>
      </c>
      <c r="AO77" t="inlineStr">
        <is>
          <t>500</t>
        </is>
      </c>
      <c r="AP77" t="inlineStr">
        <is>
          <t>TAKE ALL</t>
        </is>
      </c>
    </row>
    <row r="78">
      <c r="A78" t="inlineStr">
        <is>
          <t>B004R61NCW</t>
        </is>
      </c>
      <c r="B78" t="inlineStr">
        <is>
          <t>False</t>
        </is>
      </c>
      <c r="C78" t="inlineStr">
        <is>
          <t>B004R61NCW</t>
        </is>
      </c>
      <c r="D78" t="inlineStr">
        <is>
          <t>Puritan's Pride</t>
        </is>
      </c>
      <c r="E78" t="inlineStr">
        <is>
          <t>False</t>
        </is>
      </c>
      <c r="F78" t="inlineStr">
        <is>
          <t>Puritans Pride CoQ10 100mg, Supports Heart Health, 240 Rapid Release Softgels</t>
        </is>
      </c>
      <c r="G78">
        <v>1</v>
      </c>
      <c r="H78" s="2" t="str">
        <f>HYPERLINK("https://www.amazon.com/dp/B004R61NCW", "https://www.amazon.com/dp/B004R61NCW")</f>
      </c>
      <c r="I78" s="3">
        <v>8366</v>
      </c>
      <c r="J78" s="11">
        <v>1.83</v>
      </c>
      <c r="K78" s="5">
        <v>0.0732</v>
      </c>
      <c r="L78" s="5">
        <v>0.12</v>
      </c>
      <c r="M78" t="inlineStr">
        <is>
          <t>True</t>
        </is>
      </c>
      <c r="N78" t="inlineStr">
        <is>
          <t>Health &amp; Household</t>
        </is>
      </c>
      <c r="O78" s="6">
        <v>2976</v>
      </c>
      <c r="P78" s="6">
        <v>2103</v>
      </c>
      <c r="Q78" s="6">
        <v>1581</v>
      </c>
      <c r="R78" s="6">
        <v>281</v>
      </c>
      <c r="S78" s="7">
        <v>15.25</v>
      </c>
      <c r="T78" s="7">
        <v>25</v>
      </c>
      <c r="U78">
        <v>25.26</v>
      </c>
      <c r="V78" s="8">
        <v>0</v>
      </c>
      <c r="W78" s="7">
        <v>0</v>
      </c>
      <c r="X78" s="7">
        <v>0</v>
      </c>
      <c r="Y78">
        <v>0.55</v>
      </c>
      <c r="Z78" s="9">
        <v>1</v>
      </c>
      <c r="AB78">
        <v>0</v>
      </c>
      <c r="AC78">
        <v>0</v>
      </c>
      <c r="AD78">
        <v>4</v>
      </c>
      <c r="AE78">
        <v>2</v>
      </c>
      <c r="AF78">
        <v>2</v>
      </c>
      <c r="AG78">
        <v>1</v>
      </c>
      <c r="AH78">
        <v>6</v>
      </c>
      <c r="AI78" t="inlineStr">
        <is>
          <t>False</t>
        </is>
      </c>
      <c r="AJ78" s="2" t="str">
        <f>HYPERLINK("https://keepa.com/#!product/1-B004R61NCW", "https://keepa.com/#!product/1-B004R61NCW")</f>
      </c>
      <c r="AK78" s="2" t="str">
        <f>HYPERLINK("https://camelcamelcamel.com/search?sq=B004R61NCW", "https://camelcamelcamel.com/search?sq=B004R61NCW")</f>
      </c>
      <c r="AL78" t="inlineStr">
        <is>
          <t/>
        </is>
      </c>
      <c r="AM78" s="10">
        <v>45417.11111111111</v>
      </c>
      <c r="AN78" t="inlineStr">
        <is>
          <t>Puritan's Pride CoQ10 100mg, Supports Heart Health, 240 Rapid Release Softgels</t>
        </is>
      </c>
      <c r="AO78" t="inlineStr">
        <is>
          <t>2000</t>
        </is>
      </c>
      <c r="AP78" t="inlineStr">
        <is>
          <t>TAKE ALL</t>
        </is>
      </c>
    </row>
    <row r="79">
      <c r="A79" t="inlineStr">
        <is>
          <t>B004RSUZSS</t>
        </is>
      </c>
      <c r="B79" t="inlineStr">
        <is>
          <t>False</t>
        </is>
      </c>
      <c r="C79" t="inlineStr">
        <is>
          <t>B004RSUZSS</t>
        </is>
      </c>
      <c r="D79" t="inlineStr">
        <is>
          <t>Seventh Generation</t>
        </is>
      </c>
      <c r="E79" t="inlineStr">
        <is>
          <t>False</t>
        </is>
      </c>
      <c r="F79" t="inlineStr">
        <is>
          <t>Seventh Generation Pantiliner Pads, Free &amp; Clear, 50 Count</t>
        </is>
      </c>
      <c r="G79">
        <v>1</v>
      </c>
      <c r="H79" s="2" t="str">
        <f>HYPERLINK("https://www.amazon.com/dp/B004RSUZSS", "https://www.amazon.com/dp/B004RSUZSS")</f>
      </c>
      <c r="I79" s="16">
        <v>39</v>
      </c>
      <c r="J79" s="4">
        <v>9.07</v>
      </c>
      <c r="K79" s="15">
        <v>0.3245</v>
      </c>
      <c r="L79" s="15">
        <v>0.8637999999999999</v>
      </c>
      <c r="M79" t="inlineStr">
        <is>
          <t>True</t>
        </is>
      </c>
      <c r="N79" t="inlineStr">
        <is>
          <t>Health &amp; Household</t>
        </is>
      </c>
      <c r="O79" s="6">
        <v>167256</v>
      </c>
      <c r="P79" s="6">
        <v>59396</v>
      </c>
      <c r="Q79" s="6">
        <v>18533</v>
      </c>
      <c r="R79" s="6">
        <v>152</v>
      </c>
      <c r="S79" s="7">
        <v>10.5</v>
      </c>
      <c r="T79" s="7">
        <v>27.95</v>
      </c>
      <c r="U79">
        <v>29.15</v>
      </c>
      <c r="V79" s="8">
        <v>0</v>
      </c>
      <c r="W79" s="7">
        <v>0</v>
      </c>
      <c r="X79" s="7">
        <v>0</v>
      </c>
      <c r="Y79">
        <v>0.2</v>
      </c>
      <c r="Z79" s="8">
        <v>0</v>
      </c>
      <c r="AB79">
        <v>0</v>
      </c>
      <c r="AC79">
        <v>0</v>
      </c>
      <c r="AD79">
        <v>6</v>
      </c>
      <c r="AE79">
        <v>4</v>
      </c>
      <c r="AF79">
        <v>2</v>
      </c>
      <c r="AG79">
        <v>3</v>
      </c>
      <c r="AH79">
        <v>1</v>
      </c>
      <c r="AI79" t="inlineStr">
        <is>
          <t>False</t>
        </is>
      </c>
      <c r="AJ79" s="2" t="str">
        <f>HYPERLINK("https://keepa.com/#!product/1-B004RSUZSS", "https://keepa.com/#!product/1-B004RSUZSS")</f>
      </c>
      <c r="AK79" s="2" t="str">
        <f>HYPERLINK("https://camelcamelcamel.com/search?sq=B004RSUZSS", "https://camelcamelcamel.com/search?sq=B004RSUZSS")</f>
      </c>
      <c r="AL79" t="inlineStr">
        <is>
          <t/>
        </is>
      </c>
      <c r="AM79" s="10">
        <v>45417.11111111111</v>
      </c>
      <c r="AN79" t="inlineStr">
        <is>
          <t>Seventh Generation Pantiliner Pads, Free &amp; Clear, 50 Count</t>
        </is>
      </c>
      <c r="AO79" t="inlineStr">
        <is>
          <t>1500</t>
        </is>
      </c>
      <c r="AP79" t="inlineStr">
        <is>
          <t>TAKE ALL</t>
        </is>
      </c>
    </row>
    <row r="80">
      <c r="A80" t="inlineStr">
        <is>
          <t>B004U7QSYQ</t>
        </is>
      </c>
      <c r="B80" t="inlineStr">
        <is>
          <t>False</t>
        </is>
      </c>
      <c r="C80" t="inlineStr">
        <is>
          <t>B004U7QSYQ</t>
        </is>
      </c>
      <c r="D80" t="inlineStr">
        <is>
          <t>Starbucks</t>
        </is>
      </c>
      <c r="E80" t="inlineStr">
        <is>
          <t>False</t>
        </is>
      </c>
      <c r="F80" t="inlineStr">
        <is>
          <t>Starbucks Vanilla Syrup (1-L.)</t>
        </is>
      </c>
      <c r="G80">
        <v>1</v>
      </c>
      <c r="H80" s="2" t="str">
        <f>HYPERLINK("https://www.amazon.com/dp/B004U7QSYQ", "https://www.amazon.com/dp/B004U7QSYQ")</f>
      </c>
      <c r="I80" s="3">
        <v>4044</v>
      </c>
      <c r="J80" s="11">
        <v>2.51</v>
      </c>
      <c r="K80" s="5">
        <v>0.0964</v>
      </c>
      <c r="L80" s="5">
        <v>0.1953</v>
      </c>
      <c r="M80" t="inlineStr">
        <is>
          <t>True</t>
        </is>
      </c>
      <c r="N80" t="inlineStr">
        <is>
          <t>Grocery &amp; Gourmet Food</t>
        </is>
      </c>
      <c r="O80" s="6">
        <v>1520</v>
      </c>
      <c r="P80" s="6">
        <v>1535</v>
      </c>
      <c r="Q80" s="6">
        <v>1039</v>
      </c>
      <c r="R80" s="6">
        <v>226</v>
      </c>
      <c r="S80" s="7">
        <v>12.85</v>
      </c>
      <c r="T80" s="7">
        <v>26.05</v>
      </c>
      <c r="U80">
        <v>26.26</v>
      </c>
      <c r="V80" s="8">
        <v>0</v>
      </c>
      <c r="W80" s="7">
        <v>0</v>
      </c>
      <c r="X80" s="7">
        <v>0</v>
      </c>
      <c r="Y80">
        <v>2.82</v>
      </c>
      <c r="Z80" s="9">
        <v>0.17</v>
      </c>
      <c r="AB80">
        <v>0</v>
      </c>
      <c r="AC80">
        <v>0</v>
      </c>
      <c r="AD80">
        <v>15</v>
      </c>
      <c r="AE80">
        <v>9</v>
      </c>
      <c r="AF80">
        <v>6</v>
      </c>
      <c r="AG80">
        <v>3</v>
      </c>
      <c r="AH80">
        <v>22</v>
      </c>
      <c r="AI80" t="inlineStr">
        <is>
          <t>False</t>
        </is>
      </c>
      <c r="AJ80" s="2" t="str">
        <f>HYPERLINK("https://keepa.com/#!product/1-B004U7QSYQ", "https://keepa.com/#!product/1-B004U7QSYQ")</f>
      </c>
      <c r="AK80" s="2" t="str">
        <f>HYPERLINK("https://camelcamelcamel.com/search?sq=B004U7QSYQ", "https://camelcamelcamel.com/search?sq=B004U7QSYQ")</f>
      </c>
      <c r="AL80" t="inlineStr">
        <is>
          <t/>
        </is>
      </c>
      <c r="AM80" s="10">
        <v>45417.11111111111</v>
      </c>
      <c r="AN80" t="inlineStr">
        <is>
          <t>Starbucks Vanilla Syrup (1-L.)</t>
        </is>
      </c>
      <c r="AO80" t="inlineStr">
        <is>
          <t>528</t>
        </is>
      </c>
      <c r="AP80" t="inlineStr">
        <is>
          <t>264</t>
        </is>
      </c>
    </row>
    <row r="81">
      <c r="A81" t="inlineStr">
        <is>
          <t>B0055QCGWE</t>
        </is>
      </c>
      <c r="B81" t="inlineStr">
        <is>
          <t>False</t>
        </is>
      </c>
      <c r="C81" t="inlineStr">
        <is>
          <t>B0055QCGWE</t>
        </is>
      </c>
      <c r="D81" t="inlineStr">
        <is>
          <t>SKIPPY</t>
        </is>
      </c>
      <c r="E81" t="inlineStr">
        <is>
          <t>False</t>
        </is>
      </c>
      <c r="F81" t="inlineStr">
        <is>
          <t>Skippy Peanut Butter, Creamy, 16.3 oz</t>
        </is>
      </c>
      <c r="G81">
        <v>1</v>
      </c>
      <c r="H81" s="2" t="str">
        <f>HYPERLINK("https://www.amazon.com/dp/B0055QCGWE", "https://www.amazon.com/dp/B0055QCGWE")</f>
      </c>
      <c r="I81" s="3">
        <v>11377</v>
      </c>
      <c r="J81" s="12">
        <v>-2.94</v>
      </c>
      <c r="K81" s="13">
        <v>-0.3703</v>
      </c>
      <c r="L81" s="13">
        <v>-0.49</v>
      </c>
      <c r="M81" t="inlineStr">
        <is>
          <t>True</t>
        </is>
      </c>
      <c r="N81" t="inlineStr">
        <is>
          <t>Grocery &amp; Gourmet Food</t>
        </is>
      </c>
      <c r="O81" s="6">
        <v>164</v>
      </c>
      <c r="P81" s="6">
        <v>268</v>
      </c>
      <c r="Q81" s="6">
        <v>88</v>
      </c>
      <c r="R81" s="6">
        <v>266</v>
      </c>
      <c r="S81" s="7">
        <v>6</v>
      </c>
      <c r="T81" s="7">
        <v>7.94</v>
      </c>
      <c r="U81">
        <v>2.74</v>
      </c>
      <c r="V81" s="8">
        <v>0</v>
      </c>
      <c r="W81" s="7">
        <v>0</v>
      </c>
      <c r="X81" s="7">
        <v>0</v>
      </c>
      <c r="Y81">
        <v>1.06</v>
      </c>
      <c r="Z81" s="9">
        <v>0.27</v>
      </c>
      <c r="AB81">
        <v>0</v>
      </c>
      <c r="AC81">
        <v>0</v>
      </c>
      <c r="AD81">
        <v>12</v>
      </c>
      <c r="AE81">
        <v>3</v>
      </c>
      <c r="AF81">
        <v>9</v>
      </c>
      <c r="AG81">
        <v>0</v>
      </c>
      <c r="AH81">
        <v>22</v>
      </c>
      <c r="AI81" t="inlineStr">
        <is>
          <t>False</t>
        </is>
      </c>
      <c r="AJ81" s="2" t="str">
        <f>HYPERLINK("https://keepa.com/#!product/1-B0055QCGWE", "https://keepa.com/#!product/1-B0055QCGWE")</f>
      </c>
      <c r="AK81" s="2" t="str">
        <f>HYPERLINK("https://camelcamelcamel.com/search?sq=B0055QCGWE", "https://camelcamelcamel.com/search?sq=B0055QCGWE")</f>
      </c>
      <c r="AL81" t="inlineStr">
        <is>
          <t/>
        </is>
      </c>
      <c r="AM81" s="10">
        <v>45417.11111111111</v>
      </c>
      <c r="AN81" t="inlineStr">
        <is>
          <t>Skippy Peanut Butter, Creamy, 16.3 oz</t>
        </is>
      </c>
      <c r="AO81" t="inlineStr">
        <is>
          <t>1000</t>
        </is>
      </c>
      <c r="AP81" t="inlineStr">
        <is>
          <t>500</t>
        </is>
      </c>
    </row>
    <row r="82">
      <c r="A82" t="inlineStr">
        <is>
          <t>B0059CVEDG</t>
        </is>
      </c>
      <c r="B82" t="inlineStr">
        <is>
          <t>False</t>
        </is>
      </c>
      <c r="C82" t="inlineStr">
        <is>
          <t>B0059CVEDG</t>
        </is>
      </c>
      <c r="D82" t="inlineStr">
        <is>
          <t>Nike</t>
        </is>
      </c>
      <c r="E82" t="inlineStr">
        <is>
          <t>True</t>
        </is>
      </c>
      <c r="F82" t="inlineStr">
        <is>
          <t>NIKE Unisex Dry Cushion Crew Training Socks (6 Pairs), White/Black, Medium</t>
        </is>
      </c>
      <c r="G82">
        <v>1</v>
      </c>
      <c r="H82" s="2" t="str">
        <f>HYPERLINK("https://www.amazon.com/dp/B0059CVEDG", "https://www.amazon.com/dp/B0059CVEDG")</f>
      </c>
      <c r="I82" s="3">
        <v>4280</v>
      </c>
      <c r="J82" s="11">
        <v>2.07</v>
      </c>
      <c r="K82" s="5">
        <v>0.07139999999999999</v>
      </c>
      <c r="L82" s="5">
        <v>0.1294</v>
      </c>
      <c r="M82" t="inlineStr">
        <is>
          <t>True</t>
        </is>
      </c>
      <c r="N82" t="inlineStr">
        <is>
          <t>Clothing, Shoes &amp; Jewelry</t>
        </is>
      </c>
      <c r="O82" s="6">
        <v>4655</v>
      </c>
      <c r="P82" s="6">
        <v>5223</v>
      </c>
      <c r="Q82" s="6">
        <v>2428</v>
      </c>
      <c r="R82" s="6">
        <v>290</v>
      </c>
      <c r="S82" s="7">
        <v>16</v>
      </c>
      <c r="T82" s="7">
        <v>29</v>
      </c>
      <c r="U82">
        <v>29.93</v>
      </c>
      <c r="V82" s="8">
        <v>0</v>
      </c>
      <c r="W82" s="7">
        <v>0</v>
      </c>
      <c r="X82" s="7">
        <v>0</v>
      </c>
      <c r="Y82">
        <v>0.79</v>
      </c>
      <c r="Z82" s="9">
        <v>0.02</v>
      </c>
      <c r="AB82">
        <v>0</v>
      </c>
      <c r="AC82">
        <v>0</v>
      </c>
      <c r="AD82">
        <v>35</v>
      </c>
      <c r="AE82">
        <v>19</v>
      </c>
      <c r="AF82">
        <v>16</v>
      </c>
      <c r="AG82">
        <v>1</v>
      </c>
      <c r="AH82">
        <v>6</v>
      </c>
      <c r="AI82" t="inlineStr">
        <is>
          <t>False</t>
        </is>
      </c>
      <c r="AJ82" s="2" t="str">
        <f>HYPERLINK("https://keepa.com/#!product/1-B0059CVEDG", "https://keepa.com/#!product/1-B0059CVEDG")</f>
      </c>
      <c r="AK82" s="2" t="str">
        <f>HYPERLINK("https://camelcamelcamel.com/search?sq=B0059CVEDG", "https://camelcamelcamel.com/search?sq=B0059CVEDG")</f>
      </c>
      <c r="AL82" t="inlineStr">
        <is>
          <t/>
        </is>
      </c>
      <c r="AM82" s="10">
        <v>45417.11111111111</v>
      </c>
      <c r="AN82" t="inlineStr">
        <is>
          <t>Nike Dri-Fit Crew 6-Pair Pack</t>
        </is>
      </c>
      <c r="AO82" t="inlineStr">
        <is>
          <t>500</t>
        </is>
      </c>
      <c r="AP82" t="inlineStr">
        <is>
          <t>TAKE ALL</t>
        </is>
      </c>
    </row>
    <row r="83">
      <c r="A83" t="inlineStr">
        <is>
          <t>B005DKV9SE</t>
        </is>
      </c>
      <c r="B83" t="inlineStr">
        <is>
          <t>False</t>
        </is>
      </c>
      <c r="C83" t="inlineStr">
        <is>
          <t>B005DKV9SE</t>
        </is>
      </c>
      <c r="D83" t="inlineStr">
        <is>
          <t>Six Star</t>
        </is>
      </c>
      <c r="E83" t="inlineStr">
        <is>
          <t>False</t>
        </is>
      </c>
      <c r="F83" t="inlineStr">
        <is>
          <t>Six Star Creatine Pills Post Workout X3 Creatine Capsules | Creatine Monohydrate Blend | Muscle Recovery &amp; Muscle Builder for Men &amp; Women | Creatine Supplements, 20 Servings</t>
        </is>
      </c>
      <c r="G83">
        <v>1</v>
      </c>
      <c r="H83" s="2" t="str">
        <f>HYPERLINK("https://www.amazon.com/dp/B005DKV9SE", "https://www.amazon.com/dp/B005DKV9SE")</f>
      </c>
      <c r="I83" s="3">
        <v>2930</v>
      </c>
      <c r="J83" s="11">
        <v>0.75</v>
      </c>
      <c r="K83" s="5">
        <v>0.06269999999999999</v>
      </c>
      <c r="L83" s="5">
        <v>0.1364</v>
      </c>
      <c r="M83" t="inlineStr">
        <is>
          <t>True</t>
        </is>
      </c>
      <c r="N83" t="inlineStr">
        <is>
          <t>Health &amp; Household</t>
        </is>
      </c>
      <c r="O83" s="6">
        <v>9025</v>
      </c>
      <c r="P83" s="6">
        <v>6290</v>
      </c>
      <c r="Q83" s="6">
        <v>4013</v>
      </c>
      <c r="R83" s="6">
        <v>311</v>
      </c>
      <c r="S83" s="7">
        <v>5.5</v>
      </c>
      <c r="T83" s="7">
        <v>11.97</v>
      </c>
      <c r="U83">
        <v>11.77</v>
      </c>
      <c r="V83" s="8">
        <v>0</v>
      </c>
      <c r="W83" s="7">
        <v>0</v>
      </c>
      <c r="X83" s="7">
        <v>0</v>
      </c>
      <c r="Y83">
        <v>0.29</v>
      </c>
      <c r="Z83" s="9">
        <v>1</v>
      </c>
      <c r="AB83">
        <v>0</v>
      </c>
      <c r="AC83">
        <v>0</v>
      </c>
      <c r="AD83">
        <v>7</v>
      </c>
      <c r="AE83">
        <v>1</v>
      </c>
      <c r="AF83">
        <v>6</v>
      </c>
      <c r="AG83">
        <v>1</v>
      </c>
      <c r="AH83">
        <v>0</v>
      </c>
      <c r="AI83" t="inlineStr">
        <is>
          <t>False</t>
        </is>
      </c>
      <c r="AJ83" s="2" t="str">
        <f>HYPERLINK("https://keepa.com/#!product/1-B005DKV9SE", "https://keepa.com/#!product/1-B005DKV9SE")</f>
      </c>
      <c r="AK83" s="2" t="str">
        <f>HYPERLINK("https://camelcamelcamel.com/search?sq=B005DKV9SE", "https://camelcamelcamel.com/search?sq=B005DKV9SE")</f>
      </c>
      <c r="AL83" t="inlineStr">
        <is>
          <t/>
        </is>
      </c>
      <c r="AM83" s="10">
        <v>45417.11111111111</v>
      </c>
      <c r="AN83" t="inlineStr">
        <is>
          <t>Six Star Creatine Pills Post Workout X3 Creatine Capsules | Creatine Monohydrate Blend | Muscle Recovery &amp; Muscle Builder for Men &amp; Women | Creatine Supplements, 20 Servings</t>
        </is>
      </c>
      <c r="AO83" t="inlineStr">
        <is>
          <t>2000</t>
        </is>
      </c>
      <c r="AP83" t="inlineStr">
        <is>
          <t>1000</t>
        </is>
      </c>
    </row>
    <row r="84">
      <c r="A84" t="inlineStr">
        <is>
          <t>B005IMHAEO</t>
        </is>
      </c>
      <c r="B84" t="inlineStr">
        <is>
          <t>False</t>
        </is>
      </c>
      <c r="C84" t="inlineStr">
        <is>
          <t>B005IMHAEO</t>
        </is>
      </c>
      <c r="D84" t="inlineStr">
        <is>
          <t>GOODY</t>
        </is>
      </c>
      <c r="E84" t="inlineStr">
        <is>
          <t>False</t>
        </is>
      </c>
      <c r="F84" t="inlineStr">
        <is>
          <t>Goody Metal Contour Hair Snap Clips Blonde Colors - Just Snap Into Place - Suitable for All Hair Types - Pain-Free Hair Accessories for Women and Girls - All Day Comfort , 6 Count (Pack of 1)</t>
        </is>
      </c>
      <c r="G84">
        <v>3</v>
      </c>
      <c r="H84" s="2" t="str">
        <f>HYPERLINK("https://www.amazon.com/dp/B005IMHAEO", "https://www.amazon.com/dp/B005IMHAEO")</f>
      </c>
      <c r="I84" s="3">
        <v>3575</v>
      </c>
      <c r="J84" s="12">
        <v>-7.79</v>
      </c>
      <c r="K84" s="13">
        <v>-1.2464</v>
      </c>
      <c r="L84" s="13">
        <v>-0.6923999999999999</v>
      </c>
      <c r="M84" t="inlineStr">
        <is>
          <t>True</t>
        </is>
      </c>
      <c r="N84" t="inlineStr">
        <is>
          <t>Beauty &amp; Personal Care</t>
        </is>
      </c>
      <c r="O84" s="6">
        <v>5176</v>
      </c>
      <c r="P84" s="6">
        <v>6808</v>
      </c>
      <c r="Q84" s="6">
        <v>4578</v>
      </c>
      <c r="R84" s="6">
        <v>225</v>
      </c>
      <c r="S84" s="7">
        <v>3.75</v>
      </c>
      <c r="T84" s="7">
        <v>6.25</v>
      </c>
      <c r="U84">
        <v>7.15</v>
      </c>
      <c r="V84" s="8">
        <v>0</v>
      </c>
      <c r="W84" s="7">
        <v>0</v>
      </c>
      <c r="X84" s="7">
        <v>0</v>
      </c>
      <c r="Y84">
        <v>0.02</v>
      </c>
      <c r="Z84" s="9">
        <v>1</v>
      </c>
      <c r="AB84">
        <v>0</v>
      </c>
      <c r="AC84">
        <v>0</v>
      </c>
      <c r="AD84">
        <v>4</v>
      </c>
      <c r="AE84">
        <v>3</v>
      </c>
      <c r="AF84">
        <v>1</v>
      </c>
      <c r="AG84">
        <v>2</v>
      </c>
      <c r="AH84">
        <v>8</v>
      </c>
      <c r="AI84" t="inlineStr">
        <is>
          <t>False</t>
        </is>
      </c>
      <c r="AJ84" s="2" t="str">
        <f>HYPERLINK("https://keepa.com/#!product/1-B005IMHAEO", "https://keepa.com/#!product/1-B005IMHAEO")</f>
      </c>
      <c r="AK84" s="2" t="str">
        <f>HYPERLINK("https://camelcamelcamel.com/search?sq=B005IMHAEO", "https://camelcamelcamel.com/search?sq=B005IMHAEO")</f>
      </c>
      <c r="AL84" t="inlineStr">
        <is>
          <t/>
        </is>
      </c>
      <c r="AM84" s="10">
        <v>45417.11111111111</v>
      </c>
      <c r="AN84" t="inlineStr">
        <is>
          <t>Goody Metal Contour Hair Snap Clips Blonde Colors - Just Snap Into Place - Suitable for All Hair Types - Pain-Free Hair Accessories for Women and Girls - All Day Comfort , 6 Count (Pack of 1)</t>
        </is>
      </c>
      <c r="AO84" t="inlineStr">
        <is>
          <t>500</t>
        </is>
      </c>
      <c r="AP84" t="inlineStr">
        <is>
          <t>TAKE ALL</t>
        </is>
      </c>
    </row>
    <row r="85">
      <c r="A85" t="inlineStr">
        <is>
          <t>B005U6UQ6W</t>
        </is>
      </c>
      <c r="B85" t="inlineStr">
        <is>
          <t>False</t>
        </is>
      </c>
      <c r="C85" t="inlineStr">
        <is>
          <t>B005U6UQ6W</t>
        </is>
      </c>
      <c r="D85" t="inlineStr">
        <is>
          <t>Petmate</t>
        </is>
      </c>
      <c r="E85" t="inlineStr">
        <is>
          <t>False</t>
        </is>
      </c>
      <c r="F85" t="inlineStr">
        <is>
          <t>Petmate 48-Inch by 24-Inch 8 Panels Exercise Pen with Step Through Door</t>
        </is>
      </c>
      <c r="G85">
        <v>1</v>
      </c>
      <c r="H85" s="2" t="str">
        <f>HYPERLINK("https://www.amazon.com/dp/B005U6UQ6W", "https://www.amazon.com/dp/B005U6UQ6W")</f>
      </c>
      <c r="I85" s="16">
        <v>30</v>
      </c>
      <c r="J85" s="4">
        <v>31.78</v>
      </c>
      <c r="K85" s="5">
        <v>0.2119</v>
      </c>
      <c r="L85" s="15">
        <v>0.42090000000000005</v>
      </c>
      <c r="M85" t="inlineStr">
        <is>
          <t>True</t>
        </is>
      </c>
      <c r="N85" t="inlineStr">
        <is>
          <t>Pet Supplies</t>
        </is>
      </c>
      <c r="O85" s="6">
        <v>72832</v>
      </c>
      <c r="P85" s="6">
        <v>60224</v>
      </c>
      <c r="Q85" s="6">
        <v>25423</v>
      </c>
      <c r="R85" s="6">
        <v>102</v>
      </c>
      <c r="S85" s="7">
        <v>75.5</v>
      </c>
      <c r="T85" s="7">
        <v>149.99</v>
      </c>
      <c r="U85">
        <v>145.84</v>
      </c>
      <c r="V85" s="8">
        <v>0</v>
      </c>
      <c r="W85" s="7">
        <v>0</v>
      </c>
      <c r="X85" s="7">
        <v>0</v>
      </c>
      <c r="Y85">
        <v>27.1</v>
      </c>
      <c r="Z85" s="9">
        <v>0.17</v>
      </c>
      <c r="AB85">
        <v>0</v>
      </c>
      <c r="AC85">
        <v>0</v>
      </c>
      <c r="AD85">
        <v>4</v>
      </c>
      <c r="AE85">
        <v>2</v>
      </c>
      <c r="AF85">
        <v>1</v>
      </c>
      <c r="AG85">
        <v>2</v>
      </c>
      <c r="AH85">
        <v>5</v>
      </c>
      <c r="AI85" t="inlineStr">
        <is>
          <t>False</t>
        </is>
      </c>
      <c r="AJ85" s="2" t="str">
        <f>HYPERLINK("https://keepa.com/#!product/1-B005U6UQ6W", "https://keepa.com/#!product/1-B005U6UQ6W")</f>
      </c>
      <c r="AK85" s="2" t="str">
        <f>HYPERLINK("https://camelcamelcamel.com/search?sq=B005U6UQ6W", "https://camelcamelcamel.com/search?sq=B005U6UQ6W")</f>
      </c>
      <c r="AL85" t="inlineStr">
        <is>
          <t/>
        </is>
      </c>
      <c r="AM85" s="10">
        <v>45417.11111111111</v>
      </c>
      <c r="AN85" t="inlineStr">
        <is>
          <t>Petmate 48-Inch by 24-Inch 8 Panels Exercise Pen with Step Through Door</t>
        </is>
      </c>
      <c r="AO85" t="inlineStr">
        <is>
          <t>400</t>
        </is>
      </c>
      <c r="AP85" t="inlineStr">
        <is>
          <t>TAKE ALL</t>
        </is>
      </c>
    </row>
    <row r="86">
      <c r="A86" t="inlineStr">
        <is>
          <t>B005Y0RMEI</t>
        </is>
      </c>
      <c r="B86" t="inlineStr">
        <is>
          <t>False</t>
        </is>
      </c>
      <c r="C86" t="inlineStr">
        <is>
          <t>B005Y0RMEI</t>
        </is>
      </c>
      <c r="D86" t="inlineStr">
        <is>
          <t>Gillette</t>
        </is>
      </c>
      <c r="E86" t="inlineStr">
        <is>
          <t>True</t>
        </is>
      </c>
      <c r="F86" t="inlineStr">
        <is>
          <t>Gillette Classic Sensitive Skin Men's Shaving Foam, 200ml</t>
        </is>
      </c>
      <c r="G86">
        <v>1</v>
      </c>
      <c r="H86" s="2" t="str">
        <f>HYPERLINK("https://www.amazon.com/dp/B005Y0RMEI", "https://www.amazon.com/dp/B005Y0RMEI")</f>
      </c>
      <c r="I86" s="3">
        <v>554</v>
      </c>
      <c r="J86" s="12">
        <v>-0.45</v>
      </c>
      <c r="K86" s="13">
        <v>-0.045</v>
      </c>
      <c r="L86" s="13">
        <v>-0.0692</v>
      </c>
      <c r="M86" t="inlineStr">
        <is>
          <t>True</t>
        </is>
      </c>
      <c r="N86" t="inlineStr">
        <is>
          <t>Beauty &amp; Personal Care</t>
        </is>
      </c>
      <c r="O86" s="6">
        <v>28610</v>
      </c>
      <c r="P86" s="6">
        <v>32869</v>
      </c>
      <c r="Q86" s="6">
        <v>14388</v>
      </c>
      <c r="R86" s="6">
        <v>142</v>
      </c>
      <c r="S86" s="7">
        <v>6.5</v>
      </c>
      <c r="T86" s="7">
        <v>9.99</v>
      </c>
      <c r="U86">
        <v>8.65</v>
      </c>
      <c r="V86" s="8">
        <v>0</v>
      </c>
      <c r="W86" s="7">
        <v>0</v>
      </c>
      <c r="X86" s="7">
        <v>0</v>
      </c>
      <c r="Y86">
        <v>0.51</v>
      </c>
      <c r="Z86" s="8">
        <v>0</v>
      </c>
      <c r="AB86">
        <v>0</v>
      </c>
      <c r="AC86">
        <v>0</v>
      </c>
      <c r="AD86">
        <v>5</v>
      </c>
      <c r="AE86">
        <v>3</v>
      </c>
      <c r="AF86">
        <v>2</v>
      </c>
      <c r="AG86">
        <v>3</v>
      </c>
      <c r="AH86">
        <v>0</v>
      </c>
      <c r="AI86" t="inlineStr">
        <is>
          <t>True</t>
        </is>
      </c>
      <c r="AJ86" s="2" t="str">
        <f>HYPERLINK("https://keepa.com/#!product/1-B005Y0RMEI", "https://keepa.com/#!product/1-B005Y0RMEI")</f>
      </c>
      <c r="AK86" s="2" t="str">
        <f>HYPERLINK("https://camelcamelcamel.com/search?sq=B005Y0RMEI", "https://camelcamelcamel.com/search?sq=B005Y0RMEI")</f>
      </c>
      <c r="AL86" t="inlineStr">
        <is>
          <t/>
        </is>
      </c>
      <c r="AM86" s="10">
        <v>45417.11111111111</v>
      </c>
      <c r="AN86" t="inlineStr">
        <is>
          <t>Gillette Classic Sensitive Skin Men's Shaving Foam, 200ml</t>
        </is>
      </c>
      <c r="AO86" t="inlineStr">
        <is>
          <t>384</t>
        </is>
      </c>
      <c r="AP86" t="inlineStr">
        <is>
          <t>TAKE ALL</t>
        </is>
      </c>
    </row>
    <row r="87">
      <c r="A87" t="inlineStr">
        <is>
          <t>B006D4L8B2</t>
        </is>
      </c>
      <c r="B87" t="inlineStr">
        <is>
          <t>False</t>
        </is>
      </c>
      <c r="C87" t="inlineStr">
        <is>
          <t>B006D4L8B2</t>
        </is>
      </c>
      <c r="D87" t="inlineStr">
        <is>
          <t>Dawn</t>
        </is>
      </c>
      <c r="E87" t="inlineStr">
        <is>
          <t>False</t>
        </is>
      </c>
      <c r="F87" t="inlineStr">
        <is>
          <t>Dawn Fillable, 1 Count, Blue Sponge</t>
        </is>
      </c>
      <c r="G87">
        <v>1</v>
      </c>
      <c r="H87" s="2" t="str">
        <f>HYPERLINK("https://www.amazon.com/dp/B006D4L8B2", "https://www.amazon.com/dp/B006D4L8B2")</f>
      </c>
      <c r="I87" s="3">
        <v>3017</v>
      </c>
      <c r="J87" s="12">
        <v>-1.74</v>
      </c>
      <c r="K87" s="13">
        <v>-0.177</v>
      </c>
      <c r="L87" s="13">
        <v>-0.2784</v>
      </c>
      <c r="M87" t="inlineStr">
        <is>
          <t>True</t>
        </is>
      </c>
      <c r="N87" t="inlineStr">
        <is>
          <t>Health &amp; Household</t>
        </is>
      </c>
      <c r="O87" s="6">
        <v>8746</v>
      </c>
      <c r="P87" s="6">
        <v>15528</v>
      </c>
      <c r="Q87" s="6">
        <v>7128</v>
      </c>
      <c r="R87" s="6">
        <v>185</v>
      </c>
      <c r="S87" s="7">
        <v>6.25</v>
      </c>
      <c r="T87" s="7">
        <v>9.83</v>
      </c>
      <c r="U87">
        <v>12.55</v>
      </c>
      <c r="V87" s="8">
        <v>0</v>
      </c>
      <c r="W87" s="7">
        <v>0</v>
      </c>
      <c r="X87" s="7">
        <v>0</v>
      </c>
      <c r="Y87">
        <v>0.35</v>
      </c>
      <c r="Z87" s="9">
        <v>1</v>
      </c>
      <c r="AB87">
        <v>0</v>
      </c>
      <c r="AC87">
        <v>0</v>
      </c>
      <c r="AD87">
        <v>6</v>
      </c>
      <c r="AE87">
        <v>4</v>
      </c>
      <c r="AF87">
        <v>2</v>
      </c>
      <c r="AG87">
        <v>3</v>
      </c>
      <c r="AH87">
        <v>3</v>
      </c>
      <c r="AI87" t="inlineStr">
        <is>
          <t>False</t>
        </is>
      </c>
      <c r="AJ87" s="2" t="str">
        <f>HYPERLINK("https://keepa.com/#!product/1-B006D4L8B2", "https://keepa.com/#!product/1-B006D4L8B2")</f>
      </c>
      <c r="AK87" s="2" t="str">
        <f>HYPERLINK("https://camelcamelcamel.com/search?sq=B006D4L8B2", "https://camelcamelcamel.com/search?sq=B006D4L8B2")</f>
      </c>
      <c r="AL87" t="inlineStr">
        <is>
          <t/>
        </is>
      </c>
      <c r="AM87" s="10">
        <v>45417.11111111111</v>
      </c>
      <c r="AN87" t="inlineStr">
        <is>
          <t>Dawn Fillable, 1 Count, Blue Sponge</t>
        </is>
      </c>
      <c r="AO87" t="inlineStr">
        <is>
          <t>1596</t>
        </is>
      </c>
      <c r="AP87" t="inlineStr">
        <is>
          <t>TAKE ALL</t>
        </is>
      </c>
    </row>
    <row r="88">
      <c r="A88" t="inlineStr">
        <is>
          <t>B006HKBWBI</t>
        </is>
      </c>
      <c r="B88" t="inlineStr">
        <is>
          <t>False</t>
        </is>
      </c>
      <c r="C88" t="inlineStr">
        <is>
          <t>B006HKBWBI</t>
        </is>
      </c>
      <c r="D88" t="inlineStr">
        <is>
          <t>Nutro</t>
        </is>
      </c>
      <c r="E88" t="inlineStr">
        <is>
          <t>False</t>
        </is>
      </c>
      <c r="F88" t="inlineStr">
        <is>
          <t>NUTRO ULTRA Adult High Protein Natural Dry Dog Food with a Trio of Proteins from Chicken, Lamb and Salmon, 30 lb. Bag</t>
        </is>
      </c>
      <c r="G88">
        <v>1</v>
      </c>
      <c r="H88" s="2" t="str">
        <f>HYPERLINK("https://www.amazon.com/dp/B006HKBWBI", "https://www.amazon.com/dp/B006HKBWBI")</f>
      </c>
      <c r="I88" s="3">
        <v>2769</v>
      </c>
      <c r="J88" s="4">
        <v>4.03</v>
      </c>
      <c r="K88" s="5">
        <v>0.0464</v>
      </c>
      <c r="L88" s="5">
        <v>0.084</v>
      </c>
      <c r="M88" t="inlineStr">
        <is>
          <t>True</t>
        </is>
      </c>
      <c r="N88" t="inlineStr">
        <is>
          <t>Pet Supplies</t>
        </is>
      </c>
      <c r="O88" s="6">
        <v>3126</v>
      </c>
      <c r="P88" s="6">
        <v>2461</v>
      </c>
      <c r="Q88" s="6">
        <v>901</v>
      </c>
      <c r="R88" s="6">
        <v>280</v>
      </c>
      <c r="S88" s="7">
        <v>48</v>
      </c>
      <c r="T88" s="7">
        <v>86.77</v>
      </c>
      <c r="U88">
        <v>88.36</v>
      </c>
      <c r="V88" s="8">
        <v>0</v>
      </c>
      <c r="W88" s="7">
        <v>0</v>
      </c>
      <c r="X88" s="7">
        <v>0</v>
      </c>
      <c r="Y88">
        <v>30.3</v>
      </c>
      <c r="Z88" s="9">
        <v>0.93</v>
      </c>
      <c r="AB88">
        <v>0</v>
      </c>
      <c r="AC88">
        <v>0</v>
      </c>
      <c r="AD88">
        <v>12</v>
      </c>
      <c r="AE88">
        <v>3</v>
      </c>
      <c r="AF88">
        <v>9</v>
      </c>
      <c r="AG88">
        <v>3</v>
      </c>
      <c r="AH88">
        <v>3</v>
      </c>
      <c r="AI88" t="inlineStr">
        <is>
          <t>False</t>
        </is>
      </c>
      <c r="AJ88" s="2" t="str">
        <f>HYPERLINK("https://keepa.com/#!product/1-B006HKBWBI", "https://keepa.com/#!product/1-B006HKBWBI")</f>
      </c>
      <c r="AK88" s="2" t="str">
        <f>HYPERLINK("https://camelcamelcamel.com/search?sq=B006HKBWBI", "https://camelcamelcamel.com/search?sq=B006HKBWBI")</f>
      </c>
      <c r="AL88" t="inlineStr">
        <is>
          <t/>
        </is>
      </c>
      <c r="AM88" s="10">
        <v>45417.11111111111</v>
      </c>
      <c r="AN88" t="inlineStr">
        <is>
          <t>NUTRO ULTRA Adult High Protein Natural Dry Dog Food with a Trio of Proteins from Chicken, Lamb and Salmon, 30 lb. Bag</t>
        </is>
      </c>
      <c r="AO88" t="inlineStr">
        <is>
          <t>256</t>
        </is>
      </c>
      <c r="AP88" t="inlineStr">
        <is>
          <t>100</t>
        </is>
      </c>
    </row>
    <row r="89">
      <c r="A89" t="inlineStr">
        <is>
          <t>B006IFRX7O</t>
        </is>
      </c>
      <c r="B89" t="inlineStr">
        <is>
          <t>False</t>
        </is>
      </c>
      <c r="C89" t="inlineStr">
        <is>
          <t>B006IFRX7O</t>
        </is>
      </c>
      <c r="D89" t="inlineStr">
        <is>
          <t>Kiehl's</t>
        </is>
      </c>
      <c r="E89" t="inlineStr">
        <is>
          <t>True</t>
        </is>
      </c>
      <c r="F89" t="inlineStr">
        <is>
          <t>Kiehl's Amino Acid Shampoo, with Amino Acids and Coconut Oil to Clarify and Cleanse, Helps Strengthen Hair, Prevent Breakage, Suitable for All Hair Types, Paraben-Free - 33.8 fl oz /1 Liter Pump</t>
        </is>
      </c>
      <c r="G89">
        <v>1</v>
      </c>
      <c r="H89" s="2" t="str">
        <f>HYPERLINK("https://www.amazon.com/dp/B006IFRX7O", "https://www.amazon.com/dp/B006IFRX7O")</f>
      </c>
      <c r="I89" s="3">
        <v>781</v>
      </c>
      <c r="J89" s="4">
        <v>13.89</v>
      </c>
      <c r="K89" s="5">
        <v>0.1984</v>
      </c>
      <c r="L89" s="15">
        <v>0.35159999999999997</v>
      </c>
      <c r="M89" t="inlineStr">
        <is>
          <t>True</t>
        </is>
      </c>
      <c r="N89" t="inlineStr">
        <is>
          <t>Beauty &amp; Personal Care</t>
        </is>
      </c>
      <c r="O89" s="6">
        <v>21723</v>
      </c>
      <c r="P89" s="6">
        <v>58188</v>
      </c>
      <c r="Q89" s="6">
        <v>19836</v>
      </c>
      <c r="R89" s="6">
        <v>233</v>
      </c>
      <c r="S89" s="7">
        <v>39.5</v>
      </c>
      <c r="T89" s="7">
        <v>70</v>
      </c>
      <c r="U89">
        <v>71.58</v>
      </c>
      <c r="V89" s="8">
        <v>0</v>
      </c>
      <c r="W89" s="7">
        <v>0</v>
      </c>
      <c r="X89" s="7">
        <v>0</v>
      </c>
      <c r="Y89">
        <v>2.46</v>
      </c>
      <c r="Z89" s="8">
        <v>0</v>
      </c>
      <c r="AB89">
        <v>0</v>
      </c>
      <c r="AC89">
        <v>0</v>
      </c>
      <c r="AD89">
        <v>1</v>
      </c>
      <c r="AE89">
        <v>1</v>
      </c>
      <c r="AF89">
        <v>0</v>
      </c>
      <c r="AG89">
        <v>1</v>
      </c>
      <c r="AH89">
        <v>4</v>
      </c>
      <c r="AI89" t="inlineStr">
        <is>
          <t>False</t>
        </is>
      </c>
      <c r="AJ89" s="2" t="str">
        <f>HYPERLINK("https://keepa.com/#!product/1-B006IFRX7O", "https://keepa.com/#!product/1-B006IFRX7O")</f>
      </c>
      <c r="AK89" s="2" t="str">
        <f>HYPERLINK("https://camelcamelcamel.com/search?sq=B006IFRX7O", "https://camelcamelcamel.com/search?sq=B006IFRX7O")</f>
      </c>
      <c r="AL89" t="inlineStr">
        <is>
          <t/>
        </is>
      </c>
      <c r="AM89" s="10">
        <v>45417.11111111111</v>
      </c>
      <c r="AN89" t="inlineStr">
        <is>
          <t>Kiehl's Amino Acid Shampoo, with Amino Acids and Coconut Oil to Clarify and Cleanse, Helps Strengthen Hair, Prevent Breakage, Suitable for All Hair Types, Paraben-Free - 33.8 fl oz /1 Liter Pump</t>
        </is>
      </c>
      <c r="AO89" t="inlineStr">
        <is>
          <t>230</t>
        </is>
      </c>
      <c r="AP89" t="inlineStr">
        <is>
          <t>TAKE ALL</t>
        </is>
      </c>
    </row>
    <row r="90">
      <c r="A90" t="inlineStr">
        <is>
          <t>B0073BAZBI</t>
        </is>
      </c>
      <c r="B90" t="inlineStr">
        <is>
          <t>False</t>
        </is>
      </c>
      <c r="C90" t="inlineStr">
        <is>
          <t>B0073BAZBI</t>
        </is>
      </c>
      <c r="D90" t="inlineStr">
        <is>
          <t>Herbalife</t>
        </is>
      </c>
      <c r="E90" t="inlineStr">
        <is>
          <t>False</t>
        </is>
      </c>
      <c r="F90" t="inlineStr">
        <is>
          <t>Herbalife Herbal Aloe Concentrate, Original Flavor, Pint Size 16oz</t>
        </is>
      </c>
      <c r="G90">
        <v>1</v>
      </c>
      <c r="H90" s="2" t="str">
        <f>HYPERLINK("https://www.amazon.com/dp/B0073BAZBI", "https://www.amazon.com/dp/B0073BAZBI")</f>
      </c>
      <c r="I90" s="16">
        <v>35</v>
      </c>
      <c r="J90" s="4">
        <v>17.77</v>
      </c>
      <c r="K90" s="15">
        <v>0.3797</v>
      </c>
      <c r="L90" s="15">
        <v>1.0453000000000001</v>
      </c>
      <c r="M90" t="inlineStr">
        <is>
          <t>True</t>
        </is>
      </c>
      <c r="N90" t="inlineStr">
        <is>
          <t>Health &amp; Household</t>
        </is>
      </c>
      <c r="O90" s="6">
        <v>179635</v>
      </c>
      <c r="P90" s="6">
        <v>79566</v>
      </c>
      <c r="Q90" s="6">
        <v>19512</v>
      </c>
      <c r="R90" s="6">
        <v>92</v>
      </c>
      <c r="S90" s="7">
        <v>17</v>
      </c>
      <c r="T90" s="7">
        <v>46.8</v>
      </c>
      <c r="U90">
        <v>32.03</v>
      </c>
      <c r="V90" s="8">
        <v>0</v>
      </c>
      <c r="W90" s="7">
        <v>0</v>
      </c>
      <c r="X90" s="7">
        <v>0</v>
      </c>
      <c r="Y90">
        <v>1.15</v>
      </c>
      <c r="Z90" s="8">
        <v>0</v>
      </c>
      <c r="AB90">
        <v>0</v>
      </c>
      <c r="AC90">
        <v>0</v>
      </c>
      <c r="AD90">
        <v>3</v>
      </c>
      <c r="AE90">
        <v>0</v>
      </c>
      <c r="AF90">
        <v>3</v>
      </c>
      <c r="AG90">
        <v>0</v>
      </c>
      <c r="AH90">
        <v>0</v>
      </c>
      <c r="AI90" t="inlineStr">
        <is>
          <t>False</t>
        </is>
      </c>
      <c r="AJ90" s="2" t="str">
        <f>HYPERLINK("https://keepa.com/#!product/1-B0073BAZBI", "https://keepa.com/#!product/1-B0073BAZBI")</f>
      </c>
      <c r="AK90" s="2" t="str">
        <f>HYPERLINK("https://camelcamelcamel.com/search?sq=B0073BAZBI", "https://camelcamelcamel.com/search?sq=B0073BAZBI")</f>
      </c>
      <c r="AL90" t="inlineStr">
        <is>
          <t/>
        </is>
      </c>
      <c r="AM90" s="10">
        <v>45417.11111111111</v>
      </c>
      <c r="AN90" t="inlineStr">
        <is>
          <t>Herbalife Herbal Aloe Concentrate, Original Flavor, Pint Size 16oz</t>
        </is>
      </c>
      <c r="AO90" t="inlineStr">
        <is>
          <t>300</t>
        </is>
      </c>
      <c r="AP90" t="inlineStr">
        <is>
          <t>TAKE ALL</t>
        </is>
      </c>
    </row>
    <row r="91">
      <c r="A91" t="inlineStr">
        <is>
          <t>B00802FYYW</t>
        </is>
      </c>
      <c r="B91" t="inlineStr">
        <is>
          <t>False</t>
        </is>
      </c>
      <c r="C91" t="inlineStr">
        <is>
          <t>B00802FYYW</t>
        </is>
      </c>
      <c r="D91" t="inlineStr">
        <is>
          <t>Isagenix</t>
        </is>
      </c>
      <c r="E91" t="inlineStr">
        <is>
          <t>False</t>
        </is>
      </c>
      <c r="F91" t="inlineStr">
        <is>
          <t>Isagenix IsaLean Shake - Meal Replacement Protein Shake Supports Healthy Weight &amp; Muscle Growth - Protein Powder Enriched with 23 Vitamins - Creamy Dutch Chocolate, 30.1 Oz (14 Servings)</t>
        </is>
      </c>
      <c r="G91">
        <v>1</v>
      </c>
      <c r="H91" s="2" t="str">
        <f>HYPERLINK("https://www.amazon.com/dp/B00802FYYW", "https://www.amazon.com/dp/B00802FYYW")</f>
      </c>
      <c r="I91" s="3">
        <v>3597</v>
      </c>
      <c r="J91" s="4">
        <v>17.19</v>
      </c>
      <c r="K91" s="5">
        <v>0.2491</v>
      </c>
      <c r="L91" s="15">
        <v>0.4842</v>
      </c>
      <c r="M91" t="inlineStr">
        <is>
          <t>True</t>
        </is>
      </c>
      <c r="N91" t="inlineStr">
        <is>
          <t>Grocery &amp; Gourmet Food</t>
        </is>
      </c>
      <c r="O91" s="6">
        <v>1829</v>
      </c>
      <c r="P91" s="6">
        <v>2061</v>
      </c>
      <c r="Q91" s="6">
        <v>1504</v>
      </c>
      <c r="R91" s="6">
        <v>282</v>
      </c>
      <c r="S91" s="7">
        <v>35.5</v>
      </c>
      <c r="T91" s="7">
        <v>69</v>
      </c>
      <c r="U91">
        <v>66.83</v>
      </c>
      <c r="V91" s="8">
        <v>0</v>
      </c>
      <c r="W91" s="7">
        <v>0</v>
      </c>
      <c r="X91" s="7">
        <v>0</v>
      </c>
      <c r="Y91">
        <v>2.18</v>
      </c>
      <c r="Z91" s="9">
        <v>0.01</v>
      </c>
      <c r="AB91">
        <v>0</v>
      </c>
      <c r="AC91">
        <v>0</v>
      </c>
      <c r="AD91">
        <v>2</v>
      </c>
      <c r="AE91">
        <v>2</v>
      </c>
      <c r="AF91">
        <v>0</v>
      </c>
      <c r="AG91">
        <v>2</v>
      </c>
      <c r="AH91">
        <v>5</v>
      </c>
      <c r="AI91" t="inlineStr">
        <is>
          <t>False</t>
        </is>
      </c>
      <c r="AJ91" s="2" t="str">
        <f>HYPERLINK("https://keepa.com/#!product/1-B00802FYYW", "https://keepa.com/#!product/1-B00802FYYW")</f>
      </c>
      <c r="AK91" s="2" t="str">
        <f>HYPERLINK("https://camelcamelcamel.com/search?sq=B00802FYYW", "https://camelcamelcamel.com/search?sq=B00802FYYW")</f>
      </c>
      <c r="AL91" t="inlineStr">
        <is>
          <t/>
        </is>
      </c>
      <c r="AM91" s="10">
        <v>45417.11111111111</v>
      </c>
      <c r="AN91" t="inlineStr">
        <is>
          <t>Isagenix IsaLean Shake - Meal Replacement Protein Shake Supports Healthy Weight &amp; Muscle Growth - Protein Powder Enriched with 23 Vitamins - Creamy Dutch Chocolate, 30.1 Oz (14 Servings</t>
        </is>
      </c>
      <c r="AO91" t="inlineStr">
        <is>
          <t>2000</t>
        </is>
      </c>
      <c r="AP91" t="inlineStr">
        <is>
          <t>500</t>
        </is>
      </c>
    </row>
    <row r="92">
      <c r="A92" t="inlineStr">
        <is>
          <t>B0080L9B9M</t>
        </is>
      </c>
      <c r="B92" t="inlineStr">
        <is>
          <t>False</t>
        </is>
      </c>
      <c r="C92" t="inlineStr">
        <is>
          <t>B0080L9B9M</t>
        </is>
      </c>
      <c r="D92" t="inlineStr">
        <is>
          <t>MET-Rx</t>
        </is>
      </c>
      <c r="E92" t="inlineStr">
        <is>
          <t>False</t>
        </is>
      </c>
      <c r="F92" t="inlineStr">
        <is>
          <t>MET-Rx HMB 1000 Diet Supplement Capsules, 90 Count</t>
        </is>
      </c>
      <c r="G92">
        <v>1</v>
      </c>
      <c r="H92" s="2" t="str">
        <f>HYPERLINK("https://www.amazon.com/dp/B0080L9B9M", "https://www.amazon.com/dp/B0080L9B9M")</f>
      </c>
      <c r="I92" s="3">
        <v>305</v>
      </c>
      <c r="J92" s="12">
        <v>-9.45</v>
      </c>
      <c r="K92" s="13">
        <v>-0.8056</v>
      </c>
      <c r="L92" s="13">
        <v>-0.6097</v>
      </c>
      <c r="M92" t="inlineStr">
        <is>
          <t>True</t>
        </is>
      </c>
      <c r="N92" t="inlineStr">
        <is>
          <t>Health &amp; Household</t>
        </is>
      </c>
      <c r="O92" s="6">
        <v>51949</v>
      </c>
      <c r="P92" s="6">
        <v>70694</v>
      </c>
      <c r="Q92" s="6">
        <v>30650</v>
      </c>
      <c r="R92" s="6">
        <v>194</v>
      </c>
      <c r="S92" s="7">
        <v>15.5</v>
      </c>
      <c r="T92" s="7">
        <v>11.73</v>
      </c>
      <c r="U92">
        <v>23.88</v>
      </c>
      <c r="V92" s="8">
        <v>0</v>
      </c>
      <c r="W92" s="7">
        <v>0</v>
      </c>
      <c r="X92" s="7">
        <v>0</v>
      </c>
      <c r="Y92">
        <v>0.31</v>
      </c>
      <c r="Z92" s="8">
        <v>0</v>
      </c>
      <c r="AB92">
        <v>0</v>
      </c>
      <c r="AC92">
        <v>0</v>
      </c>
      <c r="AD92">
        <v>24</v>
      </c>
      <c r="AE92">
        <v>20</v>
      </c>
      <c r="AF92">
        <v>4</v>
      </c>
      <c r="AG92">
        <v>6</v>
      </c>
      <c r="AH92">
        <v>0</v>
      </c>
      <c r="AI92" t="inlineStr">
        <is>
          <t>False</t>
        </is>
      </c>
      <c r="AJ92" s="2" t="str">
        <f>HYPERLINK("https://keepa.com/#!product/1-B0080L9B9M", "https://keepa.com/#!product/1-B0080L9B9M")</f>
      </c>
      <c r="AK92" s="2" t="str">
        <f>HYPERLINK("https://camelcamelcamel.com/search?sq=B0080L9B9M", "https://camelcamelcamel.com/search?sq=B0080L9B9M")</f>
      </c>
      <c r="AL92" t="inlineStr">
        <is>
          <t/>
        </is>
      </c>
      <c r="AM92" s="10">
        <v>45417.11111111111</v>
      </c>
      <c r="AN92" t="inlineStr">
        <is>
          <t>MET-Rx HMB 1000 Diet Supplement Capsules, 90 Count</t>
        </is>
      </c>
      <c r="AO92" t="inlineStr">
        <is>
          <t>500</t>
        </is>
      </c>
      <c r="AP92" t="inlineStr">
        <is>
          <t>TAKE ALL</t>
        </is>
      </c>
    </row>
    <row r="93">
      <c r="A93" t="inlineStr">
        <is>
          <t>B008BLLEY6</t>
        </is>
      </c>
      <c r="B93" t="inlineStr">
        <is>
          <t>False</t>
        </is>
      </c>
      <c r="C93" t="inlineStr">
        <is>
          <t>B008BLLEY6</t>
        </is>
      </c>
      <c r="D93" t="inlineStr">
        <is>
          <t>DoTerra</t>
        </is>
      </c>
      <c r="E93" t="inlineStr">
        <is>
          <t>True</t>
        </is>
      </c>
      <c r="F93" t="inlineStr">
        <is>
          <t>doTERRA - On Guard Foaming Hand Wash Refill, 16 Fl Oz (Pack of 2)</t>
        </is>
      </c>
      <c r="G93">
        <v>1</v>
      </c>
      <c r="H93" s="2" t="str">
        <f>HYPERLINK("https://www.amazon.com/dp/B008BLLEY6", "https://www.amazon.com/dp/B008BLLEY6")</f>
      </c>
      <c r="I93" s="3">
        <v>695</v>
      </c>
      <c r="J93" s="4">
        <v>11.97</v>
      </c>
      <c r="K93" s="5">
        <v>0.23620000000000002</v>
      </c>
      <c r="L93" s="15">
        <v>0.4788</v>
      </c>
      <c r="M93" t="inlineStr">
        <is>
          <t>True</t>
        </is>
      </c>
      <c r="N93" t="inlineStr">
        <is>
          <t>Beauty &amp; Personal Care</t>
        </is>
      </c>
      <c r="O93" s="6">
        <v>23803</v>
      </c>
      <c r="P93" s="6">
        <v>34831</v>
      </c>
      <c r="Q93" s="6">
        <v>20936</v>
      </c>
      <c r="R93" s="6">
        <v>134</v>
      </c>
      <c r="S93" s="7">
        <v>25</v>
      </c>
      <c r="T93" s="7">
        <v>50.67</v>
      </c>
      <c r="U93">
        <v>47.64</v>
      </c>
      <c r="V93" s="8">
        <v>0</v>
      </c>
      <c r="W93" s="7">
        <v>0</v>
      </c>
      <c r="X93" s="7">
        <v>0</v>
      </c>
      <c r="Y93">
        <v>2.29</v>
      </c>
      <c r="Z93" s="8">
        <v>0</v>
      </c>
      <c r="AB93">
        <v>0</v>
      </c>
      <c r="AC93">
        <v>0</v>
      </c>
      <c r="AD93">
        <v>12</v>
      </c>
      <c r="AE93">
        <v>12</v>
      </c>
      <c r="AF93">
        <v>0</v>
      </c>
      <c r="AG93">
        <v>11</v>
      </c>
      <c r="AH93">
        <v>3</v>
      </c>
      <c r="AI93" t="inlineStr">
        <is>
          <t>False</t>
        </is>
      </c>
      <c r="AJ93" s="2" t="str">
        <f>HYPERLINK("https://keepa.com/#!product/1-B008BLLEY6", "https://keepa.com/#!product/1-B008BLLEY6")</f>
      </c>
      <c r="AK93" s="2" t="str">
        <f>HYPERLINK("https://camelcamelcamel.com/search?sq=B008BLLEY6", "https://camelcamelcamel.com/search?sq=B008BLLEY6")</f>
      </c>
      <c r="AL93" t="inlineStr">
        <is>
          <t/>
        </is>
      </c>
      <c r="AM93" s="10">
        <v>45417.11111111111</v>
      </c>
      <c r="AN93" t="inlineStr">
        <is>
          <t>doTERRA - On Guard Foaming Hand Wash Refill, 16 Fl Oz (Pack of 2)</t>
        </is>
      </c>
      <c r="AO93" t="inlineStr">
        <is>
          <t>250</t>
        </is>
      </c>
      <c r="AP93" t="inlineStr">
        <is>
          <t>TAKE ALL</t>
        </is>
      </c>
    </row>
    <row r="94">
      <c r="A94" t="inlineStr">
        <is>
          <t>B008L0AI3U</t>
        </is>
      </c>
      <c r="B94" t="inlineStr">
        <is>
          <t>False</t>
        </is>
      </c>
      <c r="C94" t="inlineStr">
        <is>
          <t>B008L0AI3U</t>
        </is>
      </c>
      <c r="D94" t="inlineStr">
        <is>
          <t>Cirepil</t>
        </is>
      </c>
      <c r="E94" t="inlineStr">
        <is>
          <t>False</t>
        </is>
      </c>
      <c r="F94" t="inlineStr">
        <is>
          <t>Cirepil - Blue - 800g Wax Beads - Unscented for Sensitive Skin - Disposable Blue Wax Refill - Fluid Gel Texture, Easy Removal, Peel-Off - No Strip Needed</t>
        </is>
      </c>
      <c r="G94">
        <v>1</v>
      </c>
      <c r="H94" s="2" t="str">
        <f>HYPERLINK("https://www.amazon.com/dp/B008L0AI3U", "https://www.amazon.com/dp/B008L0AI3U")</f>
      </c>
      <c r="I94" s="3">
        <v>8372</v>
      </c>
      <c r="J94" s="4">
        <v>9.48</v>
      </c>
      <c r="K94" s="5">
        <v>0.23129999999999998</v>
      </c>
      <c r="L94" s="15">
        <v>0.48619999999999997</v>
      </c>
      <c r="M94" t="inlineStr">
        <is>
          <t>True</t>
        </is>
      </c>
      <c r="N94" t="inlineStr">
        <is>
          <t>Beauty &amp; Personal Care</t>
        </is>
      </c>
      <c r="O94" s="6">
        <v>1867</v>
      </c>
      <c r="P94" s="6">
        <v>1943</v>
      </c>
      <c r="Q94" s="6">
        <v>1492</v>
      </c>
      <c r="R94" s="6">
        <v>282</v>
      </c>
      <c r="S94" s="7">
        <v>19.5</v>
      </c>
      <c r="T94" s="7">
        <v>40.99</v>
      </c>
      <c r="U94">
        <v>40.87</v>
      </c>
      <c r="V94" s="8">
        <v>0</v>
      </c>
      <c r="W94" s="7">
        <v>0</v>
      </c>
      <c r="X94" s="7">
        <v>0</v>
      </c>
      <c r="Y94">
        <v>1.81</v>
      </c>
      <c r="Z94" s="8">
        <v>0</v>
      </c>
      <c r="AB94">
        <v>0</v>
      </c>
      <c r="AC94">
        <v>0</v>
      </c>
      <c r="AD94">
        <v>1</v>
      </c>
      <c r="AE94">
        <v>1</v>
      </c>
      <c r="AF94">
        <v>0</v>
      </c>
      <c r="AG94">
        <v>1</v>
      </c>
      <c r="AH94">
        <v>3</v>
      </c>
      <c r="AI94" t="inlineStr">
        <is>
          <t>False</t>
        </is>
      </c>
      <c r="AJ94" s="2" t="str">
        <f>HYPERLINK("https://keepa.com/#!product/1-B008L0AI3U", "https://keepa.com/#!product/1-B008L0AI3U")</f>
      </c>
      <c r="AK94" s="2" t="str">
        <f>HYPERLINK("https://camelcamelcamel.com/search?sq=B008L0AI3U", "https://camelcamelcamel.com/search?sq=B008L0AI3U")</f>
      </c>
      <c r="AL94" t="inlineStr">
        <is>
          <t/>
        </is>
      </c>
      <c r="AM94" s="10">
        <v>45417.11111111111</v>
      </c>
      <c r="AN94" t="inlineStr">
        <is>
          <t>Cirepil - Blue - 800g Wax Beads - Unscented for Sensitive Skin - Disposable Blue Wax Refill - Fluid Gel Texture, Easy Removal, Peel-Off - No Strip Needed</t>
        </is>
      </c>
      <c r="AO94" t="inlineStr">
        <is>
          <t>1200</t>
        </is>
      </c>
      <c r="AP94" t="inlineStr">
        <is>
          <t>TAKE ALL</t>
        </is>
      </c>
    </row>
    <row r="95">
      <c r="A95" t="inlineStr">
        <is>
          <t>B008XDXU44</t>
        </is>
      </c>
      <c r="B95" t="inlineStr">
        <is>
          <t>False</t>
        </is>
      </c>
      <c r="C95" t="inlineStr">
        <is>
          <t>B008XDXU44</t>
        </is>
      </c>
      <c r="D95" t="inlineStr">
        <is>
          <t>Elmer's</t>
        </is>
      </c>
      <c r="E95" t="inlineStr">
        <is>
          <t>False</t>
        </is>
      </c>
      <c r="F95" t="inlineStr">
        <is>
          <t>Elmer's All Purpose School Glue Sticks, Washable, 7 Grams, 60 Count</t>
        </is>
      </c>
      <c r="G95">
        <v>1</v>
      </c>
      <c r="H95" s="2" t="str">
        <f>HYPERLINK("https://www.amazon.com/dp/B008XDXU44", "https://www.amazon.com/dp/B008XDXU44")</f>
      </c>
      <c r="I95" s="3">
        <v>18282</v>
      </c>
      <c r="J95" s="11">
        <v>0.99</v>
      </c>
      <c r="K95" s="5">
        <v>0.0661</v>
      </c>
      <c r="L95" s="5">
        <v>0.1722</v>
      </c>
      <c r="M95" t="inlineStr">
        <is>
          <t>True</t>
        </is>
      </c>
      <c r="N95" t="inlineStr">
        <is>
          <t>Arts, Crafts &amp; Sewing</t>
        </is>
      </c>
      <c r="O95" s="6">
        <v>22</v>
      </c>
      <c r="P95" s="6">
        <v>36</v>
      </c>
      <c r="Q95" s="6">
        <v>2</v>
      </c>
      <c r="R95" s="6">
        <v>201</v>
      </c>
      <c r="S95" s="7">
        <v>5.75</v>
      </c>
      <c r="T95" s="7">
        <v>14.97</v>
      </c>
      <c r="U95">
        <v>16.28</v>
      </c>
      <c r="V95" s="8">
        <v>0</v>
      </c>
      <c r="W95" s="7">
        <v>0</v>
      </c>
      <c r="X95" s="7">
        <v>0</v>
      </c>
      <c r="Y95">
        <v>2.4</v>
      </c>
      <c r="Z95" s="9">
        <v>1</v>
      </c>
      <c r="AB95">
        <v>0</v>
      </c>
      <c r="AC95">
        <v>0</v>
      </c>
      <c r="AD95">
        <v>80</v>
      </c>
      <c r="AE95">
        <v>3</v>
      </c>
      <c r="AF95">
        <v>75</v>
      </c>
      <c r="AG95">
        <v>2</v>
      </c>
      <c r="AH95">
        <v>4</v>
      </c>
      <c r="AI95" t="inlineStr">
        <is>
          <t>False</t>
        </is>
      </c>
      <c r="AJ95" s="2" t="str">
        <f>HYPERLINK("https://keepa.com/#!product/1-B008XDXU44", "https://keepa.com/#!product/1-B008XDXU44")</f>
      </c>
      <c r="AK95" s="2" t="str">
        <f>HYPERLINK("https://camelcamelcamel.com/search?sq=B008XDXU44", "https://camelcamelcamel.com/search?sq=B008XDXU44")</f>
      </c>
      <c r="AL95" t="inlineStr">
        <is>
          <t/>
        </is>
      </c>
      <c r="AM95" s="10">
        <v>45417.11111111111</v>
      </c>
      <c r="AN95" t="inlineStr">
        <is>
          <t>Elmer's All Purpose School Glue Sticks, Washable, 7 Grams, 60 Count</t>
        </is>
      </c>
      <c r="AO95" t="inlineStr">
        <is>
          <t>2160</t>
        </is>
      </c>
      <c r="AP95" t="inlineStr">
        <is>
          <t>1000</t>
        </is>
      </c>
    </row>
    <row r="96">
      <c r="A96" t="inlineStr">
        <is>
          <t>B0099U671I</t>
        </is>
      </c>
      <c r="B96" t="inlineStr">
        <is>
          <t>False</t>
        </is>
      </c>
      <c r="C96" t="inlineStr">
        <is>
          <t>B0099U671I</t>
        </is>
      </c>
      <c r="D96" t="inlineStr">
        <is>
          <t>Isagenix</t>
        </is>
      </c>
      <c r="E96" t="inlineStr">
        <is>
          <t>False</t>
        </is>
      </c>
      <c r="F96" t="inlineStr">
        <is>
          <t>Isagenix IsaLean Shake - Nutrient-Dense Protein Powder for Ready-to-Drink Shake - Creamy Dutch Chocolate, 14 Packets</t>
        </is>
      </c>
      <c r="G96">
        <v>1</v>
      </c>
      <c r="H96" s="2" t="str">
        <f>HYPERLINK("https://www.amazon.com/dp/B0099U671I", "https://www.amazon.com/dp/B0099U671I")</f>
      </c>
      <c r="I96" s="3">
        <v>371</v>
      </c>
      <c r="J96" s="4">
        <v>17.63</v>
      </c>
      <c r="K96" s="5">
        <v>0.2555</v>
      </c>
      <c r="L96" s="15">
        <v>0.5036999999999999</v>
      </c>
      <c r="M96" t="inlineStr">
        <is>
          <t>True</t>
        </is>
      </c>
      <c r="N96" t="inlineStr">
        <is>
          <t>Health &amp; Household</t>
        </is>
      </c>
      <c r="O96" s="6">
        <v>45726</v>
      </c>
      <c r="P96" s="6">
        <v>37906</v>
      </c>
      <c r="Q96" s="6">
        <v>23379</v>
      </c>
      <c r="R96" s="6">
        <v>133</v>
      </c>
      <c r="S96" s="7">
        <v>35</v>
      </c>
      <c r="T96" s="7">
        <v>69</v>
      </c>
      <c r="U96">
        <v>62.63</v>
      </c>
      <c r="V96" s="8">
        <v>0</v>
      </c>
      <c r="W96" s="7">
        <v>0</v>
      </c>
      <c r="X96" s="7">
        <v>0</v>
      </c>
      <c r="Y96">
        <v>2.18</v>
      </c>
      <c r="Z96" s="8">
        <v>0</v>
      </c>
      <c r="AB96">
        <v>0</v>
      </c>
      <c r="AC96">
        <v>0</v>
      </c>
      <c r="AD96">
        <v>3</v>
      </c>
      <c r="AE96">
        <v>2</v>
      </c>
      <c r="AF96">
        <v>1</v>
      </c>
      <c r="AG96">
        <v>2</v>
      </c>
      <c r="AH96">
        <v>2</v>
      </c>
      <c r="AI96" t="inlineStr">
        <is>
          <t>False</t>
        </is>
      </c>
      <c r="AJ96" s="2" t="str">
        <f>HYPERLINK("https://keepa.com/#!product/1-B0099U671I", "https://keepa.com/#!product/1-B0099U671I")</f>
      </c>
      <c r="AK96" s="2" t="str">
        <f>HYPERLINK("https://camelcamelcamel.com/search?sq=B0099U671I", "https://camelcamelcamel.com/search?sq=B0099U671I")</f>
      </c>
      <c r="AL96" t="inlineStr">
        <is>
          <t/>
        </is>
      </c>
      <c r="AM96" s="10">
        <v>45417.11111111111</v>
      </c>
      <c r="AN96" t="inlineStr">
        <is>
          <t>Isagenix IsaLean Shake - Nutrient-Dense Protein Powder for Ready-to-Drink Shake - Creamy Dutch Chocolate, 14 Packets</t>
        </is>
      </c>
      <c r="AO96" t="inlineStr">
        <is>
          <t>250</t>
        </is>
      </c>
      <c r="AP96" t="inlineStr">
        <is>
          <t>TAKE ALL</t>
        </is>
      </c>
    </row>
    <row r="97">
      <c r="A97" t="inlineStr">
        <is>
          <t>B009DOILI2</t>
        </is>
      </c>
      <c r="B97" t="inlineStr">
        <is>
          <t>False</t>
        </is>
      </c>
      <c r="C97" t="inlineStr">
        <is>
          <t>B009DOILI2</t>
        </is>
      </c>
      <c r="D97" t="inlineStr">
        <is>
          <t>Egyptian Magic</t>
        </is>
      </c>
      <c r="E97" t="inlineStr">
        <is>
          <t>False</t>
        </is>
      </c>
      <c r="F97" t="inlineStr">
        <is>
          <t>Egyptian Magic All Purpose Skin Cream - 2 oz. Jar</t>
        </is>
      </c>
      <c r="G97">
        <v>1</v>
      </c>
      <c r="H97" s="2" t="str">
        <f>HYPERLINK("https://www.amazon.com/dp/B009DOILI2", "https://www.amazon.com/dp/B009DOILI2")</f>
      </c>
      <c r="I97" s="3">
        <v>2578</v>
      </c>
      <c r="J97" s="11">
        <v>2.74</v>
      </c>
      <c r="K97" s="5">
        <v>0.1142</v>
      </c>
      <c r="L97" s="5">
        <v>0.1993</v>
      </c>
      <c r="M97" t="inlineStr">
        <is>
          <t>True</t>
        </is>
      </c>
      <c r="N97" t="inlineStr">
        <is>
          <t>Beauty &amp; Personal Care</t>
        </is>
      </c>
      <c r="O97" s="6">
        <v>7269</v>
      </c>
      <c r="P97" s="6">
        <v>6699</v>
      </c>
      <c r="Q97" s="6">
        <v>4203</v>
      </c>
      <c r="R97" s="6">
        <v>242</v>
      </c>
      <c r="S97" s="7">
        <v>13.75</v>
      </c>
      <c r="T97" s="7">
        <v>24</v>
      </c>
      <c r="U97">
        <v>29.37</v>
      </c>
      <c r="V97" s="8">
        <v>0</v>
      </c>
      <c r="W97" s="7">
        <v>0</v>
      </c>
      <c r="X97" s="7">
        <v>0</v>
      </c>
      <c r="Y97">
        <v>0.35</v>
      </c>
      <c r="Z97" s="9">
        <v>0.13</v>
      </c>
      <c r="AB97">
        <v>0</v>
      </c>
      <c r="AC97">
        <v>0</v>
      </c>
      <c r="AD97">
        <v>1</v>
      </c>
      <c r="AE97">
        <v>1</v>
      </c>
      <c r="AF97">
        <v>0</v>
      </c>
      <c r="AG97">
        <v>0</v>
      </c>
      <c r="AH97">
        <v>2</v>
      </c>
      <c r="AI97" t="inlineStr">
        <is>
          <t>False</t>
        </is>
      </c>
      <c r="AJ97" s="2" t="str">
        <f>HYPERLINK("https://keepa.com/#!product/1-B009DOILI2", "https://keepa.com/#!product/1-B009DOILI2")</f>
      </c>
      <c r="AK97" s="2" t="str">
        <f>HYPERLINK("https://camelcamelcamel.com/search?sq=B009DOILI2", "https://camelcamelcamel.com/search?sq=B009DOILI2")</f>
      </c>
      <c r="AL97" t="inlineStr">
        <is>
          <t/>
        </is>
      </c>
      <c r="AM97" s="10">
        <v>45417.11111111111</v>
      </c>
      <c r="AN97" t="inlineStr">
        <is>
          <t>Egyptian Magic All Purpose Skin Cream - 2 oz. Jar</t>
        </is>
      </c>
      <c r="AO97" t="inlineStr">
        <is>
          <t>1000</t>
        </is>
      </c>
      <c r="AP97" t="inlineStr">
        <is>
          <t>TAKE ALL</t>
        </is>
      </c>
    </row>
    <row r="98">
      <c r="A98" t="inlineStr">
        <is>
          <t>B009POHLRC</t>
        </is>
      </c>
      <c r="B98" t="inlineStr">
        <is>
          <t>False</t>
        </is>
      </c>
      <c r="C98" t="inlineStr">
        <is>
          <t>B009POHLRC</t>
        </is>
      </c>
      <c r="D98" t="inlineStr">
        <is>
          <t>3M</t>
        </is>
      </c>
      <c r="E98" t="inlineStr">
        <is>
          <t>False</t>
        </is>
      </c>
      <c r="F98" t="inlineStr">
        <is>
          <t>3M P100 Respirator Cartridge/Filter 60926, 1 Pair, Helps Protect Against Organic Vapors, Acid Gases, Ammonia Methylamine, Formaldehyde and Particulates</t>
        </is>
      </c>
      <c r="G98">
        <v>1</v>
      </c>
      <c r="H98" s="2" t="str">
        <f>HYPERLINK("https://www.amazon.com/dp/B009POHLRC", "https://www.amazon.com/dp/B009POHLRC")</f>
      </c>
      <c r="I98" s="3">
        <v>3993</v>
      </c>
      <c r="J98" s="4">
        <v>4.63</v>
      </c>
      <c r="K98" s="5">
        <v>0.1539</v>
      </c>
      <c r="L98" s="5">
        <v>0.2764</v>
      </c>
      <c r="M98" t="inlineStr">
        <is>
          <t>True</t>
        </is>
      </c>
      <c r="N98" t="inlineStr">
        <is>
          <t>Tools &amp; Home Improvement</t>
        </is>
      </c>
      <c r="O98" s="6">
        <v>1434</v>
      </c>
      <c r="P98" s="6">
        <v>1147</v>
      </c>
      <c r="Q98" s="6">
        <v>848</v>
      </c>
      <c r="R98" s="6">
        <v>321</v>
      </c>
      <c r="S98" s="7">
        <v>16.75</v>
      </c>
      <c r="T98" s="7">
        <v>30.09</v>
      </c>
      <c r="U98">
        <v>30.31</v>
      </c>
      <c r="V98" s="8">
        <v>0</v>
      </c>
      <c r="W98" s="7">
        <v>0</v>
      </c>
      <c r="X98" s="7">
        <v>0</v>
      </c>
      <c r="Y98">
        <v>0.67</v>
      </c>
      <c r="Z98" s="9">
        <v>1</v>
      </c>
      <c r="AB98">
        <v>0</v>
      </c>
      <c r="AC98">
        <v>0</v>
      </c>
      <c r="AD98">
        <v>38</v>
      </c>
      <c r="AE98">
        <v>2</v>
      </c>
      <c r="AF98">
        <v>36</v>
      </c>
      <c r="AG98">
        <v>1</v>
      </c>
      <c r="AH98">
        <v>1</v>
      </c>
      <c r="AI98" t="inlineStr">
        <is>
          <t>False</t>
        </is>
      </c>
      <c r="AJ98" s="2" t="str">
        <f>HYPERLINK("https://keepa.com/#!product/1-B009POHLRC", "https://keepa.com/#!product/1-B009POHLRC")</f>
      </c>
      <c r="AK98" s="2" t="str">
        <f>HYPERLINK("https://camelcamelcamel.com/search?sq=B009POHLRC", "https://camelcamelcamel.com/search?sq=B009POHLRC")</f>
      </c>
      <c r="AL98" t="inlineStr">
        <is>
          <t/>
        </is>
      </c>
      <c r="AM98" s="10">
        <v>45417.11111111111</v>
      </c>
      <c r="AN98" t="inlineStr">
        <is>
          <t>3M P100 Respirator Cartridge/Filter 60926, 1 Pair, Helps Protect Against Organic Vapors, Acid Gases, Ammonia Methylamine, Formaldehyde and Particulates</t>
        </is>
      </c>
      <c r="AO98" t="inlineStr">
        <is>
          <t>2000</t>
        </is>
      </c>
      <c r="AP98" t="inlineStr">
        <is>
          <t>TAKE ALL</t>
        </is>
      </c>
    </row>
    <row r="99">
      <c r="A99" t="inlineStr">
        <is>
          <t>B009POIG9Y</t>
        </is>
      </c>
      <c r="B99" t="inlineStr">
        <is>
          <t>False</t>
        </is>
      </c>
      <c r="C99" t="inlineStr">
        <is>
          <t>B009POIG9Y</t>
        </is>
      </c>
      <c r="D99" t="inlineStr">
        <is>
          <t>3M</t>
        </is>
      </c>
      <c r="E99" t="inlineStr">
        <is>
          <t>False</t>
        </is>
      </c>
      <c r="F99" t="inlineStr">
        <is>
          <t>3M P100 Respirator Filter 7093B, 1 Pair, Helps Protect Against Oil and Non-Oil Based Particulates, Asbestos, Mold, Silica, Grinding, Sanding, Welding</t>
        </is>
      </c>
      <c r="G99">
        <v>1</v>
      </c>
      <c r="H99" s="2" t="str">
        <f>HYPERLINK("https://www.amazon.com/dp/B009POIG9Y", "https://www.amazon.com/dp/B009POIG9Y")</f>
      </c>
      <c r="I99" s="3">
        <v>190</v>
      </c>
      <c r="J99" s="12">
        <v>-1.65</v>
      </c>
      <c r="K99" s="13">
        <v>-0.2419</v>
      </c>
      <c r="L99" s="13">
        <v>-0.33</v>
      </c>
      <c r="M99" t="inlineStr">
        <is>
          <t>True</t>
        </is>
      </c>
      <c r="N99" t="inlineStr">
        <is>
          <t>Tools &amp; Home Improvement</t>
        </is>
      </c>
      <c r="O99" s="6">
        <v>50757</v>
      </c>
      <c r="P99" s="6">
        <v>60702</v>
      </c>
      <c r="Q99" s="6">
        <v>28449</v>
      </c>
      <c r="R99" s="6">
        <v>140</v>
      </c>
      <c r="S99" s="7">
        <v>5</v>
      </c>
      <c r="T99" s="7">
        <v>6.82</v>
      </c>
      <c r="U99">
        <v>11.83</v>
      </c>
      <c r="V99" s="8">
        <v>0</v>
      </c>
      <c r="W99" s="7">
        <v>0</v>
      </c>
      <c r="X99" s="7">
        <v>0</v>
      </c>
      <c r="Y99">
        <v>0.18</v>
      </c>
      <c r="Z99" s="9">
        <v>1</v>
      </c>
      <c r="AB99">
        <v>0</v>
      </c>
      <c r="AC99">
        <v>0</v>
      </c>
      <c r="AD99">
        <v>11</v>
      </c>
      <c r="AE99">
        <v>6</v>
      </c>
      <c r="AF99">
        <v>5</v>
      </c>
      <c r="AG99">
        <v>1</v>
      </c>
      <c r="AH99">
        <v>3</v>
      </c>
      <c r="AI99" t="inlineStr">
        <is>
          <t>False</t>
        </is>
      </c>
      <c r="AJ99" s="2" t="str">
        <f>HYPERLINK("https://keepa.com/#!product/1-B009POIG9Y", "https://keepa.com/#!product/1-B009POIG9Y")</f>
      </c>
      <c r="AK99" s="2" t="str">
        <f>HYPERLINK("https://camelcamelcamel.com/search?sq=B009POIG9Y", "https://camelcamelcamel.com/search?sq=B009POIG9Y")</f>
      </c>
      <c r="AL99" t="inlineStr">
        <is>
          <t/>
        </is>
      </c>
      <c r="AM99" s="10">
        <v>45417.11111111111</v>
      </c>
      <c r="AN99" t="inlineStr">
        <is>
          <t>3M P100 Respirator Filter 7093B, 1 Pair, Helps Protect Against Oil and Non-Oil Based Particulates, Asbestos, Mold, Silica, Grinding, Sanding, Welding</t>
        </is>
      </c>
      <c r="AO99" t="inlineStr">
        <is>
          <t>8000</t>
        </is>
      </c>
      <c r="AP99" t="inlineStr">
        <is>
          <t>1200</t>
        </is>
      </c>
    </row>
    <row r="100">
      <c r="A100" t="inlineStr">
        <is>
          <t>B00A180FWO</t>
        </is>
      </c>
      <c r="B100" t="inlineStr">
        <is>
          <t>False</t>
        </is>
      </c>
      <c r="C100" t="inlineStr">
        <is>
          <t>B00A180FWO</t>
        </is>
      </c>
      <c r="D100" t="inlineStr">
        <is>
          <t>Bostitch</t>
        </is>
      </c>
      <c r="E100" t="inlineStr">
        <is>
          <t>False</t>
        </is>
      </c>
      <c r="F100" t="inlineStr">
        <is>
          <t>Bostitch Office Ascend 3 in 1 Stapler Integrated Remover &amp; Staple Storage, 420 Staples Included, 20 Sheet Capacity, Lightweight, White (B210-WHT), Full Size</t>
        </is>
      </c>
      <c r="G100">
        <v>1</v>
      </c>
      <c r="H100" s="2" t="str">
        <f>HYPERLINK("https://www.amazon.com/dp/B00A180FWO", "https://www.amazon.com/dp/B00A180FWO")</f>
      </c>
      <c r="I100" s="3">
        <v>653</v>
      </c>
      <c r="J100" s="12">
        <v>-4.51</v>
      </c>
      <c r="K100" s="13">
        <v>-0.5375</v>
      </c>
      <c r="L100" s="13">
        <v>-0.5306000000000001</v>
      </c>
      <c r="M100" t="inlineStr">
        <is>
          <t>True</t>
        </is>
      </c>
      <c r="N100" t="inlineStr">
        <is>
          <t>Office Products</t>
        </is>
      </c>
      <c r="O100" s="6">
        <v>9075</v>
      </c>
      <c r="P100" s="6">
        <v>8129</v>
      </c>
      <c r="Q100" s="6">
        <v>2274</v>
      </c>
      <c r="R100" s="6">
        <v>274</v>
      </c>
      <c r="S100" s="7">
        <v>8.5</v>
      </c>
      <c r="T100" s="7">
        <v>8.39</v>
      </c>
      <c r="U100">
        <v>11.41</v>
      </c>
      <c r="V100" s="8">
        <v>0</v>
      </c>
      <c r="W100" s="7">
        <v>0</v>
      </c>
      <c r="X100" s="7">
        <v>0</v>
      </c>
      <c r="Y100">
        <v>0.4</v>
      </c>
      <c r="Z100" s="9">
        <v>1</v>
      </c>
      <c r="AB100">
        <v>0</v>
      </c>
      <c r="AC100">
        <v>0</v>
      </c>
      <c r="AD100">
        <v>3</v>
      </c>
      <c r="AE100">
        <v>3</v>
      </c>
      <c r="AF100">
        <v>0</v>
      </c>
      <c r="AG100">
        <v>1</v>
      </c>
      <c r="AH100">
        <v>9</v>
      </c>
      <c r="AI100" t="inlineStr">
        <is>
          <t>False</t>
        </is>
      </c>
      <c r="AJ100" s="2" t="str">
        <f>HYPERLINK("https://keepa.com/#!product/1-B00A180FWO", "https://keepa.com/#!product/1-B00A180FWO")</f>
      </c>
      <c r="AK100" s="2" t="str">
        <f>HYPERLINK("https://camelcamelcamel.com/search?sq=B00A180FWO", "https://camelcamelcamel.com/search?sq=B00A180FWO")</f>
      </c>
      <c r="AL100" t="inlineStr">
        <is>
          <t/>
        </is>
      </c>
      <c r="AM100" s="10">
        <v>45417.11111111111</v>
      </c>
      <c r="AN100" t="inlineStr">
        <is>
          <t>Bostitch Office Ascend 3 in 1 Stapler Integrated Remover &amp; Staple Storage, 420 Staples Included, 20 Sheet Capacity, Lightweight, White (B210-WHT), Full Size</t>
        </is>
      </c>
      <c r="AO100" t="inlineStr">
        <is>
          <t>96</t>
        </is>
      </c>
      <c r="AP100" t="inlineStr">
        <is>
          <t>TAKE ALL</t>
        </is>
      </c>
    </row>
    <row r="101">
      <c r="A101" t="inlineStr">
        <is>
          <t>B00A32UR0I</t>
        </is>
      </c>
      <c r="B101" t="inlineStr">
        <is>
          <t>False</t>
        </is>
      </c>
      <c r="C101" t="inlineStr">
        <is>
          <t>B00A32UR0I</t>
        </is>
      </c>
      <c r="D101" t="inlineStr">
        <is>
          <t>Fleetguard</t>
        </is>
      </c>
      <c r="E101" t="inlineStr">
        <is>
          <t>False</t>
        </is>
      </c>
      <c r="F101" t="inlineStr">
        <is>
          <t>Fleetguard FF5776</t>
        </is>
      </c>
      <c r="G101">
        <v>1</v>
      </c>
      <c r="H101" s="2" t="str">
        <f>HYPERLINK("https://www.amazon.com/dp/B00A32UR0I", "https://www.amazon.com/dp/B00A32UR0I")</f>
      </c>
      <c r="I101" s="3">
        <v>275</v>
      </c>
      <c r="J101" s="4">
        <v>5.63</v>
      </c>
      <c r="K101" s="5">
        <v>0.134</v>
      </c>
      <c r="L101" s="5">
        <v>0.22519999999999998</v>
      </c>
      <c r="M101" t="inlineStr">
        <is>
          <t>True</t>
        </is>
      </c>
      <c r="N101" t="inlineStr">
        <is>
          <t>Automotive</t>
        </is>
      </c>
      <c r="O101" s="6">
        <v>21054</v>
      </c>
      <c r="P101" s="6">
        <v>13157</v>
      </c>
      <c r="Q101" s="6">
        <v>5534</v>
      </c>
      <c r="R101" s="6">
        <v>172</v>
      </c>
      <c r="S101" s="7">
        <v>25</v>
      </c>
      <c r="T101" s="7">
        <v>42</v>
      </c>
      <c r="U101">
        <v>42.86</v>
      </c>
      <c r="V101" s="8">
        <v>0</v>
      </c>
      <c r="W101" s="7">
        <v>0</v>
      </c>
      <c r="X101" s="7">
        <v>0</v>
      </c>
      <c r="Y101">
        <v>2.69</v>
      </c>
      <c r="Z101" s="8">
        <v>0</v>
      </c>
      <c r="AB101">
        <v>0</v>
      </c>
      <c r="AC101">
        <v>0</v>
      </c>
      <c r="AD101">
        <v>15</v>
      </c>
      <c r="AE101">
        <v>3</v>
      </c>
      <c r="AF101">
        <v>12</v>
      </c>
      <c r="AG101">
        <v>2</v>
      </c>
      <c r="AH101">
        <v>2</v>
      </c>
      <c r="AI101" t="inlineStr">
        <is>
          <t>True</t>
        </is>
      </c>
      <c r="AJ101" s="2" t="str">
        <f>HYPERLINK("https://keepa.com/#!product/1-B00A32UR0I", "https://keepa.com/#!product/1-B00A32UR0I")</f>
      </c>
      <c r="AK101" s="2" t="str">
        <f>HYPERLINK("https://camelcamelcamel.com/search?sq=B00A32UR0I", "https://camelcamelcamel.com/search?sq=B00A32UR0I")</f>
      </c>
      <c r="AL101" t="inlineStr">
        <is>
          <t/>
        </is>
      </c>
      <c r="AM101" s="10">
        <v>45417.11111111111</v>
      </c>
      <c r="AN101" t="inlineStr">
        <is>
          <t>Fleetguard FF5776</t>
        </is>
      </c>
      <c r="AO101" t="inlineStr">
        <is>
          <t>200</t>
        </is>
      </c>
      <c r="AP101" t="inlineStr">
        <is>
          <t>TAKE ALL</t>
        </is>
      </c>
    </row>
    <row r="102">
      <c r="A102" t="inlineStr">
        <is>
          <t>B00AFXPOJY</t>
        </is>
      </c>
      <c r="B102" t="inlineStr">
        <is>
          <t>False</t>
        </is>
      </c>
      <c r="C102" t="inlineStr">
        <is>
          <t>B00AFXPOJY</t>
        </is>
      </c>
      <c r="D102" t="inlineStr">
        <is>
          <t>Rapid Brands</t>
        </is>
      </c>
      <c r="E102" t="inlineStr">
        <is>
          <t>False</t>
        </is>
      </c>
      <c r="F102" t="inlineStr">
        <is>
          <t>Rapid Ramen Cooker | Microwavable Cookware for Instant Ramen | BPA Free and Dishwasher Safe | Perfect for Dorm, Small Kitchen or Office | Bright Red</t>
        </is>
      </c>
      <c r="G102">
        <v>1</v>
      </c>
      <c r="H102" s="2" t="str">
        <f>HYPERLINK("https://www.amazon.com/dp/B00AFXPOJY", "https://www.amazon.com/dp/B00AFXPOJY")</f>
      </c>
      <c r="I102" s="14">
        <v>5</v>
      </c>
      <c r="J102" s="11">
        <v>0.82</v>
      </c>
      <c r="K102" s="5">
        <v>0.0821</v>
      </c>
      <c r="L102" s="5">
        <v>0.1929</v>
      </c>
      <c r="M102" t="inlineStr">
        <is>
          <t>True</t>
        </is>
      </c>
      <c r="N102" t="inlineStr">
        <is>
          <t>Home</t>
        </is>
      </c>
      <c r="P102" s="6">
        <v>1294</v>
      </c>
      <c r="Q102" s="6">
        <v>907</v>
      </c>
      <c r="R102" s="6">
        <v>261</v>
      </c>
      <c r="S102" s="7">
        <v>4.25</v>
      </c>
      <c r="T102" s="7">
        <v>9.99</v>
      </c>
      <c r="U102">
        <v>9.94</v>
      </c>
      <c r="V102" s="8">
        <v>0</v>
      </c>
      <c r="W102" s="7">
        <v>0</v>
      </c>
      <c r="X102" s="7">
        <v>0</v>
      </c>
      <c r="Y102">
        <v>0.2</v>
      </c>
      <c r="Z102" s="8">
        <v>0</v>
      </c>
      <c r="AB102">
        <v>0</v>
      </c>
      <c r="AC102">
        <v>0</v>
      </c>
      <c r="AD102">
        <v>2</v>
      </c>
      <c r="AE102">
        <v>1</v>
      </c>
      <c r="AF102">
        <v>1</v>
      </c>
      <c r="AG102">
        <v>1</v>
      </c>
      <c r="AH102">
        <v>28</v>
      </c>
      <c r="AI102" t="inlineStr">
        <is>
          <t>False</t>
        </is>
      </c>
      <c r="AJ102" s="2" t="str">
        <f>HYPERLINK("https://keepa.com/#!product/1-B00AFXPOJY", "https://keepa.com/#!product/1-B00AFXPOJY")</f>
      </c>
      <c r="AK102" s="2" t="str">
        <f>HYPERLINK("https://camelcamelcamel.com/search?sq=B00AFXPOJY", "https://camelcamelcamel.com/search?sq=B00AFXPOJY")</f>
      </c>
      <c r="AL102" t="inlineStr">
        <is>
          <t/>
        </is>
      </c>
      <c r="AM102" s="10">
        <v>45417.11111111111</v>
      </c>
      <c r="AN102" t="inlineStr">
        <is>
          <t>Rapid Ramen Cooker | Microwavable Cookware for Instant Ramen | BPA Free and Dishwasher Safe | Perfect for Dorm, Small Kitchen or Office | Bright Red</t>
        </is>
      </c>
      <c r="AO102" t="inlineStr">
        <is>
          <t>1100</t>
        </is>
      </c>
      <c r="AP102" t="inlineStr">
        <is>
          <t>TAKE ALL</t>
        </is>
      </c>
    </row>
    <row r="103">
      <c r="A103" t="inlineStr">
        <is>
          <t>B00AHAWWO0</t>
        </is>
      </c>
      <c r="B103" t="inlineStr">
        <is>
          <t>False</t>
        </is>
      </c>
      <c r="C103" t="inlineStr">
        <is>
          <t>B00AHAWWO0</t>
        </is>
      </c>
      <c r="D103" t="inlineStr">
        <is>
          <t>Crest</t>
        </is>
      </c>
      <c r="E103" t="inlineStr">
        <is>
          <t>False</t>
        </is>
      </c>
      <c r="F103" t="inlineStr">
        <is>
          <t>Crest 3D Whitestrips, Professional Effects, Teeth Whitening Strip Kit, 44 Strips (22 Count Pack)</t>
        </is>
      </c>
      <c r="G103">
        <v>1</v>
      </c>
      <c r="H103" s="2" t="str">
        <f>HYPERLINK("https://www.amazon.com/dp/B00AHAWWO0", "https://www.amazon.com/dp/B00AHAWWO0")</f>
      </c>
      <c r="I103" s="14">
        <v>5</v>
      </c>
      <c r="J103" s="4">
        <v>8.85</v>
      </c>
      <c r="K103" s="5">
        <v>0.19399999999999998</v>
      </c>
      <c r="L103" s="15">
        <v>0.3404</v>
      </c>
      <c r="M103" t="inlineStr">
        <is>
          <t>True</t>
        </is>
      </c>
      <c r="N103" t="inlineStr">
        <is>
          <t>Climate Pledge Friendly</t>
        </is>
      </c>
      <c r="O103" s="6">
        <v>130</v>
      </c>
      <c r="P103" s="6">
        <v>103</v>
      </c>
      <c r="Q103" s="6">
        <v>1</v>
      </c>
      <c r="R103" s="6">
        <v>301</v>
      </c>
      <c r="S103" s="7">
        <v>26</v>
      </c>
      <c r="T103" s="7">
        <v>45.61</v>
      </c>
      <c r="U103">
        <v>45.09</v>
      </c>
      <c r="V103" s="8">
        <v>0</v>
      </c>
      <c r="W103" s="7">
        <v>0</v>
      </c>
      <c r="X103" s="7">
        <v>0</v>
      </c>
      <c r="Y103">
        <v>0.11</v>
      </c>
      <c r="Z103" s="9">
        <v>1</v>
      </c>
      <c r="AB103">
        <v>0</v>
      </c>
      <c r="AC103">
        <v>0</v>
      </c>
      <c r="AD103">
        <v>40</v>
      </c>
      <c r="AE103">
        <v>1</v>
      </c>
      <c r="AF103">
        <v>1</v>
      </c>
      <c r="AG103">
        <v>1</v>
      </c>
      <c r="AH103">
        <v>1</v>
      </c>
      <c r="AI103" t="inlineStr">
        <is>
          <t>False</t>
        </is>
      </c>
      <c r="AJ103" s="2" t="str">
        <f>HYPERLINK("https://keepa.com/#!product/1-B00AHAWWO0", "https://keepa.com/#!product/1-B00AHAWWO0")</f>
      </c>
      <c r="AK103" s="2" t="str">
        <f>HYPERLINK("https://camelcamelcamel.com/search?sq=B00AHAWWO0", "https://camelcamelcamel.com/search?sq=B00AHAWWO0")</f>
      </c>
      <c r="AL103" t="inlineStr">
        <is>
          <t/>
        </is>
      </c>
      <c r="AM103" s="10">
        <v>45417.11111111111</v>
      </c>
      <c r="AN103" t="inlineStr">
        <is>
          <t>Crest 3D Whitestrips, Professional Effects, Teeth Whitening Strip Kit, 44 Strips (22 Count Pack)</t>
        </is>
      </c>
      <c r="AO103" t="inlineStr">
        <is>
          <t>5000</t>
        </is>
      </c>
      <c r="AP103" t="inlineStr">
        <is>
          <t>1000</t>
        </is>
      </c>
    </row>
    <row r="104">
      <c r="A104" t="inlineStr">
        <is>
          <t>B00ATOGGT6</t>
        </is>
      </c>
      <c r="B104" t="inlineStr">
        <is>
          <t>False</t>
        </is>
      </c>
      <c r="C104" t="inlineStr">
        <is>
          <t>B00ATOGGT6</t>
        </is>
      </c>
      <c r="D104" t="inlineStr">
        <is>
          <t>Texas Pete</t>
        </is>
      </c>
      <c r="E104" t="inlineStr">
        <is>
          <t>False</t>
        </is>
      </c>
      <c r="F104" t="inlineStr">
        <is>
          <t>Texas Pete Original Hot Sauce, 12 Fl Oz (Pack of 2)</t>
        </is>
      </c>
      <c r="G104">
        <v>2</v>
      </c>
      <c r="H104" s="2" t="str">
        <f>HYPERLINK("https://www.amazon.com/dp/B00ATOGGT6", "https://www.amazon.com/dp/B00ATOGGT6")</f>
      </c>
      <c r="I104" s="3">
        <v>1122</v>
      </c>
      <c r="J104" s="12">
        <v>-8.66</v>
      </c>
      <c r="K104" s="13">
        <v>-0.7223</v>
      </c>
      <c r="L104" s="13">
        <v>-0.6662</v>
      </c>
      <c r="M104" t="inlineStr">
        <is>
          <t>True</t>
        </is>
      </c>
      <c r="N104" t="inlineStr">
        <is>
          <t>Grocery &amp; Gourmet Food</t>
        </is>
      </c>
      <c r="O104" s="6">
        <v>7779</v>
      </c>
      <c r="P104" s="6">
        <v>7420</v>
      </c>
      <c r="Q104" s="6">
        <v>4669</v>
      </c>
      <c r="R104" s="6">
        <v>305</v>
      </c>
      <c r="S104" s="7">
        <v>6.5</v>
      </c>
      <c r="T104" s="7">
        <v>11.99</v>
      </c>
      <c r="U104">
        <v>15.24</v>
      </c>
      <c r="V104" s="8">
        <v>0</v>
      </c>
      <c r="W104" s="7">
        <v>0</v>
      </c>
      <c r="X104" s="7">
        <v>0</v>
      </c>
      <c r="Y104">
        <v>2.76</v>
      </c>
      <c r="Z104" s="8">
        <v>0</v>
      </c>
      <c r="AB104">
        <v>0</v>
      </c>
      <c r="AC104">
        <v>0</v>
      </c>
      <c r="AD104">
        <v>17</v>
      </c>
      <c r="AE104">
        <v>9</v>
      </c>
      <c r="AF104">
        <v>8</v>
      </c>
      <c r="AG104">
        <v>0</v>
      </c>
      <c r="AH104">
        <v>13</v>
      </c>
      <c r="AI104" t="inlineStr">
        <is>
          <t>False</t>
        </is>
      </c>
      <c r="AJ104" s="2" t="str">
        <f>HYPERLINK("https://keepa.com/#!product/1-B00ATOGGT6", "https://keepa.com/#!product/1-B00ATOGGT6")</f>
      </c>
      <c r="AK104" s="2" t="str">
        <f>HYPERLINK("https://camelcamelcamel.com/search?sq=B00ATOGGT6", "https://camelcamelcamel.com/search?sq=B00ATOGGT6")</f>
      </c>
      <c r="AL104" t="inlineStr">
        <is>
          <t/>
        </is>
      </c>
      <c r="AM104" s="10">
        <v>45417.11111111111</v>
      </c>
      <c r="AN104" t="inlineStr">
        <is>
          <t>Texas Pete Original Hot Sauce, 12 Fl Oz (Pack of 2)</t>
        </is>
      </c>
      <c r="AO104" t="inlineStr">
        <is>
          <t>500</t>
        </is>
      </c>
      <c r="AP104" t="inlineStr">
        <is>
          <t>TAKE ALL</t>
        </is>
      </c>
    </row>
    <row r="105">
      <c r="A105" t="inlineStr">
        <is>
          <t>B00ATWM0C0</t>
        </is>
      </c>
      <c r="B105" t="inlineStr">
        <is>
          <t>False</t>
        </is>
      </c>
      <c r="C105" t="inlineStr">
        <is>
          <t>B00ATWM0C0</t>
        </is>
      </c>
      <c r="D105" t="inlineStr">
        <is>
          <t>Starbucks</t>
        </is>
      </c>
      <c r="E105" t="inlineStr">
        <is>
          <t>False</t>
        </is>
      </c>
      <c r="F105" t="inlineStr">
        <is>
          <t>Starbucks Hot Cocoa, Marshmallow, 7 Ounce</t>
        </is>
      </c>
      <c r="G105">
        <v>1</v>
      </c>
      <c r="H105" s="2" t="str">
        <f>HYPERLINK("https://www.amazon.com/dp/B00ATWM0C0", "https://www.amazon.com/dp/B00ATWM0C0")</f>
      </c>
      <c r="I105" s="3">
        <v>1326</v>
      </c>
      <c r="J105" s="12">
        <v>-2.07</v>
      </c>
      <c r="K105" s="13">
        <v>-0.243</v>
      </c>
      <c r="L105" s="13">
        <v>-0.3185</v>
      </c>
      <c r="M105" t="inlineStr">
        <is>
          <t>True</t>
        </is>
      </c>
      <c r="N105" t="inlineStr">
        <is>
          <t>Grocery &amp; Gourmet Food</t>
        </is>
      </c>
      <c r="O105" s="6">
        <v>6539</v>
      </c>
      <c r="P105" s="6">
        <v>6097</v>
      </c>
      <c r="Q105" s="6">
        <v>3925</v>
      </c>
      <c r="R105" s="6">
        <v>189</v>
      </c>
      <c r="S105" s="7">
        <v>6.5</v>
      </c>
      <c r="T105" s="7">
        <v>8.52</v>
      </c>
      <c r="U105">
        <v>10.35</v>
      </c>
      <c r="V105" s="8">
        <v>0</v>
      </c>
      <c r="W105" s="7">
        <v>0</v>
      </c>
      <c r="X105" s="7">
        <v>0</v>
      </c>
      <c r="Y105">
        <v>0.71</v>
      </c>
      <c r="Z105" s="8">
        <v>0</v>
      </c>
      <c r="AB105">
        <v>0</v>
      </c>
      <c r="AC105">
        <v>0</v>
      </c>
      <c r="AD105">
        <v>12</v>
      </c>
      <c r="AE105">
        <v>8</v>
      </c>
      <c r="AF105">
        <v>4</v>
      </c>
      <c r="AG105">
        <v>1</v>
      </c>
      <c r="AH105">
        <v>11</v>
      </c>
      <c r="AI105" t="inlineStr">
        <is>
          <t>False</t>
        </is>
      </c>
      <c r="AJ105" s="2" t="str">
        <f>HYPERLINK("https://keepa.com/#!product/1-B00ATWM0C0", "https://keepa.com/#!product/1-B00ATWM0C0")</f>
      </c>
      <c r="AK105" s="2" t="str">
        <f>HYPERLINK("https://camelcamelcamel.com/search?sq=B00ATWM0C0", "https://camelcamelcamel.com/search?sq=B00ATWM0C0")</f>
      </c>
      <c r="AL105" t="inlineStr">
        <is>
          <t/>
        </is>
      </c>
      <c r="AM105" s="10">
        <v>45417.11111111111</v>
      </c>
      <c r="AN105" t="inlineStr">
        <is>
          <t>Starbucks Hot Cocoa, Marshmallow, 7 Ounce</t>
        </is>
      </c>
      <c r="AO105" t="inlineStr">
        <is>
          <t>500</t>
        </is>
      </c>
      <c r="AP105" t="inlineStr">
        <is>
          <t>250</t>
        </is>
      </c>
    </row>
    <row r="106">
      <c r="A106" t="inlineStr">
        <is>
          <t>B00AZMDWH6</t>
        </is>
      </c>
      <c r="B106" t="inlineStr">
        <is>
          <t>False</t>
        </is>
      </c>
      <c r="C106" t="inlineStr">
        <is>
          <t>B00AZMDWH6</t>
        </is>
      </c>
      <c r="D106" t="inlineStr">
        <is>
          <t>BSN</t>
        </is>
      </c>
      <c r="E106" t="inlineStr">
        <is>
          <t>False</t>
        </is>
      </c>
      <c r="F106" t="inlineStr">
        <is>
          <t>BSN SYNTHA-6 Whey Protein Powder with Micellar Casein, Chocolate Milk Protein Isolate Powder, Chocolate Milkshake, 97 Servings (Package May Vary)</t>
        </is>
      </c>
      <c r="G106">
        <v>1</v>
      </c>
      <c r="H106" s="2" t="str">
        <f>HYPERLINK("https://www.amazon.com/dp/B00AZMDWH6", "https://www.amazon.com/dp/B00AZMDWH6")</f>
      </c>
      <c r="I106" s="3">
        <v>23463</v>
      </c>
      <c r="J106" s="4">
        <v>19.9</v>
      </c>
      <c r="K106" s="5">
        <v>0.19510000000000002</v>
      </c>
      <c r="L106" s="15">
        <v>0.34909999999999997</v>
      </c>
      <c r="M106" t="inlineStr">
        <is>
          <t>True</t>
        </is>
      </c>
      <c r="N106" t="inlineStr">
        <is>
          <t>Health &amp; Household</t>
        </is>
      </c>
      <c r="O106" s="6">
        <v>706</v>
      </c>
      <c r="P106" s="6">
        <v>1293</v>
      </c>
      <c r="Q106" s="6">
        <v>658</v>
      </c>
      <c r="R106" s="6">
        <v>267</v>
      </c>
      <c r="S106" s="7">
        <v>57</v>
      </c>
      <c r="T106" s="7">
        <v>101.99</v>
      </c>
      <c r="U106">
        <v>103.15</v>
      </c>
      <c r="V106" s="8">
        <v>0</v>
      </c>
      <c r="W106" s="7">
        <v>0</v>
      </c>
      <c r="X106" s="7">
        <v>0</v>
      </c>
      <c r="Y106">
        <v>10.3</v>
      </c>
      <c r="Z106" s="9">
        <v>1</v>
      </c>
      <c r="AB106">
        <v>0</v>
      </c>
      <c r="AC106">
        <v>0</v>
      </c>
      <c r="AD106">
        <v>4</v>
      </c>
      <c r="AE106">
        <v>1</v>
      </c>
      <c r="AF106">
        <v>3</v>
      </c>
      <c r="AG106">
        <v>1</v>
      </c>
      <c r="AH106">
        <v>17</v>
      </c>
      <c r="AI106" t="inlineStr">
        <is>
          <t>False</t>
        </is>
      </c>
      <c r="AJ106" s="2" t="str">
        <f>HYPERLINK("https://keepa.com/#!product/1-B00AZMDWH6", "https://keepa.com/#!product/1-B00AZMDWH6")</f>
      </c>
      <c r="AK106" s="2" t="str">
        <f>HYPERLINK("https://camelcamelcamel.com/search?sq=B00AZMDWH6", "https://camelcamelcamel.com/search?sq=B00AZMDWH6")</f>
      </c>
      <c r="AL106" t="inlineStr">
        <is>
          <t/>
        </is>
      </c>
      <c r="AM106" s="10">
        <v>45417.11111111111</v>
      </c>
      <c r="AN106" t="inlineStr">
        <is>
          <t>HOT Deal BSN SYNTHA 6 Whey Protein</t>
        </is>
      </c>
      <c r="AO106" t="inlineStr">
        <is>
          <t>500</t>
        </is>
      </c>
      <c r="AP106" t="inlineStr">
        <is>
          <t>250</t>
        </is>
      </c>
    </row>
    <row r="107">
      <c r="A107" t="inlineStr">
        <is>
          <t>B00B3R2YVM</t>
        </is>
      </c>
      <c r="B107" t="inlineStr">
        <is>
          <t>False</t>
        </is>
      </c>
      <c r="C107" t="inlineStr">
        <is>
          <t>B00B3R2YVM</t>
        </is>
      </c>
      <c r="D107" t="inlineStr">
        <is>
          <t>J.R. Watkins</t>
        </is>
      </c>
      <c r="E107" t="inlineStr">
        <is>
          <t>False</t>
        </is>
      </c>
      <c r="F107" t="inlineStr">
        <is>
          <t>J.R. Watkins Natural Moisturizing Hand Cream, Hydrating Hand Moisturizer with Shea Butter, Cocoa Butter, and Avocado Oil, USA Made and Cruelty Free, 3.3oz, Aloe &amp; Green Tea, Single</t>
        </is>
      </c>
      <c r="G107">
        <v>1</v>
      </c>
      <c r="H107" s="2" t="str">
        <f>HYPERLINK("https://www.amazon.com/dp/B00B3R2YVM", "https://www.amazon.com/dp/B00B3R2YVM")</f>
      </c>
      <c r="I107" s="3">
        <v>304</v>
      </c>
      <c r="J107" s="12">
        <v>-1.65</v>
      </c>
      <c r="K107" s="13">
        <v>-0.2419</v>
      </c>
      <c r="L107" s="13">
        <v>-0.33</v>
      </c>
      <c r="M107" t="inlineStr">
        <is>
          <t>True</t>
        </is>
      </c>
      <c r="N107" t="inlineStr">
        <is>
          <t>Beauty &amp; Personal Care</t>
        </is>
      </c>
      <c r="O107" s="6">
        <v>44646</v>
      </c>
      <c r="P107" s="6">
        <v>43917</v>
      </c>
      <c r="Q107" s="6">
        <v>28754</v>
      </c>
      <c r="R107" s="6">
        <v>165</v>
      </c>
      <c r="S107" s="7">
        <v>5</v>
      </c>
      <c r="T107" s="7">
        <v>6.82</v>
      </c>
      <c r="U107">
        <v>7.9</v>
      </c>
      <c r="V107" s="8">
        <v>0</v>
      </c>
      <c r="W107" s="7">
        <v>0</v>
      </c>
      <c r="X107" s="7">
        <v>0</v>
      </c>
      <c r="Y107">
        <v>0.24</v>
      </c>
      <c r="Z107" s="9">
        <v>0.21</v>
      </c>
      <c r="AB107">
        <v>0</v>
      </c>
      <c r="AC107">
        <v>0</v>
      </c>
      <c r="AD107">
        <v>26</v>
      </c>
      <c r="AE107">
        <v>19</v>
      </c>
      <c r="AF107">
        <v>7</v>
      </c>
      <c r="AG107">
        <v>7</v>
      </c>
      <c r="AH107">
        <v>0</v>
      </c>
      <c r="AI107" t="inlineStr">
        <is>
          <t>False</t>
        </is>
      </c>
      <c r="AJ107" s="2" t="str">
        <f>HYPERLINK("https://keepa.com/#!product/1-B00B3R2YVM", "https://keepa.com/#!product/1-B00B3R2YVM")</f>
      </c>
      <c r="AK107" s="2" t="str">
        <f>HYPERLINK("https://camelcamelcamel.com/search?sq=B00B3R2YVM", "https://camelcamelcamel.com/search?sq=B00B3R2YVM")</f>
      </c>
      <c r="AL107" t="inlineStr">
        <is>
          <t/>
        </is>
      </c>
      <c r="AM107" s="10">
        <v>45417.11111111111</v>
      </c>
      <c r="AN107" t="inlineStr">
        <is>
          <t>J.R. Watkins Natural Moisturizing Hand Cream, Hydrating Hand Moisturizer with Shea Butter, Cocoa Butter, and Avocado Oil, USA Made and Cruelty Free, 3.3oz, Aloe &amp; Green Tea, Single</t>
        </is>
      </c>
      <c r="AO107" t="inlineStr">
        <is>
          <t>500</t>
        </is>
      </c>
      <c r="AP107" t="inlineStr">
        <is>
          <t>TAKE ALL</t>
        </is>
      </c>
    </row>
    <row r="108">
      <c r="A108" t="inlineStr">
        <is>
          <t>B00B8YSOW8</t>
        </is>
      </c>
      <c r="B108" t="inlineStr">
        <is>
          <t>False</t>
        </is>
      </c>
      <c r="C108" t="inlineStr">
        <is>
          <t>B00B8YSOW8</t>
        </is>
      </c>
      <c r="D108" t="inlineStr">
        <is>
          <t>Nutrition Now</t>
        </is>
      </c>
      <c r="E108" t="inlineStr">
        <is>
          <t>False</t>
        </is>
      </c>
      <c r="F108" t="inlineStr">
        <is>
          <t>Nutrition Now PB 8 Probiotic Acidophilus For Life* Vegetarian Dietary Supplement for Men and Women, 120 Count</t>
        </is>
      </c>
      <c r="G108">
        <v>1</v>
      </c>
      <c r="H108" s="2" t="str">
        <f>HYPERLINK("https://www.amazon.com/dp/B00B8YSOW8", "https://www.amazon.com/dp/B00B8YSOW8")</f>
      </c>
      <c r="I108" s="3">
        <v>1274</v>
      </c>
      <c r="J108" s="12">
        <v>-1.24</v>
      </c>
      <c r="K108" s="13">
        <v>-0.1008</v>
      </c>
      <c r="L108" s="13">
        <v>-0.155</v>
      </c>
      <c r="M108" t="inlineStr">
        <is>
          <t>True</t>
        </is>
      </c>
      <c r="N108" t="inlineStr">
        <is>
          <t>Health &amp; Household</t>
        </is>
      </c>
      <c r="O108" s="6">
        <v>18602</v>
      </c>
      <c r="P108" s="6">
        <v>22406</v>
      </c>
      <c r="Q108" s="6">
        <v>15335</v>
      </c>
      <c r="R108" s="6">
        <v>175</v>
      </c>
      <c r="S108" s="7">
        <v>8</v>
      </c>
      <c r="T108" s="7">
        <v>12.3</v>
      </c>
      <c r="U108">
        <v>15.08</v>
      </c>
      <c r="V108" s="8">
        <v>0</v>
      </c>
      <c r="W108" s="7">
        <v>0</v>
      </c>
      <c r="X108" s="7">
        <v>0</v>
      </c>
      <c r="Y108">
        <v>0.2</v>
      </c>
      <c r="Z108" s="9">
        <v>1</v>
      </c>
      <c r="AB108">
        <v>0</v>
      </c>
      <c r="AC108">
        <v>0</v>
      </c>
      <c r="AD108">
        <v>29</v>
      </c>
      <c r="AE108">
        <v>11</v>
      </c>
      <c r="AF108">
        <v>18</v>
      </c>
      <c r="AG108">
        <v>1</v>
      </c>
      <c r="AH108">
        <v>1</v>
      </c>
      <c r="AI108" t="inlineStr">
        <is>
          <t>False</t>
        </is>
      </c>
      <c r="AJ108" s="2" t="str">
        <f>HYPERLINK("https://keepa.com/#!product/1-B00B8YSOW8", "https://keepa.com/#!product/1-B00B8YSOW8")</f>
      </c>
      <c r="AK108" s="2" t="str">
        <f>HYPERLINK("https://camelcamelcamel.com/search?sq=B00B8YSOW8", "https://camelcamelcamel.com/search?sq=B00B8YSOW8")</f>
      </c>
      <c r="AL108" t="inlineStr">
        <is>
          <t/>
        </is>
      </c>
      <c r="AM108" s="10">
        <v>45417.11111111111</v>
      </c>
      <c r="AN108" t="inlineStr">
        <is>
          <t>Nutrition Now PB 8 Probiotic Acidophilus For Life* Vegetarian Dietary Supplement for Men and Women, 120 Count</t>
        </is>
      </c>
      <c r="AO108" t="inlineStr">
        <is>
          <t>721</t>
        </is>
      </c>
      <c r="AP108" t="inlineStr">
        <is>
          <t>350</t>
        </is>
      </c>
    </row>
    <row r="109">
      <c r="A109" t="inlineStr">
        <is>
          <t>B00BAGTNAQ</t>
        </is>
      </c>
      <c r="B109" t="inlineStr">
        <is>
          <t>False</t>
        </is>
      </c>
      <c r="C109" t="inlineStr">
        <is>
          <t>B00BAGTNAQ</t>
        </is>
      </c>
      <c r="D109" t="inlineStr">
        <is>
          <t>ChomChom Roller</t>
        </is>
      </c>
      <c r="E109" t="inlineStr">
        <is>
          <t>False</t>
        </is>
      </c>
      <c r="F109" t="inlineStr">
        <is>
          <t>Chom Chom Roller Pet Hair Remover and Reusable Lint Roller - ChomChom Cat and Dog Hair Remover for Furniture, Couch, Carpet, Clothing and Bedding - Portable, Multi-Surface Fur Removal Tool</t>
        </is>
      </c>
      <c r="G109">
        <v>1</v>
      </c>
      <c r="H109" s="2" t="str">
        <f>HYPERLINK("https://www.amazon.com/dp/B00BAGTNAQ", "https://www.amazon.com/dp/B00BAGTNAQ")</f>
      </c>
      <c r="I109" s="3">
        <v>36651</v>
      </c>
      <c r="J109" s="4">
        <v>6.68</v>
      </c>
      <c r="K109" s="5">
        <v>0.23870000000000002</v>
      </c>
      <c r="L109" s="15">
        <v>0.5344</v>
      </c>
      <c r="M109" t="inlineStr">
        <is>
          <t>True</t>
        </is>
      </c>
      <c r="N109" t="inlineStr">
        <is>
          <t>Pet Supplies</t>
        </is>
      </c>
      <c r="O109" s="6">
        <v>69</v>
      </c>
      <c r="P109" s="6">
        <v>62</v>
      </c>
      <c r="Q109" s="6">
        <v>17</v>
      </c>
      <c r="R109" s="6">
        <v>253</v>
      </c>
      <c r="S109" s="7">
        <v>12.5</v>
      </c>
      <c r="T109" s="7">
        <v>27.99</v>
      </c>
      <c r="U109">
        <v>27.01</v>
      </c>
      <c r="V109" s="8">
        <v>0</v>
      </c>
      <c r="W109" s="7">
        <v>0</v>
      </c>
      <c r="X109" s="7">
        <v>0</v>
      </c>
      <c r="Y109">
        <v>0.44</v>
      </c>
      <c r="Z109" s="9">
        <v>0.04</v>
      </c>
      <c r="AB109">
        <v>0</v>
      </c>
      <c r="AC109">
        <v>0</v>
      </c>
      <c r="AD109">
        <v>3</v>
      </c>
      <c r="AE109">
        <v>3</v>
      </c>
      <c r="AF109">
        <v>0</v>
      </c>
      <c r="AG109">
        <v>3</v>
      </c>
      <c r="AH109">
        <v>3</v>
      </c>
      <c r="AI109" t="inlineStr">
        <is>
          <t>False</t>
        </is>
      </c>
      <c r="AJ109" s="2" t="str">
        <f>HYPERLINK("https://keepa.com/#!product/1-B00BAGTNAQ", "https://keepa.com/#!product/1-B00BAGTNAQ")</f>
      </c>
      <c r="AK109" s="2" t="str">
        <f>HYPERLINK("https://camelcamelcamel.com/search?sq=B00BAGTNAQ", "https://camelcamelcamel.com/search?sq=B00BAGTNAQ")</f>
      </c>
      <c r="AL109" t="inlineStr">
        <is>
          <t/>
        </is>
      </c>
      <c r="AM109" s="10">
        <v>45417.11111111111</v>
      </c>
      <c r="AN109" t="inlineStr">
        <is>
          <t>Chom Chom Roller Pet Hair Remover and Reusable Lint Roller - ChomChom Cat and Dog Hair Remover for Furniture, Couch, Carpet, Clothing and Bedding - Portable, Multi-Surface Fur Removal Tool</t>
        </is>
      </c>
      <c r="AO109" t="inlineStr">
        <is>
          <t>5769</t>
        </is>
      </c>
      <c r="AP109" t="inlineStr">
        <is>
          <t>3000</t>
        </is>
      </c>
    </row>
    <row r="110">
      <c r="A110" t="inlineStr">
        <is>
          <t>B00BBVH8WU</t>
        </is>
      </c>
      <c r="B110" t="inlineStr">
        <is>
          <t>False</t>
        </is>
      </c>
      <c r="C110" t="inlineStr">
        <is>
          <t>B00BBVH8WU</t>
        </is>
      </c>
      <c r="D110" t="inlineStr">
        <is>
          <t>Reserveage Nutrition</t>
        </is>
      </c>
      <c r="E110" t="inlineStr">
        <is>
          <t>False</t>
        </is>
      </c>
      <c r="F110" t="inlineStr">
        <is>
          <t>Reserveage Beauty, Collagen Booster, Collagen Supplement for Skin Care and Joint Health, Supports Healthy Collagen Production for Men &amp; Women, 120 Capsules (60 Servings)</t>
        </is>
      </c>
      <c r="G110">
        <v>1</v>
      </c>
      <c r="H110" s="2" t="str">
        <f>HYPERLINK("https://www.amazon.com/dp/B00BBVH8WU", "https://www.amazon.com/dp/B00BBVH8WU")</f>
      </c>
      <c r="I110" s="3">
        <v>339</v>
      </c>
      <c r="J110" s="4">
        <v>7.26</v>
      </c>
      <c r="K110" s="5">
        <v>0.1429</v>
      </c>
      <c r="L110" s="5">
        <v>0.22690000000000002</v>
      </c>
      <c r="M110" t="inlineStr">
        <is>
          <t>True</t>
        </is>
      </c>
      <c r="N110" t="inlineStr">
        <is>
          <t>Health &amp; Household</t>
        </is>
      </c>
      <c r="O110" s="6">
        <v>48554</v>
      </c>
      <c r="P110" s="6">
        <v>57906</v>
      </c>
      <c r="Q110" s="6">
        <v>38768</v>
      </c>
      <c r="R110" s="6">
        <v>163</v>
      </c>
      <c r="S110" s="7">
        <v>32</v>
      </c>
      <c r="T110" s="7">
        <v>50.8</v>
      </c>
      <c r="U110">
        <v>54.35</v>
      </c>
      <c r="V110" s="8">
        <v>0</v>
      </c>
      <c r="W110" s="7">
        <v>0</v>
      </c>
      <c r="X110" s="7">
        <v>0</v>
      </c>
      <c r="Y110">
        <v>0.35</v>
      </c>
      <c r="Z110" s="8">
        <v>0</v>
      </c>
      <c r="AB110">
        <v>0</v>
      </c>
      <c r="AC110">
        <v>0</v>
      </c>
      <c r="AD110">
        <v>6</v>
      </c>
      <c r="AE110">
        <v>6</v>
      </c>
      <c r="AF110">
        <v>0</v>
      </c>
      <c r="AG110">
        <v>4</v>
      </c>
      <c r="AH110">
        <v>1</v>
      </c>
      <c r="AI110" t="inlineStr">
        <is>
          <t>False</t>
        </is>
      </c>
      <c r="AJ110" s="2" t="str">
        <f>HYPERLINK("https://keepa.com/#!product/1-B00BBVH8WU", "https://keepa.com/#!product/1-B00BBVH8WU")</f>
      </c>
      <c r="AK110" s="2" t="str">
        <f>HYPERLINK("https://camelcamelcamel.com/search?sq=B00BBVH8WU", "https://camelcamelcamel.com/search?sq=B00BBVH8WU")</f>
      </c>
      <c r="AL110" t="inlineStr">
        <is>
          <t/>
        </is>
      </c>
      <c r="AM110" s="10">
        <v>45417.11111111111</v>
      </c>
      <c r="AN110" t="inlineStr">
        <is>
          <t>Reserveage Beauty, Collagen Booster, Collagen Supplement for Skin Care and Joint Health, Supports Healthy Collagen Production for Men &amp; Women, 120 Capsules (60 Servings)</t>
        </is>
      </c>
      <c r="AO110" t="inlineStr">
        <is>
          <t>1000</t>
        </is>
      </c>
      <c r="AP110" t="inlineStr">
        <is>
          <t>500</t>
        </is>
      </c>
    </row>
    <row r="111">
      <c r="A111" t="inlineStr">
        <is>
          <t>B00BCS1670</t>
        </is>
      </c>
      <c r="B111" t="inlineStr">
        <is>
          <t>False</t>
        </is>
      </c>
      <c r="C111" t="inlineStr">
        <is>
          <t>B00BCS1670</t>
        </is>
      </c>
      <c r="D111" t="inlineStr">
        <is>
          <t>Isagenix</t>
        </is>
      </c>
      <c r="E111" t="inlineStr">
        <is>
          <t>False</t>
        </is>
      </c>
      <c r="F111" t="inlineStr">
        <is>
          <t>Isagenix IsaLean Shake - Meal Replacement Protein Shake Supports Healthy Weight &amp; Muscle Growth - Protein Powder Enriched with 23 Vitamins - Creamy French Vanilla, 29.1 Oz (14 Servings)</t>
        </is>
      </c>
      <c r="G111">
        <v>1</v>
      </c>
      <c r="H111" s="2" t="str">
        <f>HYPERLINK("https://www.amazon.com/dp/B00BCS1670", "https://www.amazon.com/dp/B00BCS1670")</f>
      </c>
      <c r="I111" s="3">
        <v>3597</v>
      </c>
      <c r="J111" s="4">
        <v>18.69</v>
      </c>
      <c r="K111" s="5">
        <v>0.2709</v>
      </c>
      <c r="L111" s="15">
        <v>0.5497</v>
      </c>
      <c r="M111" t="inlineStr">
        <is>
          <t>True</t>
        </is>
      </c>
      <c r="N111" t="inlineStr">
        <is>
          <t>Grocery &amp; Gourmet Food</t>
        </is>
      </c>
      <c r="O111" s="6">
        <v>1829</v>
      </c>
      <c r="P111" s="6">
        <v>2070</v>
      </c>
      <c r="Q111" s="6">
        <v>1504</v>
      </c>
      <c r="R111" s="6">
        <v>450</v>
      </c>
      <c r="S111" s="7">
        <v>34</v>
      </c>
      <c r="T111" s="7">
        <v>68.99</v>
      </c>
      <c r="U111">
        <v>55.64</v>
      </c>
      <c r="V111" s="8">
        <v>0</v>
      </c>
      <c r="W111" s="7">
        <v>0</v>
      </c>
      <c r="X111" s="7">
        <v>0</v>
      </c>
      <c r="Y111">
        <v>2.15</v>
      </c>
      <c r="Z111" s="8">
        <v>0</v>
      </c>
      <c r="AB111">
        <v>0</v>
      </c>
      <c r="AC111">
        <v>0</v>
      </c>
      <c r="AD111">
        <v>2</v>
      </c>
      <c r="AE111">
        <v>2</v>
      </c>
      <c r="AF111">
        <v>0</v>
      </c>
      <c r="AG111">
        <v>2</v>
      </c>
      <c r="AH111">
        <v>5</v>
      </c>
      <c r="AI111" t="inlineStr">
        <is>
          <t>False</t>
        </is>
      </c>
      <c r="AJ111" s="2" t="str">
        <f>HYPERLINK("https://keepa.com/#!product/1-B00BCS1670", "https://keepa.com/#!product/1-B00BCS1670")</f>
      </c>
      <c r="AK111" s="2" t="str">
        <f>HYPERLINK("https://camelcamelcamel.com/search?sq=B00BCS1670", "https://camelcamelcamel.com/search?sq=B00BCS1670")</f>
      </c>
      <c r="AL111" t="inlineStr">
        <is>
          <t/>
        </is>
      </c>
      <c r="AM111" s="10">
        <v>45417.11111111111</v>
      </c>
      <c r="AN111" t="inlineStr">
        <is>
          <t>Isagenix IsaLean Shake - Meal Replacement Protein Shake Supports Healthy Weight &amp; Muscle Growth - Protein Powder Enriched with 23 Vitamins - Creamy French Vanilla, 29.1 Oz (14 Servings)</t>
        </is>
      </c>
      <c r="AO111" t="inlineStr">
        <is>
          <t>250</t>
        </is>
      </c>
      <c r="AP111" t="inlineStr">
        <is>
          <t>TAKE ALL</t>
        </is>
      </c>
    </row>
    <row r="112">
      <c r="A112" t="inlineStr">
        <is>
          <t>B00BDMP9TQ</t>
        </is>
      </c>
      <c r="B112" t="inlineStr">
        <is>
          <t>False</t>
        </is>
      </c>
      <c r="C112" t="inlineStr">
        <is>
          <t>B00BDMP9TQ</t>
        </is>
      </c>
      <c r="D112" t="inlineStr">
        <is>
          <t>Allergy Research Group</t>
        </is>
      </c>
      <c r="E112" t="inlineStr">
        <is>
          <t>False</t>
        </is>
      </c>
      <c r="F112" t="inlineStr">
        <is>
          <t>Allergy Research Group Delta-Fraction Tocotrienols Supplement - 125 mg Vitamin E, Annatto, Gamma, Tocotrienols Only, Tocopherol-Free, Hypoallergenic, Softgels - 90 Count</t>
        </is>
      </c>
      <c r="G112">
        <v>1</v>
      </c>
      <c r="H112" s="2" t="str">
        <f>HYPERLINK("https://www.amazon.com/dp/B00BDMP9TQ", "https://www.amazon.com/dp/B00BDMP9TQ")</f>
      </c>
      <c r="I112" s="16">
        <v>33</v>
      </c>
      <c r="J112" s="4">
        <v>30.16</v>
      </c>
      <c r="K112" s="15">
        <v>0.3724</v>
      </c>
      <c r="L112" s="15">
        <v>0.8617</v>
      </c>
      <c r="M112" t="inlineStr">
        <is>
          <t>True</t>
        </is>
      </c>
      <c r="N112" t="inlineStr">
        <is>
          <t>Health &amp; Household</t>
        </is>
      </c>
      <c r="O112" s="6">
        <v>181275</v>
      </c>
      <c r="P112" s="6">
        <v>202066</v>
      </c>
      <c r="Q112" s="6">
        <v>107766</v>
      </c>
      <c r="R112" s="6">
        <v>55</v>
      </c>
      <c r="S112" s="7">
        <v>35</v>
      </c>
      <c r="T112" s="7">
        <v>80.99</v>
      </c>
      <c r="U112">
        <v>77.46</v>
      </c>
      <c r="V112" s="8">
        <v>0</v>
      </c>
      <c r="W112" s="7">
        <v>0</v>
      </c>
      <c r="X112" s="7">
        <v>0</v>
      </c>
      <c r="Y112">
        <v>0.04</v>
      </c>
      <c r="Z112" s="8">
        <v>0</v>
      </c>
      <c r="AB112">
        <v>0</v>
      </c>
      <c r="AC112">
        <v>0</v>
      </c>
      <c r="AD112">
        <v>2</v>
      </c>
      <c r="AE112">
        <v>2</v>
      </c>
      <c r="AF112">
        <v>0</v>
      </c>
      <c r="AG112">
        <v>2</v>
      </c>
      <c r="AH112">
        <v>0</v>
      </c>
      <c r="AI112" t="inlineStr">
        <is>
          <t>False</t>
        </is>
      </c>
      <c r="AJ112" s="2" t="str">
        <f>HYPERLINK("https://keepa.com/#!product/1-B00BDMP9TQ", "https://keepa.com/#!product/1-B00BDMP9TQ")</f>
      </c>
      <c r="AK112" s="2" t="str">
        <f>HYPERLINK("https://camelcamelcamel.com/search?sq=B00BDMP9TQ", "https://camelcamelcamel.com/search?sq=B00BDMP9TQ")</f>
      </c>
      <c r="AL112" t="inlineStr">
        <is>
          <t/>
        </is>
      </c>
      <c r="AM112" s="10">
        <v>45417.11111111111</v>
      </c>
      <c r="AN112" t="inlineStr">
        <is>
          <t>Allergy Research Group Delta-Fraction Tocotrienols Supplement - 125 mg Vitamin E, Annatto, Gamma, Tocotrienols Only, Tocopherol-Free, Hypoallergenic, Softgels - 90 Count</t>
        </is>
      </c>
      <c r="AO112" t="inlineStr">
        <is>
          <t>150</t>
        </is>
      </c>
      <c r="AP112" t="inlineStr">
        <is>
          <t>50</t>
        </is>
      </c>
    </row>
    <row r="113">
      <c r="A113" t="inlineStr">
        <is>
          <t>B00CP7A1BY</t>
        </is>
      </c>
      <c r="B113" t="inlineStr">
        <is>
          <t>False</t>
        </is>
      </c>
      <c r="C113" t="inlineStr">
        <is>
          <t>B00CP7A1BY</t>
        </is>
      </c>
      <c r="D113" t="inlineStr">
        <is>
          <t>BENTLEY</t>
        </is>
      </c>
      <c r="E113" t="inlineStr">
        <is>
          <t>False</t>
        </is>
      </c>
      <c r="F113" t="inlineStr">
        <is>
          <t>BENTLEY for Men Intense 3.4 oz Eau de Parfum Spray</t>
        </is>
      </c>
      <c r="G113">
        <v>1</v>
      </c>
      <c r="H113" s="2" t="str">
        <f>HYPERLINK("https://www.amazon.com/dp/B00CP7A1BY", "https://www.amazon.com/dp/B00CP7A1BY")</f>
      </c>
      <c r="I113" s="3">
        <v>2013</v>
      </c>
      <c r="J113" s="12">
        <v>-1.14</v>
      </c>
      <c r="K113" s="13">
        <v>-0.042</v>
      </c>
      <c r="L113" s="13">
        <v>-0.0633</v>
      </c>
      <c r="M113" t="inlineStr">
        <is>
          <t>True</t>
        </is>
      </c>
      <c r="N113" t="inlineStr">
        <is>
          <t>Beauty &amp; Personal Care</t>
        </is>
      </c>
      <c r="O113" s="6">
        <v>9334</v>
      </c>
      <c r="P113" s="6">
        <v>13293</v>
      </c>
      <c r="Q113" s="6">
        <v>4697</v>
      </c>
      <c r="R113" s="6">
        <v>208</v>
      </c>
      <c r="S113" s="7">
        <v>18</v>
      </c>
      <c r="T113" s="7">
        <v>27.16</v>
      </c>
      <c r="U113">
        <v>29.99</v>
      </c>
      <c r="V113" s="8">
        <v>0</v>
      </c>
      <c r="W113" s="7">
        <v>0</v>
      </c>
      <c r="X113" s="7">
        <v>0</v>
      </c>
      <c r="Y113">
        <v>1.06</v>
      </c>
      <c r="Z113" s="9">
        <v>1</v>
      </c>
      <c r="AB113">
        <v>0</v>
      </c>
      <c r="AC113">
        <v>0</v>
      </c>
      <c r="AD113">
        <v>59</v>
      </c>
      <c r="AE113">
        <v>5</v>
      </c>
      <c r="AF113">
        <v>54</v>
      </c>
      <c r="AG113">
        <v>1</v>
      </c>
      <c r="AH113">
        <v>2</v>
      </c>
      <c r="AI113" t="inlineStr">
        <is>
          <t>True</t>
        </is>
      </c>
      <c r="AJ113" s="2" t="str">
        <f>HYPERLINK("https://keepa.com/#!product/1-B00CP7A1BY", "https://keepa.com/#!product/1-B00CP7A1BY")</f>
      </c>
      <c r="AK113" s="2" t="str">
        <f>HYPERLINK("https://camelcamelcamel.com/search?sq=B00CP7A1BY", "https://camelcamelcamel.com/search?sq=B00CP7A1BY")</f>
      </c>
      <c r="AL113" t="inlineStr">
        <is>
          <t/>
        </is>
      </c>
      <c r="AM113" s="10">
        <v>45417.11111111111</v>
      </c>
      <c r="AN113" t="inlineStr">
        <is>
          <t>BENTLEY for Men Intense 3.4 oz Eau de Parfum Spray</t>
        </is>
      </c>
      <c r="AO113" t="inlineStr">
        <is>
          <t>500</t>
        </is>
      </c>
      <c r="AP113" t="inlineStr">
        <is>
          <t>TAKE ALL</t>
        </is>
      </c>
    </row>
    <row r="114">
      <c r="A114" t="inlineStr">
        <is>
          <t>B00CXMNZTQ</t>
        </is>
      </c>
      <c r="B114" t="inlineStr">
        <is>
          <t>False</t>
        </is>
      </c>
      <c r="C114" t="inlineStr">
        <is>
          <t>B00CXMNZTQ</t>
        </is>
      </c>
      <c r="D114" t="inlineStr">
        <is>
          <t>Hamilton Beach</t>
        </is>
      </c>
      <c r="E114" t="inlineStr">
        <is>
          <t>True</t>
        </is>
      </c>
      <c r="F114" t="inlineStr">
        <is>
          <t>Hamilton Beach Professional Grade Electric Deep Fryer, Frying Basket with Hooks, 1500 Watts, 3 Ltrs with Viewing Window, Stainless Steel</t>
        </is>
      </c>
      <c r="G114">
        <v>1</v>
      </c>
      <c r="H114" s="2" t="str">
        <f>HYPERLINK("https://www.amazon.com/dp/B00CXMNZTQ", "https://www.amazon.com/dp/B00CXMNZTQ")</f>
      </c>
      <c r="I114" s="3">
        <v>510</v>
      </c>
      <c r="J114" s="4">
        <v>24.97</v>
      </c>
      <c r="K114" s="5">
        <v>0.20809999999999998</v>
      </c>
      <c r="L114" s="15">
        <v>0.4093</v>
      </c>
      <c r="M114" t="inlineStr">
        <is>
          <t>True</t>
        </is>
      </c>
      <c r="N114" t="inlineStr">
        <is>
          <t>Kitchen &amp; Dining</t>
        </is>
      </c>
      <c r="O114" s="6">
        <v>14735</v>
      </c>
      <c r="P114" s="6">
        <v>18362</v>
      </c>
      <c r="Q114" s="6">
        <v>8680</v>
      </c>
      <c r="R114" s="6">
        <v>125</v>
      </c>
      <c r="S114" s="7">
        <v>61</v>
      </c>
      <c r="T114" s="7">
        <v>119.99</v>
      </c>
      <c r="U114">
        <v>117.07</v>
      </c>
      <c r="V114" s="8">
        <v>0</v>
      </c>
      <c r="W114" s="7">
        <v>0</v>
      </c>
      <c r="X114" s="7">
        <v>0</v>
      </c>
      <c r="Y114">
        <v>9.15</v>
      </c>
      <c r="Z114" s="8">
        <v>0</v>
      </c>
      <c r="AB114">
        <v>0</v>
      </c>
      <c r="AC114">
        <v>0</v>
      </c>
      <c r="AD114">
        <v>3</v>
      </c>
      <c r="AE114">
        <v>2</v>
      </c>
      <c r="AF114">
        <v>1</v>
      </c>
      <c r="AG114">
        <v>0</v>
      </c>
      <c r="AH114">
        <v>2</v>
      </c>
      <c r="AI114" t="inlineStr">
        <is>
          <t>False</t>
        </is>
      </c>
      <c r="AJ114" s="2" t="str">
        <f>HYPERLINK("https://keepa.com/#!product/1-B00CXMNZTQ", "https://keepa.com/#!product/1-B00CXMNZTQ")</f>
      </c>
      <c r="AK114" s="2" t="str">
        <f>HYPERLINK("https://camelcamelcamel.com/search?sq=B00CXMNZTQ", "https://camelcamelcamel.com/search?sq=B00CXMNZTQ")</f>
      </c>
      <c r="AL114" t="inlineStr">
        <is>
          <t/>
        </is>
      </c>
      <c r="AM114" s="10">
        <v>45417.11111111111</v>
      </c>
      <c r="AN114" t="inlineStr">
        <is>
          <t>Hamilton Beach Professional Grade Electric Deep Fryer, Frying Basket with Hooks, 1500 Watts, 3 Ltrs with Viewing Window, Stainless Steel</t>
        </is>
      </c>
      <c r="AO114" t="inlineStr">
        <is>
          <t>3400</t>
        </is>
      </c>
      <c r="AP114" t="inlineStr">
        <is>
          <t>1500</t>
        </is>
      </c>
    </row>
    <row r="115">
      <c r="A115" t="inlineStr">
        <is>
          <t>B00D8W53O0</t>
        </is>
      </c>
      <c r="B115" t="inlineStr">
        <is>
          <t>False</t>
        </is>
      </c>
      <c r="C115" t="inlineStr">
        <is>
          <t>B00D8W53O0</t>
        </is>
      </c>
      <c r="D115" t="inlineStr">
        <is>
          <t>JACK N' JILL ................. SINCE 1949</t>
        </is>
      </c>
      <c r="E115" t="inlineStr">
        <is>
          <t>False</t>
        </is>
      </c>
      <c r="F115" t="inlineStr">
        <is>
          <t>JACK N' JILL ... SINCE 1949 Natural Toothpaste for Babies &amp; Toddlers- Safe if Swallowed, Xylitol, Fluoride Free, Organic Flavor, Makes Tooth Brushing Fun- Strawberry, 1.76 oz (Pack of 3)</t>
        </is>
      </c>
      <c r="G115">
        <v>3</v>
      </c>
      <c r="H115" s="2" t="str">
        <f>HYPERLINK("https://www.amazon.com/dp/B00D8W53O0", "https://www.amazon.com/dp/B00D8W53O0")</f>
      </c>
      <c r="I115" s="3">
        <v>11118</v>
      </c>
      <c r="J115" s="12">
        <v>-16.65</v>
      </c>
      <c r="K115" s="13">
        <v>-0.8569</v>
      </c>
      <c r="L115" s="13">
        <v>-0.5692</v>
      </c>
      <c r="M115" t="inlineStr">
        <is>
          <t>True</t>
        </is>
      </c>
      <c r="N115" t="inlineStr">
        <is>
          <t>Health &amp; Household</t>
        </is>
      </c>
      <c r="O115" s="6">
        <v>2093</v>
      </c>
      <c r="P115" s="6">
        <v>1893</v>
      </c>
      <c r="Q115" s="6">
        <v>1519</v>
      </c>
      <c r="R115" s="6">
        <v>161</v>
      </c>
      <c r="S115" s="7">
        <v>9.75</v>
      </c>
      <c r="T115" s="7">
        <v>19.43</v>
      </c>
      <c r="U115">
        <v>19.6</v>
      </c>
      <c r="V115" s="8">
        <v>0</v>
      </c>
      <c r="W115" s="7">
        <v>0</v>
      </c>
      <c r="X115" s="7">
        <v>0</v>
      </c>
      <c r="Y115">
        <v>0.37</v>
      </c>
      <c r="Z115" s="8">
        <v>0</v>
      </c>
      <c r="AB115">
        <v>0</v>
      </c>
      <c r="AC115">
        <v>0</v>
      </c>
      <c r="AD115">
        <v>6</v>
      </c>
      <c r="AE115">
        <v>4</v>
      </c>
      <c r="AF115">
        <v>2</v>
      </c>
      <c r="AG115">
        <v>4</v>
      </c>
      <c r="AH115">
        <v>49</v>
      </c>
      <c r="AI115" t="inlineStr">
        <is>
          <t>False</t>
        </is>
      </c>
      <c r="AJ115" s="2" t="str">
        <f>HYPERLINK("https://keepa.com/#!product/1-B00D8W53O0", "https://keepa.com/#!product/1-B00D8W53O0")</f>
      </c>
      <c r="AK115" s="2" t="str">
        <f>HYPERLINK("https://camelcamelcamel.com/search?sq=B00D8W53O0", "https://camelcamelcamel.com/search?sq=B00D8W53O0")</f>
      </c>
      <c r="AL115" t="inlineStr">
        <is>
          <t/>
        </is>
      </c>
      <c r="AM115" s="10">
        <v>45417.11111111111</v>
      </c>
      <c r="AN115" t="inlineStr">
        <is>
          <t>Jack N' Jill Natural Toothpaste for Babies &amp; Toddlers - Safe if Swallowed, Xylitol, Fluoride Free, Organic Fruit Flavor, Makes Tooth Brushing Fun for Kids - Strawberry, 1.76 oz (Pack of 3)</t>
        </is>
      </c>
      <c r="AO115" t="inlineStr">
        <is>
          <t>350</t>
        </is>
      </c>
      <c r="AP115" t="inlineStr">
        <is>
          <t>TAKE ALL</t>
        </is>
      </c>
    </row>
    <row r="116">
      <c r="A116" t="inlineStr">
        <is>
          <t>B00DU8TUBE</t>
        </is>
      </c>
      <c r="B116" t="inlineStr">
        <is>
          <t>False</t>
        </is>
      </c>
      <c r="C116" t="inlineStr">
        <is>
          <t>B00DU8TUBE</t>
        </is>
      </c>
      <c r="D116" t="inlineStr">
        <is>
          <t>Amerock</t>
        </is>
      </c>
      <c r="E116" t="inlineStr">
        <is>
          <t>False</t>
        </is>
      </c>
      <c r="F116" t="inlineStr">
        <is>
          <t>Amerock | Cabinet Pull | Caramel Bronze | 3 inch (76 mm) Center to Center | Bar Pulls | 1 Pack | Drawer Pull | Drawer Handle | Cabinet Hardware</t>
        </is>
      </c>
      <c r="G116">
        <v>1</v>
      </c>
      <c r="H116" s="2" t="str">
        <f>HYPERLINK("https://www.amazon.com/dp/B00DU8TUBE", "https://www.amazon.com/dp/B00DU8TUBE")</f>
      </c>
      <c r="I116" s="3">
        <v>1417</v>
      </c>
      <c r="J116" s="11">
        <v>0.76</v>
      </c>
      <c r="K116" s="5">
        <v>0.0761</v>
      </c>
      <c r="L116" s="5">
        <v>0.1448</v>
      </c>
      <c r="M116" t="inlineStr">
        <is>
          <t>True</t>
        </is>
      </c>
      <c r="N116" t="inlineStr">
        <is>
          <t>Tools &amp; Home Improvement</t>
        </is>
      </c>
      <c r="O116" s="6">
        <v>6051</v>
      </c>
      <c r="P116" s="6">
        <v>3270</v>
      </c>
      <c r="Q116" s="6">
        <v>1890</v>
      </c>
      <c r="R116" s="6">
        <v>182</v>
      </c>
      <c r="S116" s="7">
        <v>5.25</v>
      </c>
      <c r="T116" s="7">
        <v>9.99</v>
      </c>
      <c r="U116">
        <v>10</v>
      </c>
      <c r="V116" s="8">
        <v>0</v>
      </c>
      <c r="W116" s="7">
        <v>0</v>
      </c>
      <c r="X116" s="7">
        <v>0</v>
      </c>
      <c r="Y116">
        <v>0.31</v>
      </c>
      <c r="Z116" s="8">
        <v>0</v>
      </c>
      <c r="AB116">
        <v>0</v>
      </c>
      <c r="AC116">
        <v>0</v>
      </c>
      <c r="AD116">
        <v>1</v>
      </c>
      <c r="AE116">
        <v>1</v>
      </c>
      <c r="AF116">
        <v>0</v>
      </c>
      <c r="AG116">
        <v>1</v>
      </c>
      <c r="AH116">
        <v>120</v>
      </c>
      <c r="AI116" t="inlineStr">
        <is>
          <t>False</t>
        </is>
      </c>
      <c r="AJ116" s="2" t="str">
        <f>HYPERLINK("https://keepa.com/#!product/1-B00DU8TUBE", "https://keepa.com/#!product/1-B00DU8TUBE")</f>
      </c>
      <c r="AK116" s="2" t="str">
        <f>HYPERLINK("https://camelcamelcamel.com/search?sq=B00DU8TUBE", "https://camelcamelcamel.com/search?sq=B00DU8TUBE")</f>
      </c>
      <c r="AL116" t="inlineStr">
        <is>
          <t/>
        </is>
      </c>
      <c r="AM116" s="10">
        <v>45417.11111111111</v>
      </c>
      <c r="AN116" t="inlineStr">
        <is>
          <t>Amerock | Cabinet Pull | Caramel Bronze | 3 inch (76 mm) Center to Center | Bar Pulls | 1 Pack | Drawer Pull | Drawer Handle | Cabinet Hardware</t>
        </is>
      </c>
      <c r="AO116" t="inlineStr">
        <is>
          <t>250</t>
        </is>
      </c>
      <c r="AP116" t="inlineStr">
        <is>
          <t>TAKE ALL</t>
        </is>
      </c>
    </row>
    <row r="117">
      <c r="A117" t="inlineStr">
        <is>
          <t>B00E68O4JU</t>
        </is>
      </c>
      <c r="B117" t="inlineStr">
        <is>
          <t>False</t>
        </is>
      </c>
      <c r="C117" t="inlineStr">
        <is>
          <t>B00E68O4JU</t>
        </is>
      </c>
      <c r="D117" t="inlineStr">
        <is>
          <t>Conair</t>
        </is>
      </c>
      <c r="E117" t="inlineStr">
        <is>
          <t>False</t>
        </is>
      </c>
      <c r="F117" t="inlineStr">
        <is>
          <t>Conair Curl Secret</t>
        </is>
      </c>
      <c r="G117">
        <v>1</v>
      </c>
      <c r="H117" s="2" t="str">
        <f>HYPERLINK("https://www.amazon.com/dp/B00E68O4JU", "https://www.amazon.com/dp/B00E68O4JU")</f>
      </c>
      <c r="I117" s="3">
        <v>477</v>
      </c>
      <c r="J117" s="4">
        <v>11.56</v>
      </c>
      <c r="K117" s="5">
        <v>0.2065</v>
      </c>
      <c r="L117" s="15">
        <v>0.38530000000000003</v>
      </c>
      <c r="M117" t="inlineStr">
        <is>
          <t>True</t>
        </is>
      </c>
      <c r="N117" t="inlineStr">
        <is>
          <t>Beauty &amp; Personal Care</t>
        </is>
      </c>
      <c r="O117" s="6">
        <v>32143</v>
      </c>
      <c r="P117" s="6">
        <v>43196</v>
      </c>
      <c r="Q117" s="6">
        <v>25923</v>
      </c>
      <c r="R117" s="6">
        <v>167</v>
      </c>
      <c r="S117" s="7">
        <v>30</v>
      </c>
      <c r="T117" s="7">
        <v>55.99</v>
      </c>
      <c r="U117">
        <v>57.31</v>
      </c>
      <c r="V117" s="8">
        <v>0</v>
      </c>
      <c r="W117" s="7">
        <v>0</v>
      </c>
      <c r="X117" s="7">
        <v>0</v>
      </c>
      <c r="Y117">
        <v>1.87</v>
      </c>
      <c r="Z117" s="9">
        <v>0.77</v>
      </c>
      <c r="AB117">
        <v>0</v>
      </c>
      <c r="AC117">
        <v>0</v>
      </c>
      <c r="AD117">
        <v>7</v>
      </c>
      <c r="AE117">
        <v>5</v>
      </c>
      <c r="AF117">
        <v>2</v>
      </c>
      <c r="AG117">
        <v>3</v>
      </c>
      <c r="AH117">
        <v>2</v>
      </c>
      <c r="AI117" t="inlineStr">
        <is>
          <t>False</t>
        </is>
      </c>
      <c r="AJ117" s="2" t="str">
        <f>HYPERLINK("https://keepa.com/#!product/1-B00E68O4JU", "https://keepa.com/#!product/1-B00E68O4JU")</f>
      </c>
      <c r="AK117" s="2" t="str">
        <f>HYPERLINK("https://camelcamelcamel.com/search?sq=B00E68O4JU", "https://camelcamelcamel.com/search?sq=B00E68O4JU")</f>
      </c>
      <c r="AL117" t="inlineStr">
        <is>
          <t/>
        </is>
      </c>
      <c r="AM117" s="10">
        <v>45417.11111111111</v>
      </c>
      <c r="AN117" t="inlineStr">
        <is>
          <t>Conair Curl Secret</t>
        </is>
      </c>
      <c r="AO117" t="inlineStr">
        <is>
          <t>500</t>
        </is>
      </c>
      <c r="AP117" t="inlineStr">
        <is>
          <t>TAKE ALL</t>
        </is>
      </c>
    </row>
    <row r="118">
      <c r="A118" t="inlineStr">
        <is>
          <t>B00EACTFFK</t>
        </is>
      </c>
      <c r="B118" t="inlineStr">
        <is>
          <t>False</t>
        </is>
      </c>
      <c r="C118" t="inlineStr">
        <is>
          <t>B00EACTFFK</t>
        </is>
      </c>
      <c r="D118" t="inlineStr">
        <is>
          <t>Alacer</t>
        </is>
      </c>
      <c r="E118" t="inlineStr">
        <is>
          <t>False</t>
        </is>
      </c>
      <c r="F118" t="inlineStr">
        <is>
          <t>Emergen C Pink Lemonade 30 PKT</t>
        </is>
      </c>
      <c r="G118">
        <v>1</v>
      </c>
      <c r="H118" s="2" t="str">
        <f>HYPERLINK("https://www.amazon.com/dp/B00EACTFFK", "https://www.amazon.com/dp/B00EACTFFK")</f>
      </c>
      <c r="I118" s="3">
        <v>103</v>
      </c>
      <c r="J118" s="12">
        <v>-1.55</v>
      </c>
      <c r="K118" s="13">
        <v>-0.11939999999999999</v>
      </c>
      <c r="L118" s="13">
        <v>-0.1938</v>
      </c>
      <c r="M118" t="inlineStr">
        <is>
          <t>True</t>
        </is>
      </c>
      <c r="N118" t="inlineStr">
        <is>
          <t>Health &amp; Household</t>
        </is>
      </c>
      <c r="O118" s="6">
        <v>99172</v>
      </c>
      <c r="P118" s="6">
        <v>139813</v>
      </c>
      <c r="Q118" s="6">
        <v>64735</v>
      </c>
      <c r="R118" s="6">
        <v>114</v>
      </c>
      <c r="S118" s="7">
        <v>8</v>
      </c>
      <c r="T118" s="7">
        <v>12.98</v>
      </c>
      <c r="U118">
        <v>18.79</v>
      </c>
      <c r="V118" s="8">
        <v>0</v>
      </c>
      <c r="W118" s="7">
        <v>0</v>
      </c>
      <c r="X118" s="7">
        <v>0</v>
      </c>
      <c r="Y118">
        <v>0.77</v>
      </c>
      <c r="Z118" s="8">
        <v>0</v>
      </c>
      <c r="AB118">
        <v>0</v>
      </c>
      <c r="AC118">
        <v>0</v>
      </c>
      <c r="AD118">
        <v>11</v>
      </c>
      <c r="AE118">
        <v>5</v>
      </c>
      <c r="AF118">
        <v>6</v>
      </c>
      <c r="AG118">
        <v>1</v>
      </c>
      <c r="AH118">
        <v>2</v>
      </c>
      <c r="AI118" t="inlineStr">
        <is>
          <t>False</t>
        </is>
      </c>
      <c r="AJ118" s="2" t="str">
        <f>HYPERLINK("https://keepa.com/#!product/1-B00EACTFFK", "https://keepa.com/#!product/1-B00EACTFFK")</f>
      </c>
      <c r="AK118" s="2" t="str">
        <f>HYPERLINK("https://camelcamelcamel.com/search?sq=B00EACTFFK", "https://camelcamelcamel.com/search?sq=B00EACTFFK")</f>
      </c>
      <c r="AL118" t="inlineStr">
        <is>
          <t/>
        </is>
      </c>
      <c r="AM118" s="10">
        <v>45417.11111111111</v>
      </c>
      <c r="AN118" t="inlineStr">
        <is>
          <t>Emergen C Pink Lemonade 30 PKT</t>
        </is>
      </c>
      <c r="AO118" t="inlineStr">
        <is>
          <t>3000</t>
        </is>
      </c>
      <c r="AP118" t="inlineStr">
        <is>
          <t>TAKE ALL</t>
        </is>
      </c>
    </row>
    <row r="119">
      <c r="A119" t="inlineStr">
        <is>
          <t>B00ECEIG0Q</t>
        </is>
      </c>
      <c r="B119" t="inlineStr">
        <is>
          <t>False</t>
        </is>
      </c>
      <c r="C119" t="inlineStr">
        <is>
          <t>B00ECEIG0Q</t>
        </is>
      </c>
      <c r="D119" t="inlineStr">
        <is>
          <t>Marmite</t>
        </is>
      </c>
      <c r="E119" t="inlineStr">
        <is>
          <t>False</t>
        </is>
      </c>
      <c r="F119" t="inlineStr">
        <is>
          <t>Marmite 250g Single Pack</t>
        </is>
      </c>
      <c r="G119">
        <v>1</v>
      </c>
      <c r="H119" s="2" t="str">
        <f>HYPERLINK("https://www.amazon.com/dp/B00ECEIG0Q", "https://www.amazon.com/dp/B00ECEIG0Q")</f>
      </c>
      <c r="I119" s="3">
        <v>429</v>
      </c>
      <c r="J119" s="12">
        <v>-1.26</v>
      </c>
      <c r="K119" s="13">
        <v>-0.10039999999999999</v>
      </c>
      <c r="L119" s="13">
        <v>-0.1527</v>
      </c>
      <c r="M119" t="inlineStr">
        <is>
          <t>True</t>
        </is>
      </c>
      <c r="N119" t="inlineStr">
        <is>
          <t>Grocery &amp; Gourmet Food</t>
        </is>
      </c>
      <c r="O119" s="6">
        <v>18790</v>
      </c>
      <c r="P119" s="6">
        <v>16212</v>
      </c>
      <c r="Q119" s="6">
        <v>5033</v>
      </c>
      <c r="R119" s="6">
        <v>159</v>
      </c>
      <c r="S119" s="7">
        <v>8.25</v>
      </c>
      <c r="T119" s="7">
        <v>12.55</v>
      </c>
      <c r="U119">
        <v>13.03</v>
      </c>
      <c r="V119" s="8">
        <v>0</v>
      </c>
      <c r="W119" s="7">
        <v>0</v>
      </c>
      <c r="X119" s="7">
        <v>0</v>
      </c>
      <c r="Y119">
        <v>0.93</v>
      </c>
      <c r="Z119" s="9">
        <v>1</v>
      </c>
      <c r="AB119">
        <v>0</v>
      </c>
      <c r="AC119">
        <v>0</v>
      </c>
      <c r="AD119">
        <v>16</v>
      </c>
      <c r="AE119">
        <v>6</v>
      </c>
      <c r="AF119">
        <v>10</v>
      </c>
      <c r="AG119">
        <v>3</v>
      </c>
      <c r="AH119">
        <v>0</v>
      </c>
      <c r="AI119" t="inlineStr">
        <is>
          <t>False</t>
        </is>
      </c>
      <c r="AJ119" s="2" t="str">
        <f>HYPERLINK("https://keepa.com/#!product/1-B00ECEIG0Q", "https://keepa.com/#!product/1-B00ECEIG0Q")</f>
      </c>
      <c r="AK119" s="2" t="str">
        <f>HYPERLINK("https://camelcamelcamel.com/search?sq=B00ECEIG0Q", "https://camelcamelcamel.com/search?sq=B00ECEIG0Q")</f>
      </c>
      <c r="AL119" t="inlineStr">
        <is>
          <t/>
        </is>
      </c>
      <c r="AM119" s="10">
        <v>45417.11111111111</v>
      </c>
      <c r="AN119" t="inlineStr">
        <is>
          <t>Marmite 250g Single Pack</t>
        </is>
      </c>
      <c r="AO119" t="inlineStr">
        <is>
          <t>396</t>
        </is>
      </c>
      <c r="AP119" t="inlineStr">
        <is>
          <t>396</t>
        </is>
      </c>
    </row>
    <row r="120">
      <c r="A120" t="inlineStr">
        <is>
          <t>B00EMKM12Y</t>
        </is>
      </c>
      <c r="B120" t="inlineStr">
        <is>
          <t>False</t>
        </is>
      </c>
      <c r="C120" t="inlineStr">
        <is>
          <t>B00EMKM12Y</t>
        </is>
      </c>
      <c r="D120" t="inlineStr">
        <is>
          <t>Optimum Nutrition</t>
        </is>
      </c>
      <c r="E120" t="inlineStr">
        <is>
          <t>False</t>
        </is>
      </c>
      <c r="F120" t="inlineStr">
        <is>
          <t>Optimum Nutrition Gold Standard Whey Delicious Strawberry - 2.07 lbs</t>
        </is>
      </c>
      <c r="G120">
        <v>1</v>
      </c>
      <c r="H120" s="2" t="str">
        <f>HYPERLINK("https://www.amazon.com/dp/B00EMKM12Y", "https://www.amazon.com/dp/B00EMKM12Y")</f>
      </c>
      <c r="I120" s="16">
        <v>38</v>
      </c>
      <c r="J120" s="11">
        <v>0.48</v>
      </c>
      <c r="K120" s="5">
        <v>0.011399999999999999</v>
      </c>
      <c r="L120" s="5">
        <v>0.0166</v>
      </c>
      <c r="M120" t="inlineStr">
        <is>
          <t>True</t>
        </is>
      </c>
      <c r="N120" t="inlineStr">
        <is>
          <t>Health &amp; Household</t>
        </is>
      </c>
      <c r="O120" s="6">
        <v>170531</v>
      </c>
      <c r="P120" s="6">
        <v>149056</v>
      </c>
      <c r="Q120" s="6">
        <v>385</v>
      </c>
      <c r="R120" s="6">
        <v>119</v>
      </c>
      <c r="S120" s="7">
        <v>28.95</v>
      </c>
      <c r="T120" s="7">
        <v>41.93</v>
      </c>
      <c r="U120">
        <v>42.85</v>
      </c>
      <c r="V120" s="8">
        <v>0</v>
      </c>
      <c r="W120" s="7">
        <v>0</v>
      </c>
      <c r="X120" s="7">
        <v>0</v>
      </c>
      <c r="Y120">
        <v>2.38</v>
      </c>
      <c r="Z120" s="8">
        <v>0</v>
      </c>
      <c r="AB120">
        <v>0</v>
      </c>
      <c r="AC120">
        <v>0</v>
      </c>
      <c r="AD120">
        <v>3</v>
      </c>
      <c r="AE120">
        <v>1</v>
      </c>
      <c r="AF120">
        <v>2</v>
      </c>
      <c r="AG120">
        <v>1</v>
      </c>
      <c r="AH120">
        <v>0</v>
      </c>
      <c r="AI120" t="inlineStr">
        <is>
          <t>False</t>
        </is>
      </c>
      <c r="AJ120" s="2" t="str">
        <f>HYPERLINK("https://keepa.com/#!product/1-B00EMKM12Y", "https://keepa.com/#!product/1-B00EMKM12Y")</f>
      </c>
      <c r="AK120" s="2" t="str">
        <f>HYPERLINK("https://camelcamelcamel.com/search?sq=B00EMKM12Y", "https://camelcamelcamel.com/search?sq=B00EMKM12Y")</f>
      </c>
      <c r="AL120" t="inlineStr">
        <is>
          <t/>
        </is>
      </c>
      <c r="AM120" s="10">
        <v>45417.11111111111</v>
      </c>
      <c r="AN120" t="inlineStr">
        <is>
          <t>Optimum Nutrition Gold Standard Whey Delicious Strawberry - 2.07 lbs</t>
        </is>
      </c>
      <c r="AO120" t="inlineStr">
        <is>
          <t>1568</t>
        </is>
      </c>
      <c r="AP120" t="inlineStr">
        <is>
          <t>700</t>
        </is>
      </c>
    </row>
    <row r="121">
      <c r="A121" t="inlineStr">
        <is>
          <t>B00F31IYDQ</t>
        </is>
      </c>
      <c r="B121" t="inlineStr">
        <is>
          <t>False</t>
        </is>
      </c>
      <c r="C121" t="inlineStr">
        <is>
          <t>B00F31IYDQ</t>
        </is>
      </c>
      <c r="D121" t="inlineStr">
        <is>
          <t>Alliance</t>
        </is>
      </c>
      <c r="E121" t="inlineStr">
        <is>
          <t>False</t>
        </is>
      </c>
      <c r="F121" t="inlineStr">
        <is>
          <t>Alliance Wide Format Paper 24" x 150' CAD Bond Rolls (20lb | 4 Rolls, 24 In x 150 Ft | 2" Core)</t>
        </is>
      </c>
      <c r="G121">
        <v>4</v>
      </c>
      <c r="H121" s="2" t="str">
        <f>HYPERLINK("https://www.amazon.com/dp/B00F31IYDQ", "https://www.amazon.com/dp/B00F31IYDQ")</f>
      </c>
      <c r="I121" s="3">
        <v>1481</v>
      </c>
      <c r="J121" s="12">
        <v>-90.08</v>
      </c>
      <c r="K121" s="13">
        <v>-1.287</v>
      </c>
      <c r="L121" s="13">
        <v>-0.6823999999999999</v>
      </c>
      <c r="M121" t="inlineStr">
        <is>
          <t>True</t>
        </is>
      </c>
      <c r="N121" t="inlineStr">
        <is>
          <t>Office Products</t>
        </is>
      </c>
      <c r="O121" s="6">
        <v>3839</v>
      </c>
      <c r="P121" s="6">
        <v>3156</v>
      </c>
      <c r="Q121" s="6">
        <v>1583</v>
      </c>
      <c r="R121" s="6">
        <v>212</v>
      </c>
      <c r="S121" s="7">
        <v>33</v>
      </c>
      <c r="T121" s="7">
        <v>69.99</v>
      </c>
      <c r="U121">
        <v>69.33</v>
      </c>
      <c r="V121" s="8">
        <v>0</v>
      </c>
      <c r="W121" s="7">
        <v>0</v>
      </c>
      <c r="X121" s="7">
        <v>0</v>
      </c>
      <c r="Y121">
        <v>23.1</v>
      </c>
      <c r="Z121" s="8">
        <v>0</v>
      </c>
      <c r="AB121">
        <v>0</v>
      </c>
      <c r="AC121">
        <v>0</v>
      </c>
      <c r="AD121">
        <v>4</v>
      </c>
      <c r="AE121">
        <v>1</v>
      </c>
      <c r="AF121">
        <v>2</v>
      </c>
      <c r="AG121">
        <v>1</v>
      </c>
      <c r="AH121">
        <v>9</v>
      </c>
      <c r="AI121" t="inlineStr">
        <is>
          <t>False</t>
        </is>
      </c>
      <c r="AJ121" s="2" t="str">
        <f>HYPERLINK("https://keepa.com/#!product/1-B00F31IYDQ", "https://keepa.com/#!product/1-B00F31IYDQ")</f>
      </c>
      <c r="AK121" s="2" t="str">
        <f>HYPERLINK("https://camelcamelcamel.com/search?sq=B00F31IYDQ", "https://camelcamelcamel.com/search?sq=B00F31IYDQ")</f>
      </c>
      <c r="AL121" t="inlineStr">
        <is>
          <t/>
        </is>
      </c>
      <c r="AM121" s="10">
        <v>45417.11111111111</v>
      </c>
      <c r="AN121" t="inlineStr">
        <is>
          <t>Alliance Wide Format Paper 24" x 150' CAD Bond Rolls (20lb | 4 Rolls, 24 In x 150 Ft | 2" Core)</t>
        </is>
      </c>
      <c r="AO121" t="inlineStr">
        <is>
          <t>288</t>
        </is>
      </c>
      <c r="AP121" t="inlineStr">
        <is>
          <t>TAKE ALL</t>
        </is>
      </c>
    </row>
    <row r="122">
      <c r="A122" t="inlineStr">
        <is>
          <t>B00F644LTQ</t>
        </is>
      </c>
      <c r="B122" t="inlineStr">
        <is>
          <t>False</t>
        </is>
      </c>
      <c r="C122" t="inlineStr">
        <is>
          <t>B00F644LTQ</t>
        </is>
      </c>
      <c r="D122" t="inlineStr">
        <is>
          <t>Cuccio</t>
        </is>
      </c>
      <c r="E122" t="inlineStr">
        <is>
          <t>False</t>
        </is>
      </c>
      <c r="F122" t="inlineStr">
        <is>
          <t>Cuccio Naturale Revitalizing- Hydrating Oil For Repaired Cuticles Overnight - Remedy For Damaged Skin And Thin Nails - Paraben /Cruelty-Free Formula - Milk And Honey - 2.5 Oz</t>
        </is>
      </c>
      <c r="G122">
        <v>1</v>
      </c>
      <c r="H122" s="2" t="str">
        <f>HYPERLINK("https://www.amazon.com/dp/B00F644LTQ", "https://www.amazon.com/dp/B00F644LTQ")</f>
      </c>
      <c r="I122" s="3">
        <v>24525</v>
      </c>
      <c r="J122" s="11">
        <v>1.13</v>
      </c>
      <c r="K122" s="5">
        <v>0.1257</v>
      </c>
      <c r="L122" s="5">
        <v>0.2825</v>
      </c>
      <c r="M122" t="inlineStr">
        <is>
          <t>True</t>
        </is>
      </c>
      <c r="N122" t="inlineStr">
        <is>
          <t>Beauty &amp; Personal Care</t>
        </is>
      </c>
      <c r="O122" s="6">
        <v>348</v>
      </c>
      <c r="P122" s="6">
        <v>270</v>
      </c>
      <c r="Q122" s="6">
        <v>164</v>
      </c>
      <c r="R122" s="6">
        <v>247</v>
      </c>
      <c r="S122" s="7">
        <v>4</v>
      </c>
      <c r="T122" s="7">
        <v>8.99</v>
      </c>
      <c r="U122">
        <v>9.69</v>
      </c>
      <c r="V122" s="8">
        <v>0</v>
      </c>
      <c r="W122" s="7">
        <v>0</v>
      </c>
      <c r="X122" s="7">
        <v>0</v>
      </c>
      <c r="Y122">
        <v>0.37</v>
      </c>
      <c r="Z122" s="9">
        <v>1</v>
      </c>
      <c r="AB122">
        <v>0</v>
      </c>
      <c r="AC122">
        <v>0</v>
      </c>
      <c r="AD122">
        <v>27</v>
      </c>
      <c r="AE122">
        <v>10</v>
      </c>
      <c r="AF122">
        <v>17</v>
      </c>
      <c r="AG122">
        <v>1</v>
      </c>
      <c r="AH122">
        <v>21</v>
      </c>
      <c r="AI122" t="inlineStr">
        <is>
          <t>False</t>
        </is>
      </c>
      <c r="AJ122" s="2" t="str">
        <f>HYPERLINK("https://keepa.com/#!product/1-B00F644LTQ", "https://keepa.com/#!product/1-B00F644LTQ")</f>
      </c>
      <c r="AK122" s="2" t="str">
        <f>HYPERLINK("https://camelcamelcamel.com/search?sq=B00F644LTQ", "https://camelcamelcamel.com/search?sq=B00F644LTQ")</f>
      </c>
      <c r="AL122" t="inlineStr">
        <is>
          <t/>
        </is>
      </c>
      <c r="AM122" s="10">
        <v>45417.11111111111</v>
      </c>
      <c r="AN122" t="inlineStr">
        <is>
          <t>Cuccio Naturale Revitalizing- Hydrating Oil For Repaired Cuticles Overnight - Remedy For Damaged Skin And Thin Nails - Paraben /Cruelty-Free Formula - Milk And Honey - 2.5 Oz</t>
        </is>
      </c>
      <c r="AO122" t="inlineStr">
        <is>
          <t>15000</t>
        </is>
      </c>
      <c r="AP122" t="inlineStr">
        <is>
          <t>TAKE ALL</t>
        </is>
      </c>
    </row>
    <row r="123">
      <c r="A123" t="inlineStr">
        <is>
          <t>B00FU7VJNA</t>
        </is>
      </c>
      <c r="B123" t="inlineStr">
        <is>
          <t>False</t>
        </is>
      </c>
      <c r="C123" t="inlineStr">
        <is>
          <t>B00FU7VJNA</t>
        </is>
      </c>
      <c r="D123" t="inlineStr">
        <is>
          <t>Blue Buffalo</t>
        </is>
      </c>
      <c r="E123" t="inlineStr">
        <is>
          <t>False</t>
        </is>
      </c>
      <c r="F123" t="inlineStr">
        <is>
          <t>Blue Buffalo Dental Bones Small Natural Dental Chew Dog Treats, (15-25 lbs) 27-oz Bag Value Pack</t>
        </is>
      </c>
      <c r="G123">
        <v>1</v>
      </c>
      <c r="H123" s="2" t="str">
        <f>HYPERLINK("https://www.amazon.com/dp/B00FU7VJNA", "https://www.amazon.com/dp/B00FU7VJNA")</f>
      </c>
      <c r="I123" s="3">
        <v>1502</v>
      </c>
      <c r="J123" s="11">
        <v>2.32</v>
      </c>
      <c r="K123" s="5">
        <v>0.0902</v>
      </c>
      <c r="L123" s="5">
        <v>0.17</v>
      </c>
      <c r="M123" t="inlineStr">
        <is>
          <t>True</t>
        </is>
      </c>
      <c r="N123" t="inlineStr">
        <is>
          <t>Pet Supplies</t>
        </is>
      </c>
      <c r="O123" s="6">
        <v>5523</v>
      </c>
      <c r="P123" s="6">
        <v>747</v>
      </c>
      <c r="Q123" s="6">
        <v>270</v>
      </c>
      <c r="R123" s="6">
        <v>217</v>
      </c>
      <c r="S123" s="7">
        <v>13.65</v>
      </c>
      <c r="T123" s="7">
        <v>25.73</v>
      </c>
      <c r="U123">
        <v>25.9</v>
      </c>
      <c r="V123" s="8">
        <v>0</v>
      </c>
      <c r="W123" s="7">
        <v>0</v>
      </c>
      <c r="X123" s="7">
        <v>0</v>
      </c>
      <c r="Y123">
        <v>1.92</v>
      </c>
      <c r="Z123" s="9">
        <v>0.76</v>
      </c>
      <c r="AB123">
        <v>0</v>
      </c>
      <c r="AC123">
        <v>0</v>
      </c>
      <c r="AD123">
        <v>3</v>
      </c>
      <c r="AE123">
        <v>1</v>
      </c>
      <c r="AF123">
        <v>2</v>
      </c>
      <c r="AG123">
        <v>1</v>
      </c>
      <c r="AH123">
        <v>1</v>
      </c>
      <c r="AI123" t="inlineStr">
        <is>
          <t>False</t>
        </is>
      </c>
      <c r="AJ123" s="2" t="str">
        <f>HYPERLINK("https://keepa.com/#!product/1-B00FU7VJNA", "https://keepa.com/#!product/1-B00FU7VJNA")</f>
      </c>
      <c r="AK123" s="2" t="str">
        <f>HYPERLINK("https://camelcamelcamel.com/search?sq=B00FU7VJNA", "https://camelcamelcamel.com/search?sq=B00FU7VJNA")</f>
      </c>
      <c r="AL123" t="inlineStr">
        <is>
          <t/>
        </is>
      </c>
      <c r="AM123" s="10">
        <v>45417.11111111111</v>
      </c>
      <c r="AN123" t="inlineStr">
        <is>
          <t>Blue Buffalo Dental Bones Small Natural Dental Chew Dog Treats, (15-25 lbs) 27-oz Bag Value Pack</t>
        </is>
      </c>
      <c r="AO123" t="inlineStr">
        <is>
          <t>498</t>
        </is>
      </c>
      <c r="AP123" t="inlineStr">
        <is>
          <t>250</t>
        </is>
      </c>
    </row>
    <row r="124">
      <c r="A124" t="inlineStr">
        <is>
          <t>B00FY4ILN0</t>
        </is>
      </c>
      <c r="B124" t="inlineStr">
        <is>
          <t>False</t>
        </is>
      </c>
      <c r="C124" t="inlineStr">
        <is>
          <t>B00FY4ILN0</t>
        </is>
      </c>
      <c r="D124" t="inlineStr">
        <is>
          <t>Optimum Nutrition</t>
        </is>
      </c>
      <c r="E124" t="inlineStr">
        <is>
          <t>False</t>
        </is>
      </c>
      <c r="F124" t="inlineStr">
        <is>
          <t>Optimum Nutrition Gold Standard 100% Whey Delicious Strawberry -- 2 lbs</t>
        </is>
      </c>
      <c r="G124">
        <v>1</v>
      </c>
      <c r="H124" s="2" t="str">
        <f>HYPERLINK("https://www.amazon.com/dp/B00FY4ILN0", "https://www.amazon.com/dp/B00FY4ILN0")</f>
      </c>
      <c r="I124" s="14">
        <v>5</v>
      </c>
      <c r="J124" s="11">
        <v>0.78</v>
      </c>
      <c r="K124" s="5">
        <v>0.0179</v>
      </c>
      <c r="L124" s="5">
        <v>0.026000000000000002</v>
      </c>
      <c r="M124" t="inlineStr">
        <is>
          <t>False</t>
        </is>
      </c>
      <c r="N124" t="inlineStr">
        <is>
          <t>Health and Beauty</t>
        </is>
      </c>
      <c r="P124" s="6">
        <v>6391</v>
      </c>
      <c r="Q124" s="6">
        <v>4998</v>
      </c>
      <c r="R124" s="6">
        <v>19</v>
      </c>
      <c r="S124" s="7">
        <v>30</v>
      </c>
      <c r="T124" s="7">
        <v>43.53</v>
      </c>
      <c r="U124">
        <v>43.02</v>
      </c>
      <c r="V124" s="8">
        <v>0</v>
      </c>
      <c r="W124" s="7">
        <v>0</v>
      </c>
      <c r="X124" s="7">
        <v>0</v>
      </c>
      <c r="Y124">
        <v>2.38</v>
      </c>
      <c r="Z124" s="8">
        <v>0</v>
      </c>
      <c r="AB124">
        <v>0</v>
      </c>
      <c r="AC124">
        <v>0</v>
      </c>
      <c r="AD124">
        <v>3</v>
      </c>
      <c r="AE124">
        <v>1</v>
      </c>
      <c r="AF124">
        <v>2</v>
      </c>
      <c r="AG124">
        <v>1</v>
      </c>
      <c r="AH124">
        <v>8</v>
      </c>
      <c r="AI124" t="inlineStr">
        <is>
          <t>False</t>
        </is>
      </c>
      <c r="AJ124" s="2" t="str">
        <f>HYPERLINK("https://keepa.com/#!product/1-B00FY4ILN0", "https://keepa.com/#!product/1-B00FY4ILN0")</f>
      </c>
      <c r="AK124" s="2" t="str">
        <f>HYPERLINK("https://camelcamelcamel.com/search?sq=B00FY4ILN0", "https://camelcamelcamel.com/search?sq=B00FY4ILN0")</f>
      </c>
      <c r="AL124" t="inlineStr">
        <is>
          <t/>
        </is>
      </c>
      <c r="AM124" s="10">
        <v>45417.11111111111</v>
      </c>
      <c r="AN124" t="inlineStr">
        <is>
          <t>Optimum Nutrition Gold Standard 100% Whey Delicious Strawberry -- 2 lbs</t>
        </is>
      </c>
      <c r="AO124" t="inlineStr">
        <is>
          <t>1700</t>
        </is>
      </c>
      <c r="AP124" t="inlineStr">
        <is>
          <t>250</t>
        </is>
      </c>
    </row>
    <row r="125">
      <c r="A125" t="inlineStr">
        <is>
          <t>B00G01O8D8</t>
        </is>
      </c>
      <c r="B125" t="inlineStr">
        <is>
          <t>False</t>
        </is>
      </c>
      <c r="C125" t="inlineStr">
        <is>
          <t>B00G01O8D8</t>
        </is>
      </c>
      <c r="D125" t="inlineStr">
        <is>
          <t>Starbucks</t>
        </is>
      </c>
      <c r="E125" t="inlineStr">
        <is>
          <t>False</t>
        </is>
      </c>
      <c r="F125" t="inlineStr">
        <is>
          <t>2 Packs of 40 Oz Starbucks French Roast Whole Bean Coffee = 2 x 40 Oz = 80 Oz</t>
        </is>
      </c>
      <c r="G125">
        <v>1</v>
      </c>
      <c r="H125" s="2" t="str">
        <f>HYPERLINK("https://www.amazon.com/dp/B00G01O8D8", "https://www.amazon.com/dp/B00G01O8D8")</f>
      </c>
      <c r="I125" s="3">
        <v>6989</v>
      </c>
      <c r="J125" s="12">
        <v>-0.51</v>
      </c>
      <c r="K125" s="13">
        <v>-0.0126</v>
      </c>
      <c r="L125" s="13">
        <v>-0.0189</v>
      </c>
      <c r="M125" t="inlineStr">
        <is>
          <t>True</t>
        </is>
      </c>
      <c r="N125" t="inlineStr">
        <is>
          <t>Grocery &amp; Gourmet Food</t>
        </is>
      </c>
      <c r="O125" s="6">
        <v>559</v>
      </c>
      <c r="P125" s="6">
        <v>477</v>
      </c>
      <c r="Q125" s="6">
        <v>130</v>
      </c>
      <c r="R125" s="6">
        <v>258</v>
      </c>
      <c r="S125" s="7">
        <v>27</v>
      </c>
      <c r="T125" s="7">
        <v>40.49</v>
      </c>
      <c r="U125">
        <v>44.46</v>
      </c>
      <c r="V125" s="8">
        <v>0</v>
      </c>
      <c r="W125" s="7">
        <v>0</v>
      </c>
      <c r="X125" s="7">
        <v>0</v>
      </c>
      <c r="Y125">
        <v>5.16</v>
      </c>
      <c r="Z125" s="8">
        <v>0</v>
      </c>
      <c r="AB125">
        <v>0</v>
      </c>
      <c r="AC125">
        <v>0</v>
      </c>
      <c r="AD125">
        <v>70</v>
      </c>
      <c r="AE125">
        <v>11</v>
      </c>
      <c r="AF125">
        <v>59</v>
      </c>
      <c r="AG125">
        <v>3</v>
      </c>
      <c r="AH125">
        <v>18</v>
      </c>
      <c r="AI125" t="inlineStr">
        <is>
          <t>False</t>
        </is>
      </c>
      <c r="AJ125" s="2" t="str">
        <f>HYPERLINK("https://keepa.com/#!product/1-B00G01O8D8", "https://keepa.com/#!product/1-B00G01O8D8")</f>
      </c>
      <c r="AK125" s="2" t="str">
        <f>HYPERLINK("https://camelcamelcamel.com/search?sq=B00G01O8D8", "https://camelcamelcamel.com/search?sq=B00G01O8D8")</f>
      </c>
      <c r="AL125" t="inlineStr">
        <is>
          <t/>
        </is>
      </c>
      <c r="AM125" s="10">
        <v>45417.11111111111</v>
      </c>
      <c r="AN125" t="inlineStr">
        <is>
          <t>2 Packs of 40 Oz Starbucks French Roast Whole Bean Coffee = 2 x 40 Oz = 80 Oz</t>
        </is>
      </c>
      <c r="AO125" t="inlineStr">
        <is>
          <t>300</t>
        </is>
      </c>
      <c r="AP125" t="inlineStr">
        <is>
          <t>TAKE ALL</t>
        </is>
      </c>
    </row>
    <row r="126">
      <c r="A126" t="inlineStr">
        <is>
          <t>B00G5L85S2</t>
        </is>
      </c>
      <c r="B126" t="inlineStr">
        <is>
          <t>False</t>
        </is>
      </c>
      <c r="C126" t="inlineStr">
        <is>
          <t>B00G5L85S2</t>
        </is>
      </c>
      <c r="D126" t="inlineStr">
        <is>
          <t>Philips Sonicare</t>
        </is>
      </c>
      <c r="E126" t="inlineStr">
        <is>
          <t>False</t>
        </is>
      </c>
      <c r="F126" t="inlineStr">
        <is>
          <t>Philips Sonicare for Kids 7+ Genuine Replacement Toothbrush Heads, 2 Brush Heads, Turquoise and White, Standard, HX6042/94</t>
        </is>
      </c>
      <c r="G126">
        <v>1</v>
      </c>
      <c r="H126" s="2" t="str">
        <f>HYPERLINK("https://www.amazon.com/dp/B00G5L85S2", "https://www.amazon.com/dp/B00G5L85S2")</f>
      </c>
      <c r="I126" s="3">
        <v>17786</v>
      </c>
      <c r="J126" s="11">
        <v>1.53</v>
      </c>
      <c r="K126" s="5">
        <v>0.0767</v>
      </c>
      <c r="L126" s="5">
        <v>0.13019999999999998</v>
      </c>
      <c r="M126" t="inlineStr">
        <is>
          <t>True</t>
        </is>
      </c>
      <c r="N126" t="inlineStr">
        <is>
          <t>Health &amp; Household</t>
        </is>
      </c>
      <c r="O126" s="6">
        <v>1092</v>
      </c>
      <c r="P126" s="6">
        <v>1331</v>
      </c>
      <c r="Q126" s="6">
        <v>723</v>
      </c>
      <c r="R126" s="6">
        <v>288</v>
      </c>
      <c r="S126" s="7">
        <v>11.75</v>
      </c>
      <c r="T126" s="7">
        <v>19.96</v>
      </c>
      <c r="U126">
        <v>19.94</v>
      </c>
      <c r="V126" s="8">
        <v>0</v>
      </c>
      <c r="W126" s="7">
        <v>0</v>
      </c>
      <c r="X126" s="7">
        <v>0</v>
      </c>
      <c r="Y126">
        <v>0.07</v>
      </c>
      <c r="Z126" s="9">
        <v>1</v>
      </c>
      <c r="AB126">
        <v>0</v>
      </c>
      <c r="AC126">
        <v>0</v>
      </c>
      <c r="AD126">
        <v>3</v>
      </c>
      <c r="AE126">
        <v>1</v>
      </c>
      <c r="AF126">
        <v>1</v>
      </c>
      <c r="AG126">
        <v>1</v>
      </c>
      <c r="AH126">
        <v>2</v>
      </c>
      <c r="AI126" t="inlineStr">
        <is>
          <t>False</t>
        </is>
      </c>
      <c r="AJ126" s="2" t="str">
        <f>HYPERLINK("https://keepa.com/#!product/1-B00G5L85S2", "https://keepa.com/#!product/1-B00G5L85S2")</f>
      </c>
      <c r="AK126" s="2" t="str">
        <f>HYPERLINK("https://camelcamelcamel.com/search?sq=B00G5L85S2", "https://camelcamelcamel.com/search?sq=B00G5L85S2")</f>
      </c>
      <c r="AL126" t="inlineStr">
        <is>
          <t/>
        </is>
      </c>
      <c r="AM126" s="10">
        <v>45417.11111111111</v>
      </c>
      <c r="AN126" t="inlineStr">
        <is>
          <t>Philips Sonicare for Kids 7+ Genuine Replacement Toothbrush Heads, 2 Brush Heads, Turquoise and White, Standard, HX6042/94</t>
        </is>
      </c>
      <c r="AO126" t="inlineStr">
        <is>
          <t>250</t>
        </is>
      </c>
      <c r="AP126" t="inlineStr">
        <is>
          <t>TAKE ALL</t>
        </is>
      </c>
    </row>
    <row r="127">
      <c r="A127" t="inlineStr">
        <is>
          <t>B00GHA15JW</t>
        </is>
      </c>
      <c r="B127" t="inlineStr">
        <is>
          <t>False</t>
        </is>
      </c>
      <c r="C127" t="inlineStr">
        <is>
          <t>B00GHA15JW</t>
        </is>
      </c>
      <c r="D127" t="inlineStr">
        <is>
          <t>DenTek</t>
        </is>
      </c>
      <c r="E127" t="inlineStr">
        <is>
          <t>False</t>
        </is>
      </c>
      <c r="F127" t="inlineStr">
        <is>
          <t>DenTek Easy Brush Plaque Control Interdental Cleaners, Tight, 16 Count, 6 Pack</t>
        </is>
      </c>
      <c r="G127">
        <v>6</v>
      </c>
      <c r="H127" s="2" t="str">
        <f>HYPERLINK("https://www.amazon.com/dp/B00GHA15JW", "https://www.amazon.com/dp/B00GHA15JW")</f>
      </c>
      <c r="I127" s="3">
        <v>538</v>
      </c>
      <c r="J127" s="12">
        <v>-55.78</v>
      </c>
      <c r="K127" s="13">
        <v>-3.287</v>
      </c>
      <c r="L127" s="13">
        <v>-0.8452</v>
      </c>
      <c r="M127" t="inlineStr">
        <is>
          <t>True</t>
        </is>
      </c>
      <c r="N127" t="inlineStr">
        <is>
          <t>Health &amp; Household</t>
        </is>
      </c>
      <c r="O127" s="6">
        <v>35515</v>
      </c>
      <c r="P127" s="6">
        <v>36190</v>
      </c>
      <c r="Q127" s="6">
        <v>20553</v>
      </c>
      <c r="R127" s="6">
        <v>149</v>
      </c>
      <c r="S127" s="7">
        <v>11</v>
      </c>
      <c r="T127" s="7">
        <v>16.97</v>
      </c>
      <c r="U127">
        <v>20.38</v>
      </c>
      <c r="V127" s="8">
        <v>0</v>
      </c>
      <c r="W127" s="7">
        <v>0</v>
      </c>
      <c r="X127" s="7">
        <v>0</v>
      </c>
      <c r="Y127">
        <v>0.4</v>
      </c>
      <c r="Z127" s="9">
        <v>1</v>
      </c>
      <c r="AB127">
        <v>0</v>
      </c>
      <c r="AC127">
        <v>0</v>
      </c>
      <c r="AD127">
        <v>5</v>
      </c>
      <c r="AE127">
        <v>3</v>
      </c>
      <c r="AF127">
        <v>2</v>
      </c>
      <c r="AG127">
        <v>3</v>
      </c>
      <c r="AH127">
        <v>5</v>
      </c>
      <c r="AI127" t="inlineStr">
        <is>
          <t>False</t>
        </is>
      </c>
      <c r="AJ127" s="2" t="str">
        <f>HYPERLINK("https://keepa.com/#!product/1-B00GHA15JW", "https://keepa.com/#!product/1-B00GHA15JW")</f>
      </c>
      <c r="AK127" s="2" t="str">
        <f>HYPERLINK("https://camelcamelcamel.com/search?sq=B00GHA15JW", "https://camelcamelcamel.com/search?sq=B00GHA15JW")</f>
      </c>
      <c r="AL127" t="inlineStr">
        <is>
          <t/>
        </is>
      </c>
      <c r="AM127" s="10">
        <v>45417.11111111111</v>
      </c>
      <c r="AN127" t="inlineStr">
        <is>
          <t>DenTek Easy Brush Plaque Control Interdental Cleaners, Tight, 16 Count, 6 Pack</t>
        </is>
      </c>
      <c r="AO127" t="inlineStr">
        <is>
          <t>3000</t>
        </is>
      </c>
      <c r="AP127" t="inlineStr">
        <is>
          <t>2000</t>
        </is>
      </c>
    </row>
    <row r="128">
      <c r="A128" t="inlineStr">
        <is>
          <t>B00HNSHCKS</t>
        </is>
      </c>
      <c r="B128" t="inlineStr">
        <is>
          <t>False</t>
        </is>
      </c>
      <c r="C128" t="inlineStr">
        <is>
          <t>B00HNSHCKS</t>
        </is>
      </c>
      <c r="D128" t="inlineStr">
        <is>
          <t>Herbalife</t>
        </is>
      </c>
      <c r="E128" t="inlineStr">
        <is>
          <t>False</t>
        </is>
      </c>
      <c r="F128" t="inlineStr">
        <is>
          <t>Herbalife Aloe Concentrate Pint: Mango Flavor 16 FL Oz (473 ml) for Digestive Health with Premium-Quality Aloe, Gluten-Free, 0 Calories, 0 Sugar, Naturally Flavored</t>
        </is>
      </c>
      <c r="G128">
        <v>1</v>
      </c>
      <c r="H128" s="2" t="str">
        <f>HYPERLINK("https://www.amazon.com/dp/B00HNSHCKS", "https://www.amazon.com/dp/B00HNSHCKS")</f>
      </c>
      <c r="I128" s="3">
        <v>1246</v>
      </c>
      <c r="J128" s="4">
        <v>7.58</v>
      </c>
      <c r="K128" s="5">
        <v>0.21059999999999998</v>
      </c>
      <c r="L128" s="15">
        <v>0.4211</v>
      </c>
      <c r="M128" t="inlineStr">
        <is>
          <t>True</t>
        </is>
      </c>
      <c r="N128" t="inlineStr">
        <is>
          <t>Health &amp; Household</t>
        </is>
      </c>
      <c r="O128" s="6">
        <v>18907</v>
      </c>
      <c r="P128" s="6">
        <v>26190</v>
      </c>
      <c r="Q128" s="6">
        <v>14057</v>
      </c>
      <c r="R128" s="6">
        <v>120</v>
      </c>
      <c r="S128" s="7">
        <v>18</v>
      </c>
      <c r="T128" s="7">
        <v>35.99</v>
      </c>
      <c r="U128">
        <v>36.55</v>
      </c>
      <c r="V128" s="8">
        <v>0</v>
      </c>
      <c r="W128" s="7">
        <v>0</v>
      </c>
      <c r="X128" s="7">
        <v>0</v>
      </c>
      <c r="Y128">
        <v>1.17</v>
      </c>
      <c r="Z128" s="8">
        <v>0</v>
      </c>
      <c r="AB128">
        <v>0</v>
      </c>
      <c r="AC128">
        <v>0</v>
      </c>
      <c r="AD128">
        <v>14</v>
      </c>
      <c r="AE128">
        <v>13</v>
      </c>
      <c r="AF128">
        <v>1</v>
      </c>
      <c r="AG128">
        <v>7</v>
      </c>
      <c r="AH128">
        <v>0</v>
      </c>
      <c r="AI128" t="inlineStr">
        <is>
          <t>False</t>
        </is>
      </c>
      <c r="AJ128" s="2" t="str">
        <f>HYPERLINK("https://keepa.com/#!product/1-B00HNSHCKS", "https://keepa.com/#!product/1-B00HNSHCKS")</f>
      </c>
      <c r="AK128" s="2" t="str">
        <f>HYPERLINK("https://camelcamelcamel.com/search?sq=B00HNSHCKS", "https://camelcamelcamel.com/search?sq=B00HNSHCKS")</f>
      </c>
      <c r="AL128" t="inlineStr">
        <is>
          <t/>
        </is>
      </c>
      <c r="AM128" s="10">
        <v>45417.11111111111</v>
      </c>
      <c r="AN128" t="inlineStr">
        <is>
          <t>Herbalife Aloe Concentrate Pint: Mango Flavor 16 FL Oz (473 ml) for Digestive Health with Premium-Quality Aloe, Gluten-Free, 0 Calories, 0 Sugar, Naturally Flavore</t>
        </is>
      </c>
      <c r="AO128" t="inlineStr">
        <is>
          <t>400</t>
        </is>
      </c>
      <c r="AP128" t="inlineStr">
        <is>
          <t>TAKE ALL</t>
        </is>
      </c>
    </row>
    <row r="129">
      <c r="A129" t="inlineStr">
        <is>
          <t>B00IA1X2VA</t>
        </is>
      </c>
      <c r="B129" t="inlineStr">
        <is>
          <t>False</t>
        </is>
      </c>
      <c r="C129" t="inlineStr">
        <is>
          <t>B00IA1X2VA</t>
        </is>
      </c>
      <c r="D129" t="inlineStr">
        <is>
          <t>TROJAN</t>
        </is>
      </c>
      <c r="E129" t="inlineStr">
        <is>
          <t>False</t>
        </is>
      </c>
      <c r="F129" t="inlineStr">
        <is>
          <t>Trojan Magnum Latex Condoms Canister, 40 Count</t>
        </is>
      </c>
      <c r="G129">
        <v>1</v>
      </c>
      <c r="H129" s="2" t="str">
        <f>HYPERLINK("https://www.amazon.com/dp/B00IA1X2VA", "https://www.amazon.com/dp/B00IA1X2VA")</f>
      </c>
      <c r="I129" s="14">
        <v>5</v>
      </c>
      <c r="J129" s="11">
        <v>2.74</v>
      </c>
      <c r="K129" s="5">
        <v>0.1015</v>
      </c>
      <c r="L129" s="5">
        <v>0.17120000000000002</v>
      </c>
      <c r="M129" t="inlineStr">
        <is>
          <t>False</t>
        </is>
      </c>
      <c r="N129" t="inlineStr">
        <is>
          <t>Condoms</t>
        </is>
      </c>
      <c r="O129" s="6">
        <v>73</v>
      </c>
      <c r="P129" s="6">
        <v>0</v>
      </c>
      <c r="Q129" s="6">
        <v>0</v>
      </c>
      <c r="R129" s="6">
        <v>0</v>
      </c>
      <c r="S129" s="7">
        <v>16</v>
      </c>
      <c r="T129" s="7">
        <v>26.99</v>
      </c>
      <c r="U129">
        <v>27.94</v>
      </c>
      <c r="V129" s="8">
        <v>0</v>
      </c>
      <c r="W129" s="7">
        <v>0</v>
      </c>
      <c r="X129" s="7">
        <v>0</v>
      </c>
      <c r="Y129">
        <v>0.4</v>
      </c>
      <c r="Z129" s="8">
        <v>0</v>
      </c>
      <c r="AB129">
        <v>0</v>
      </c>
      <c r="AC129">
        <v>0</v>
      </c>
      <c r="AD129">
        <v>15</v>
      </c>
      <c r="AE129">
        <v>7</v>
      </c>
      <c r="AF129">
        <v>8</v>
      </c>
      <c r="AG129">
        <v>4</v>
      </c>
      <c r="AH129">
        <v>0</v>
      </c>
      <c r="AI129" t="inlineStr">
        <is>
          <t>False</t>
        </is>
      </c>
      <c r="AJ129" s="2" t="str">
        <f>HYPERLINK("https://keepa.com/#!product/1-B00IA1X2VA", "https://keepa.com/#!product/1-B00IA1X2VA")</f>
      </c>
      <c r="AK129" s="2" t="str">
        <f>HYPERLINK("https://camelcamelcamel.com/search?sq=B00IA1X2VA", "https://camelcamelcamel.com/search?sq=B00IA1X2VA")</f>
      </c>
      <c r="AL129" t="inlineStr">
        <is>
          <t/>
        </is>
      </c>
      <c r="AM129" s="10">
        <v>45417.11111111111</v>
      </c>
      <c r="AN129" t="inlineStr">
        <is>
          <t>Trojan Magnum Latex Condoms Canister, 40 Count</t>
        </is>
      </c>
      <c r="AO129" t="inlineStr">
        <is>
          <t>432</t>
        </is>
      </c>
      <c r="AP129" t="inlineStr">
        <is>
          <t>TAKE ALL</t>
        </is>
      </c>
    </row>
    <row r="130">
      <c r="A130" t="inlineStr">
        <is>
          <t>B00IJRMU0E</t>
        </is>
      </c>
      <c r="B130" t="inlineStr">
        <is>
          <t>False</t>
        </is>
      </c>
      <c r="C130" t="inlineStr">
        <is>
          <t>B00IJRMU0E</t>
        </is>
      </c>
      <c r="D130" t="inlineStr">
        <is>
          <t>Gibson</t>
        </is>
      </c>
      <c r="E130" t="inlineStr">
        <is>
          <t>False</t>
        </is>
      </c>
      <c r="F130" t="inlineStr">
        <is>
          <t>Gibson Elite Soho Lounge Reactive Glaze Stoneware Dinnerware Set, Service for 4 (16pc), Blue</t>
        </is>
      </c>
      <c r="G130">
        <v>1</v>
      </c>
      <c r="H130" s="2" t="str">
        <f>HYPERLINK("https://www.amazon.com/dp/B00IJRMU0E", "https://www.amazon.com/dp/B00IJRMU0E")</f>
      </c>
      <c r="I130" s="14">
        <v>5</v>
      </c>
      <c r="J130" s="12">
        <v>-4.08</v>
      </c>
      <c r="K130" s="13">
        <v>-0.0816</v>
      </c>
      <c r="L130" s="13">
        <v>-0.1484</v>
      </c>
      <c r="M130" t="inlineStr">
        <is>
          <t>True</t>
        </is>
      </c>
      <c r="N130" t="inlineStr">
        <is>
          <t>Kitchen</t>
        </is>
      </c>
      <c r="P130" s="6">
        <v>0</v>
      </c>
      <c r="Q130" s="6">
        <v>0</v>
      </c>
      <c r="R130" s="6">
        <v>0</v>
      </c>
      <c r="S130" s="7">
        <v>27.5</v>
      </c>
      <c r="T130" s="7">
        <v>49.99</v>
      </c>
      <c r="U130">
        <v>51.03</v>
      </c>
      <c r="V130" s="8">
        <v>0</v>
      </c>
      <c r="W130" s="7">
        <v>0</v>
      </c>
      <c r="X130" s="7">
        <v>0</v>
      </c>
      <c r="Y130">
        <v>26.75</v>
      </c>
      <c r="Z130" s="9">
        <v>1</v>
      </c>
      <c r="AB130">
        <v>0</v>
      </c>
      <c r="AC130">
        <v>0</v>
      </c>
      <c r="AD130">
        <v>9</v>
      </c>
      <c r="AE130">
        <v>3</v>
      </c>
      <c r="AF130">
        <v>2</v>
      </c>
      <c r="AG130">
        <v>2</v>
      </c>
      <c r="AH130">
        <v>3</v>
      </c>
      <c r="AI130" t="inlineStr">
        <is>
          <t>False</t>
        </is>
      </c>
      <c r="AJ130" s="2" t="str">
        <f>HYPERLINK("https://keepa.com/#!product/1-B00IJRMU0E", "https://keepa.com/#!product/1-B00IJRMU0E")</f>
      </c>
      <c r="AK130" s="2" t="str">
        <f>HYPERLINK("https://camelcamelcamel.com/search?sq=B00IJRMU0E", "https://camelcamelcamel.com/search?sq=B00IJRMU0E")</f>
      </c>
      <c r="AL130" t="inlineStr">
        <is>
          <t/>
        </is>
      </c>
      <c r="AM130" s="10">
        <v>45417.11111111111</v>
      </c>
      <c r="AN130" t="inlineStr">
        <is>
          <t>Gibson Elite Soho Lounge Reactive Glaze Stoneware Dinnerware Set, Service for 4 (16pc), Blue</t>
        </is>
      </c>
      <c r="AO130" t="inlineStr">
        <is>
          <t>300</t>
        </is>
      </c>
      <c r="AP130" t="inlineStr">
        <is>
          <t>100</t>
        </is>
      </c>
    </row>
    <row r="131">
      <c r="A131" t="inlineStr">
        <is>
          <t>B00IZ77BJ8</t>
        </is>
      </c>
      <c r="B131" t="inlineStr">
        <is>
          <t>False</t>
        </is>
      </c>
      <c r="C131" t="inlineStr">
        <is>
          <t>B00IZ77BJ8</t>
        </is>
      </c>
      <c r="D131" t="inlineStr">
        <is>
          <t>Fiskars</t>
        </is>
      </c>
      <c r="E131" t="inlineStr">
        <is>
          <t>False</t>
        </is>
      </c>
      <c r="F131" t="inlineStr">
        <is>
          <t>Fiskars 45mm EasyChange Rotary Cutter for Fabric - Titanium Rotary Cutter Blade - Craft Supplies - Crafts, Sewing, and Quilting Projects - White/Gray</t>
        </is>
      </c>
      <c r="G131">
        <v>1</v>
      </c>
      <c r="H131" s="2" t="str">
        <f>HYPERLINK("https://www.amazon.com/dp/B00IZ77BJ8", "https://www.amazon.com/dp/B00IZ77BJ8")</f>
      </c>
      <c r="I131" s="3">
        <v>84</v>
      </c>
      <c r="J131" s="11">
        <v>2.42</v>
      </c>
      <c r="K131" s="5">
        <v>0.15130000000000002</v>
      </c>
      <c r="L131" s="15">
        <v>0.33380000000000004</v>
      </c>
      <c r="M131" t="inlineStr">
        <is>
          <t>True</t>
        </is>
      </c>
      <c r="N131" t="inlineStr">
        <is>
          <t>Arts, Crafts &amp; Sewing</t>
        </is>
      </c>
      <c r="O131" s="6">
        <v>45229</v>
      </c>
      <c r="P131" s="6">
        <v>3694</v>
      </c>
      <c r="Q131" s="6">
        <v>127</v>
      </c>
      <c r="R131" s="6">
        <v>258</v>
      </c>
      <c r="S131" s="7">
        <v>7.25</v>
      </c>
      <c r="T131" s="7">
        <v>15.99</v>
      </c>
      <c r="U131">
        <v>15.9</v>
      </c>
      <c r="V131" s="8">
        <v>0</v>
      </c>
      <c r="W131" s="7">
        <v>0</v>
      </c>
      <c r="X131" s="7">
        <v>0</v>
      </c>
      <c r="Y131">
        <v>0.22</v>
      </c>
      <c r="Z131" s="9">
        <v>1</v>
      </c>
      <c r="AB131">
        <v>0</v>
      </c>
      <c r="AC131">
        <v>0</v>
      </c>
      <c r="AD131">
        <v>10</v>
      </c>
      <c r="AE131">
        <v>7</v>
      </c>
      <c r="AF131">
        <v>3</v>
      </c>
      <c r="AG131">
        <v>6</v>
      </c>
      <c r="AH131">
        <v>0</v>
      </c>
      <c r="AI131" t="inlineStr">
        <is>
          <t>False</t>
        </is>
      </c>
      <c r="AJ131" s="2" t="str">
        <f>HYPERLINK("https://keepa.com/#!product/1-B00IZ77BJ8", "https://keepa.com/#!product/1-B00IZ77BJ8")</f>
      </c>
      <c r="AK131" s="2" t="str">
        <f>HYPERLINK("https://camelcamelcamel.com/search?sq=B00IZ77BJ8", "https://camelcamelcamel.com/search?sq=B00IZ77BJ8")</f>
      </c>
      <c r="AL131" t="inlineStr">
        <is>
          <t/>
        </is>
      </c>
      <c r="AM131" s="10">
        <v>45417.11111111111</v>
      </c>
      <c r="AN131" t="inlineStr">
        <is>
          <t>Fiskars 45mm EasyChange Rotary Cutter for Fabric - Titanium Rotary Cutter Blade - Craft Supplies - Crafts, Sewing, and Quilting Projects - White/Gray</t>
        </is>
      </c>
      <c r="AO131" t="inlineStr">
        <is>
          <t>6000</t>
        </is>
      </c>
      <c r="AP131" t="inlineStr">
        <is>
          <t>TAKE ALL</t>
        </is>
      </c>
    </row>
    <row r="132">
      <c r="A132" t="inlineStr">
        <is>
          <t>B00J074W7Q</t>
        </is>
      </c>
      <c r="B132" t="inlineStr">
        <is>
          <t>False</t>
        </is>
      </c>
      <c r="C132" t="inlineStr">
        <is>
          <t>B00J074W7Q</t>
        </is>
      </c>
      <c r="D132" t="inlineStr">
        <is>
          <t>Orgain</t>
        </is>
      </c>
      <c r="E132" t="inlineStr">
        <is>
          <t>False</t>
        </is>
      </c>
      <c r="F132" t="inlineStr">
        <is>
          <t>Orgain Organic Vegan Protein Powder, Vanilla Bean - 21g Plant Based Protein, Gluten Free, Dairy Free, Lactose Free, Soy Free, No Sugar Added, Kosher, For Smoothies &amp; Shakes - 2.03lb</t>
        </is>
      </c>
      <c r="G132">
        <v>1</v>
      </c>
      <c r="H132" s="2" t="str">
        <f>HYPERLINK("https://www.amazon.com/dp/B00J074W7Q", "https://www.amazon.com/dp/B00J074W7Q")</f>
      </c>
      <c r="I132" s="14">
        <v>5</v>
      </c>
      <c r="J132" s="4">
        <v>4.76</v>
      </c>
      <c r="K132" s="5">
        <v>0.1561</v>
      </c>
      <c r="L132" s="15">
        <v>0.3173</v>
      </c>
      <c r="M132" t="inlineStr">
        <is>
          <t>True</t>
        </is>
      </c>
      <c r="N132" t="inlineStr">
        <is>
          <t>Climate Pledge Friendly</t>
        </is>
      </c>
      <c r="O132" s="6">
        <v>63</v>
      </c>
      <c r="P132" s="6">
        <v>52</v>
      </c>
      <c r="Q132" s="6">
        <v>31</v>
      </c>
      <c r="R132" s="6">
        <v>137</v>
      </c>
      <c r="S132" s="7">
        <v>15</v>
      </c>
      <c r="T132" s="7">
        <v>30.49</v>
      </c>
      <c r="U132">
        <v>30.18</v>
      </c>
      <c r="V132" s="8">
        <v>0</v>
      </c>
      <c r="W132" s="7">
        <v>0</v>
      </c>
      <c r="X132" s="7">
        <v>0</v>
      </c>
      <c r="Y132">
        <v>2.38</v>
      </c>
      <c r="Z132" s="9">
        <v>1</v>
      </c>
      <c r="AB132">
        <v>0</v>
      </c>
      <c r="AC132">
        <v>0</v>
      </c>
      <c r="AD132">
        <v>39</v>
      </c>
      <c r="AE132">
        <v>5</v>
      </c>
      <c r="AF132">
        <v>34</v>
      </c>
      <c r="AG132">
        <v>2</v>
      </c>
      <c r="AH132">
        <v>5</v>
      </c>
      <c r="AI132" t="inlineStr">
        <is>
          <t>False</t>
        </is>
      </c>
      <c r="AJ132" s="2" t="str">
        <f>HYPERLINK("https://keepa.com/#!product/1-B00J074W7Q", "https://keepa.com/#!product/1-B00J074W7Q")</f>
      </c>
      <c r="AK132" s="2" t="str">
        <f>HYPERLINK("https://camelcamelcamel.com/search?sq=B00J074W7Q", "https://camelcamelcamel.com/search?sq=B00J074W7Q")</f>
      </c>
      <c r="AL132" t="inlineStr">
        <is>
          <t/>
        </is>
      </c>
      <c r="AM132" s="10">
        <v>45417.11111111111</v>
      </c>
      <c r="AN132" t="inlineStr">
        <is>
          <t>Orgain Organic Vegan Protein Powder, Vanilla Bean - 21g Plant Based Protein, Gluten Free, Dairy Free, Lactose Free, Soy Free, No Sugar Added, Kosher, For Smoothies &amp; Shakes - 2.03lb</t>
        </is>
      </c>
      <c r="AO132" t="inlineStr">
        <is>
          <t>2000</t>
        </is>
      </c>
      <c r="AP132" t="inlineStr">
        <is>
          <t>500</t>
        </is>
      </c>
    </row>
    <row r="133">
      <c r="A133" t="inlineStr">
        <is>
          <t>B00J074W94</t>
        </is>
      </c>
      <c r="B133" t="inlineStr">
        <is>
          <t>False</t>
        </is>
      </c>
      <c r="C133" t="inlineStr">
        <is>
          <t>B00J074W94</t>
        </is>
      </c>
      <c r="D133" t="inlineStr">
        <is>
          <t>Orgain</t>
        </is>
      </c>
      <c r="E133" t="inlineStr">
        <is>
          <t>False</t>
        </is>
      </c>
      <c r="F133" t="inlineStr">
        <is>
          <t>Orgain Organic Vegan Protein Powder, Creamy Chocolate Fudge - 21g Plant Based Protein, Gluten Free, Dairy Free, Lactose Free, Soy Free, No Sugar Added, Kosher, For Smoothies &amp; Shakes - 2.03lb</t>
        </is>
      </c>
      <c r="G133">
        <v>1</v>
      </c>
      <c r="H133" s="2" t="str">
        <f>HYPERLINK("https://www.amazon.com/dp/B00J074W94", "https://www.amazon.com/dp/B00J074W94")</f>
      </c>
      <c r="I133" s="14">
        <v>5</v>
      </c>
      <c r="J133" s="4">
        <v>5.81</v>
      </c>
      <c r="K133" s="5">
        <v>0.1906</v>
      </c>
      <c r="L133" s="15">
        <v>0.4165</v>
      </c>
      <c r="M133" t="inlineStr">
        <is>
          <t>True</t>
        </is>
      </c>
      <c r="N133" t="inlineStr">
        <is>
          <t>Climate Pledge Friendly</t>
        </is>
      </c>
      <c r="O133" s="6">
        <v>83</v>
      </c>
      <c r="P133" s="6">
        <v>73</v>
      </c>
      <c r="Q133" s="6">
        <v>50</v>
      </c>
      <c r="R133" s="6">
        <v>95</v>
      </c>
      <c r="S133" s="7">
        <v>13.95</v>
      </c>
      <c r="T133" s="7">
        <v>30.49</v>
      </c>
      <c r="U133">
        <v>26.35</v>
      </c>
      <c r="V133" s="8">
        <v>0</v>
      </c>
      <c r="W133" s="7">
        <v>0</v>
      </c>
      <c r="X133" s="7">
        <v>0</v>
      </c>
      <c r="Y133">
        <v>2.4</v>
      </c>
      <c r="Z133" s="9">
        <v>1</v>
      </c>
      <c r="AB133">
        <v>0</v>
      </c>
      <c r="AC133">
        <v>0</v>
      </c>
      <c r="AD133">
        <v>27</v>
      </c>
      <c r="AE133">
        <v>4</v>
      </c>
      <c r="AF133">
        <v>23</v>
      </c>
      <c r="AG133">
        <v>3</v>
      </c>
      <c r="AH133">
        <v>5</v>
      </c>
      <c r="AI133" t="inlineStr">
        <is>
          <t>False</t>
        </is>
      </c>
      <c r="AJ133" s="2" t="str">
        <f>HYPERLINK("https://keepa.com/#!product/1-B00J074W94", "https://keepa.com/#!product/1-B00J074W94")</f>
      </c>
      <c r="AK133" s="2" t="str">
        <f>HYPERLINK("https://camelcamelcamel.com/search?sq=B00J074W94", "https://camelcamelcamel.com/search?sq=B00J074W94")</f>
      </c>
      <c r="AL133" t="inlineStr">
        <is>
          <t/>
        </is>
      </c>
      <c r="AM133" s="10">
        <v>45417.11111111111</v>
      </c>
      <c r="AN133" t="inlineStr">
        <is>
          <t>Orgain Organic Vegan Protein Powder, Creamy Chocolate Fudge - 21g Plant Based Protein, Gluten Free, Dairy Free, Lactose Free, Soy Free, No Sugar Added, Kosher, For Smoothies &amp; Shakes - 2.03lb</t>
        </is>
      </c>
      <c r="AO133" t="inlineStr">
        <is>
          <t>2300</t>
        </is>
      </c>
      <c r="AP133" t="inlineStr">
        <is>
          <t>540</t>
        </is>
      </c>
    </row>
    <row r="134">
      <c r="A134" t="inlineStr">
        <is>
          <t>B00JJZN1HG</t>
        </is>
      </c>
      <c r="B134" t="inlineStr">
        <is>
          <t>False</t>
        </is>
      </c>
      <c r="C134" t="inlineStr">
        <is>
          <t>B00JJZN1HG</t>
        </is>
      </c>
      <c r="D134" t="inlineStr">
        <is>
          <t>THINK</t>
        </is>
      </c>
      <c r="E134" t="inlineStr">
        <is>
          <t>False</t>
        </is>
      </c>
      <c r="F134" t="inlineStr">
        <is>
          <t>Thinkbaby SPF 50+ Baby Mineral Sunscreen – Safe, Natural Sunblock for Babies - Water Resistant Sun Cream – Broad Spectrum UVA/UVB Sun Protection – Vegan Baby Sunscreen Lotion, 6 Oz.</t>
        </is>
      </c>
      <c r="G134">
        <v>1</v>
      </c>
      <c r="H134" s="2" t="str">
        <f>HYPERLINK("https://www.amazon.com/dp/B00JJZN1HG", "https://www.amazon.com/dp/B00JJZN1HG")</f>
      </c>
      <c r="I134" s="3">
        <v>36038</v>
      </c>
      <c r="J134" s="11">
        <v>3.3</v>
      </c>
      <c r="K134" s="5">
        <v>0.1935</v>
      </c>
      <c r="L134" s="15">
        <v>0.4714</v>
      </c>
      <c r="M134" t="inlineStr">
        <is>
          <t>True</t>
        </is>
      </c>
      <c r="N134" t="inlineStr">
        <is>
          <t>Baby</t>
        </is>
      </c>
      <c r="O134" s="6">
        <v>13</v>
      </c>
      <c r="P134" s="6">
        <v>93</v>
      </c>
      <c r="Q134" s="6">
        <v>6</v>
      </c>
      <c r="R134" s="6">
        <v>238</v>
      </c>
      <c r="S134" s="7">
        <v>7</v>
      </c>
      <c r="T134" s="7">
        <v>17.05</v>
      </c>
      <c r="U134">
        <v>13.26</v>
      </c>
      <c r="V134" s="8">
        <v>0</v>
      </c>
      <c r="W134" s="7">
        <v>0</v>
      </c>
      <c r="X134" s="7">
        <v>0</v>
      </c>
      <c r="Y134">
        <v>0.55</v>
      </c>
      <c r="Z134" s="9">
        <v>1</v>
      </c>
      <c r="AB134">
        <v>0</v>
      </c>
      <c r="AC134">
        <v>0</v>
      </c>
      <c r="AD134">
        <v>18</v>
      </c>
      <c r="AE134">
        <v>5</v>
      </c>
      <c r="AF134">
        <v>13</v>
      </c>
      <c r="AG134">
        <v>4</v>
      </c>
      <c r="AH134">
        <v>2</v>
      </c>
      <c r="AI134" t="inlineStr">
        <is>
          <t>True</t>
        </is>
      </c>
      <c r="AJ134" s="2" t="str">
        <f>HYPERLINK("https://keepa.com/#!product/1-B00JJZN1HG", "https://keepa.com/#!product/1-B00JJZN1HG")</f>
      </c>
      <c r="AK134" s="2" t="str">
        <f>HYPERLINK("https://camelcamelcamel.com/search?sq=B00JJZN1HG", "https://camelcamelcamel.com/search?sq=B00JJZN1HG")</f>
      </c>
      <c r="AL134" t="inlineStr">
        <is>
          <t/>
        </is>
      </c>
      <c r="AM134" s="10">
        <v>45417.11111111111</v>
      </c>
      <c r="AN134" t="inlineStr">
        <is>
          <t>Thinkbaby  SPF 50+ Baby Sunscreen</t>
        </is>
      </c>
      <c r="AO134" t="inlineStr">
        <is>
          <t>2000</t>
        </is>
      </c>
      <c r="AP134" t="inlineStr">
        <is>
          <t>500</t>
        </is>
      </c>
    </row>
    <row r="135">
      <c r="A135" t="inlineStr">
        <is>
          <t>B00JLPSTJY</t>
        </is>
      </c>
      <c r="B135" t="inlineStr">
        <is>
          <t>False</t>
        </is>
      </c>
      <c r="C135" t="inlineStr">
        <is>
          <t>B00JLPSTJY</t>
        </is>
      </c>
      <c r="D135" t="inlineStr">
        <is>
          <t>Chex Mix</t>
        </is>
      </c>
      <c r="E135" t="inlineStr">
        <is>
          <t>False</t>
        </is>
      </c>
      <c r="F135" t="inlineStr">
        <is>
          <t>Chex Mix Cheddar Snack Mix 8.75 Oz - 5 Pack</t>
        </is>
      </c>
      <c r="G135">
        <v>5</v>
      </c>
      <c r="H135" s="2" t="str">
        <f>HYPERLINK("https://www.amazon.com/dp/B00JLPSTJY", "https://www.amazon.com/dp/B00JLPSTJY")</f>
      </c>
      <c r="I135" s="3">
        <v>5081</v>
      </c>
      <c r="J135" s="12">
        <v>-62.57</v>
      </c>
      <c r="K135" s="13">
        <v>-1.9276</v>
      </c>
      <c r="L135" s="13">
        <v>-0.7584000000000001</v>
      </c>
      <c r="M135" t="inlineStr">
        <is>
          <t>True</t>
        </is>
      </c>
      <c r="N135" t="inlineStr">
        <is>
          <t>Grocery &amp; Gourmet Food</t>
        </is>
      </c>
      <c r="O135" s="6">
        <v>1035</v>
      </c>
      <c r="P135" s="6">
        <v>1096</v>
      </c>
      <c r="Q135" s="6">
        <v>70</v>
      </c>
      <c r="R135" s="6">
        <v>240</v>
      </c>
      <c r="S135" s="7">
        <v>16.5</v>
      </c>
      <c r="T135" s="7">
        <v>32.46</v>
      </c>
      <c r="U135">
        <v>0</v>
      </c>
      <c r="V135" s="8">
        <v>0</v>
      </c>
      <c r="W135" s="7">
        <v>0</v>
      </c>
      <c r="X135" s="7">
        <v>0</v>
      </c>
      <c r="Y135">
        <v>3.17</v>
      </c>
      <c r="Z135" s="8">
        <v>0</v>
      </c>
      <c r="AB135">
        <v>0</v>
      </c>
      <c r="AC135">
        <v>0</v>
      </c>
      <c r="AD135">
        <v>1</v>
      </c>
      <c r="AE135">
        <v>0</v>
      </c>
      <c r="AF135">
        <v>1</v>
      </c>
      <c r="AG135">
        <v>0</v>
      </c>
      <c r="AH135">
        <v>20</v>
      </c>
      <c r="AI135" t="inlineStr">
        <is>
          <t>False</t>
        </is>
      </c>
      <c r="AJ135" s="2" t="str">
        <f>HYPERLINK("https://keepa.com/#!product/1-B00JLPSTJY", "https://keepa.com/#!product/1-B00JLPSTJY")</f>
      </c>
      <c r="AK135" s="2" t="str">
        <f>HYPERLINK("https://camelcamelcamel.com/search?sq=B00JLPSTJY", "https://camelcamelcamel.com/search?sq=B00JLPSTJY")</f>
      </c>
      <c r="AL135" t="inlineStr">
        <is>
          <t/>
        </is>
      </c>
      <c r="AM135" s="10">
        <v>45417.11111111111</v>
      </c>
      <c r="AN135" t="inlineStr">
        <is>
          <t>Chex Mix Cheddar Snack Mix 8.75 Oz - 5 Pack</t>
        </is>
      </c>
      <c r="AO135" t="inlineStr">
        <is>
          <t>700</t>
        </is>
      </c>
      <c r="AP135" t="inlineStr">
        <is>
          <t>350</t>
        </is>
      </c>
    </row>
    <row r="136">
      <c r="A136" t="inlineStr">
        <is>
          <t>B00JPD5ZJ4</t>
        </is>
      </c>
      <c r="B136" t="inlineStr">
        <is>
          <t>False</t>
        </is>
      </c>
      <c r="C136" t="inlineStr">
        <is>
          <t>B00JPD5ZJ4</t>
        </is>
      </c>
      <c r="D136" t="inlineStr">
        <is>
          <t>Life Extension</t>
        </is>
      </c>
      <c r="E136" t="inlineStr">
        <is>
          <t>False</t>
        </is>
      </c>
      <c r="F136" t="inlineStr">
        <is>
          <t>Life Extension Super Omega-3 Plus EPA/DHA Fish Oil, Sesame Lignans, Olive Extract, Krill &amp; Astaxanthin - Heart, Brain &amp; Joint Health Support - Gluten-Free, Non-GMO - 120 Softgels</t>
        </is>
      </c>
      <c r="G136">
        <v>1</v>
      </c>
      <c r="H136" s="2" t="str">
        <f>HYPERLINK("https://www.amazon.com/dp/B00JPD5ZJ4", "https://www.amazon.com/dp/B00JPD5ZJ4")</f>
      </c>
      <c r="I136" s="3">
        <v>3188</v>
      </c>
      <c r="J136" s="4">
        <v>8.32</v>
      </c>
      <c r="K136" s="5">
        <v>0.2439</v>
      </c>
      <c r="L136" s="15">
        <v>0.5042</v>
      </c>
      <c r="M136" t="inlineStr">
        <is>
          <t>True</t>
        </is>
      </c>
      <c r="N136" t="inlineStr">
        <is>
          <t>Health &amp; Household</t>
        </is>
      </c>
      <c r="O136" s="6">
        <v>8340</v>
      </c>
      <c r="P136" s="6">
        <v>8288</v>
      </c>
      <c r="Q136" s="6">
        <v>6255</v>
      </c>
      <c r="R136" s="6">
        <v>302</v>
      </c>
      <c r="S136" s="7">
        <v>16.5</v>
      </c>
      <c r="T136" s="7">
        <v>34.11</v>
      </c>
      <c r="U136">
        <v>31.21</v>
      </c>
      <c r="V136" s="8">
        <v>0</v>
      </c>
      <c r="W136" s="7">
        <v>0</v>
      </c>
      <c r="X136" s="7">
        <v>0</v>
      </c>
      <c r="Y136">
        <v>0.73</v>
      </c>
      <c r="Z136" s="9">
        <v>1</v>
      </c>
      <c r="AB136">
        <v>0</v>
      </c>
      <c r="AC136">
        <v>0</v>
      </c>
      <c r="AD136">
        <v>6</v>
      </c>
      <c r="AE136">
        <v>2</v>
      </c>
      <c r="AF136">
        <v>4</v>
      </c>
      <c r="AG136">
        <v>1</v>
      </c>
      <c r="AH136">
        <v>1</v>
      </c>
      <c r="AI136" t="inlineStr">
        <is>
          <t>False</t>
        </is>
      </c>
      <c r="AJ136" s="2" t="str">
        <f>HYPERLINK("https://keepa.com/#!product/1-B00JPD5ZJ4", "https://keepa.com/#!product/1-B00JPD5ZJ4")</f>
      </c>
      <c r="AK136" s="2" t="str">
        <f>HYPERLINK("https://camelcamelcamel.com/search?sq=B00JPD5ZJ4", "https://camelcamelcamel.com/search?sq=B00JPD5ZJ4")</f>
      </c>
      <c r="AL136" t="inlineStr">
        <is>
          <t/>
        </is>
      </c>
      <c r="AM136" s="10">
        <v>45417.11111111111</v>
      </c>
      <c r="AN136" t="inlineStr">
        <is>
          <t>Life Extension Super Omega-3 Plus EPA/DHA Fish Oil, Sesame Lignans, Olive Extract, Krill &amp; Astaxanthin - Heart, Brain &amp; Joint Health Support - Gluten-Free, Non-GMO - 120 Softgels</t>
        </is>
      </c>
      <c r="AO136" t="inlineStr">
        <is>
          <t>800</t>
        </is>
      </c>
      <c r="AP136" t="inlineStr">
        <is>
          <t>400</t>
        </is>
      </c>
    </row>
    <row r="137">
      <c r="A137" t="inlineStr">
        <is>
          <t>B00KDVJI3Q</t>
        </is>
      </c>
      <c r="B137" t="inlineStr">
        <is>
          <t>False</t>
        </is>
      </c>
      <c r="C137" t="inlineStr">
        <is>
          <t>B00KDVJI3Q</t>
        </is>
      </c>
      <c r="D137" t="inlineStr">
        <is>
          <t>BLACK+DECKER</t>
        </is>
      </c>
      <c r="E137" t="inlineStr">
        <is>
          <t>False</t>
        </is>
      </c>
      <c r="F137" t="inlineStr">
        <is>
          <t>BLACK+DECKER PBJ2000 FusionBlade 20 Ounce BPA-Free Personal Blender Jars (2-Pack with Travel Lids), Clear</t>
        </is>
      </c>
      <c r="G137">
        <v>1</v>
      </c>
      <c r="H137" s="2" t="str">
        <f>HYPERLINK("https://www.amazon.com/dp/B00KDVJI3Q", "https://www.amazon.com/dp/B00KDVJI3Q")</f>
      </c>
      <c r="I137" s="3">
        <v>126</v>
      </c>
      <c r="J137" s="11">
        <v>0.66</v>
      </c>
      <c r="K137" s="5">
        <v>0.039900000000000005</v>
      </c>
      <c r="L137" s="5">
        <v>0.08800000000000001</v>
      </c>
      <c r="M137" t="inlineStr">
        <is>
          <t>True</t>
        </is>
      </c>
      <c r="N137" t="inlineStr">
        <is>
          <t>Kitchen &amp; Dining</t>
        </is>
      </c>
      <c r="O137" s="6">
        <v>51993</v>
      </c>
      <c r="P137" s="6">
        <v>56758</v>
      </c>
      <c r="Q137" s="6">
        <v>29244</v>
      </c>
      <c r="R137" s="6">
        <v>85</v>
      </c>
      <c r="S137" s="7">
        <v>7.5</v>
      </c>
      <c r="T137" s="7">
        <v>16.54</v>
      </c>
      <c r="U137">
        <v>14.96</v>
      </c>
      <c r="V137" s="8">
        <v>0</v>
      </c>
      <c r="W137" s="7">
        <v>0</v>
      </c>
      <c r="X137" s="7">
        <v>0</v>
      </c>
      <c r="Y137">
        <v>1.21</v>
      </c>
      <c r="Z137" s="9">
        <v>0.31</v>
      </c>
      <c r="AB137">
        <v>0</v>
      </c>
      <c r="AC137">
        <v>0</v>
      </c>
      <c r="AD137">
        <v>8</v>
      </c>
      <c r="AE137">
        <v>1</v>
      </c>
      <c r="AF137">
        <v>4</v>
      </c>
      <c r="AG137">
        <v>1</v>
      </c>
      <c r="AH137">
        <v>0</v>
      </c>
      <c r="AI137" t="inlineStr">
        <is>
          <t>False</t>
        </is>
      </c>
      <c r="AJ137" s="2" t="str">
        <f>HYPERLINK("https://keepa.com/#!product/1-B00KDVJI3Q", "https://keepa.com/#!product/1-B00KDVJI3Q")</f>
      </c>
      <c r="AK137" s="2" t="str">
        <f>HYPERLINK("https://camelcamelcamel.com/search?sq=B00KDVJI3Q", "https://camelcamelcamel.com/search?sq=B00KDVJI3Q")</f>
      </c>
      <c r="AL137" t="inlineStr">
        <is>
          <t/>
        </is>
      </c>
      <c r="AM137" s="10">
        <v>45417.11111111111</v>
      </c>
      <c r="AN137" t="inlineStr">
        <is>
          <t>BLACK+DECKER PBJ2000 FusionBlade 20 Ounce BPA-Free Personal Blender Jars (2-Pack with Travel Lids)</t>
        </is>
      </c>
      <c r="AO137" t="inlineStr">
        <is>
          <t>450</t>
        </is>
      </c>
      <c r="AP137" t="inlineStr">
        <is>
          <t>TAKE ALL</t>
        </is>
      </c>
    </row>
    <row r="138">
      <c r="A138" t="inlineStr">
        <is>
          <t>B00KL8SM92</t>
        </is>
      </c>
      <c r="B138" t="inlineStr">
        <is>
          <t>False</t>
        </is>
      </c>
      <c r="C138" t="inlineStr">
        <is>
          <t>B00KL8SM92</t>
        </is>
      </c>
      <c r="D138" t="inlineStr">
        <is>
          <t>West Bend</t>
        </is>
      </c>
      <c r="E138" t="inlineStr">
        <is>
          <t>False</t>
        </is>
      </c>
      <c r="F138" t="inlineStr">
        <is>
          <t>West Bend Stir Crazy Popcorn Machine Electric Hot Oil Popper Includes Large Lid for Serving Bowl and Convenient Nesting Storage, 6-Quart, Red</t>
        </is>
      </c>
      <c r="G138">
        <v>1</v>
      </c>
      <c r="H138" s="2" t="str">
        <f>HYPERLINK("https://www.amazon.com/dp/B00KL8SM92", "https://www.amazon.com/dp/B00KL8SM92")</f>
      </c>
      <c r="I138" s="3">
        <v>6069</v>
      </c>
      <c r="J138" s="12">
        <v>-10.05</v>
      </c>
      <c r="K138" s="13">
        <v>-0.3467</v>
      </c>
      <c r="L138" s="13">
        <v>-0.3865</v>
      </c>
      <c r="M138" t="inlineStr">
        <is>
          <t>True</t>
        </is>
      </c>
      <c r="N138" t="inlineStr">
        <is>
          <t>Kitchen &amp; Dining</t>
        </is>
      </c>
      <c r="O138" s="6">
        <v>625</v>
      </c>
      <c r="P138" s="6">
        <v>939</v>
      </c>
      <c r="Q138" s="6">
        <v>497</v>
      </c>
      <c r="R138" s="6">
        <v>382</v>
      </c>
      <c r="S138" s="7">
        <v>26</v>
      </c>
      <c r="T138" s="7">
        <v>28.99</v>
      </c>
      <c r="U138">
        <v>31.51</v>
      </c>
      <c r="V138" s="8">
        <v>0</v>
      </c>
      <c r="W138" s="7">
        <v>0</v>
      </c>
      <c r="X138" s="7">
        <v>0</v>
      </c>
      <c r="Y138">
        <v>4.56</v>
      </c>
      <c r="Z138" s="9">
        <v>1</v>
      </c>
      <c r="AB138">
        <v>0</v>
      </c>
      <c r="AC138">
        <v>0</v>
      </c>
      <c r="AD138">
        <v>31</v>
      </c>
      <c r="AE138">
        <v>22</v>
      </c>
      <c r="AF138">
        <v>4</v>
      </c>
      <c r="AG138">
        <v>4</v>
      </c>
      <c r="AH138">
        <v>3</v>
      </c>
      <c r="AI138" t="inlineStr">
        <is>
          <t>False</t>
        </is>
      </c>
      <c r="AJ138" s="2" t="str">
        <f>HYPERLINK("https://keepa.com/#!product/1-B00KL8SM92", "https://keepa.com/#!product/1-B00KL8SM92")</f>
      </c>
      <c r="AK138" s="2" t="str">
        <f>HYPERLINK("https://camelcamelcamel.com/search?sq=B00KL8SM92", "https://camelcamelcamel.com/search?sq=B00KL8SM92")</f>
      </c>
      <c r="AL138" t="inlineStr">
        <is>
          <t/>
        </is>
      </c>
      <c r="AM138" s="10">
        <v>45417.11111111111</v>
      </c>
      <c r="AN138" t="inlineStr">
        <is>
          <t>West Bend Stir Crazy Popcorn Machine Electric Hot Oil Popper Includes Large Lid for Serving Bowl and Convenient Nesting Storage, 6-Quart, Red</t>
        </is>
      </c>
      <c r="AO138" t="inlineStr">
        <is>
          <t>1000</t>
        </is>
      </c>
      <c r="AP138" t="inlineStr">
        <is>
          <t>TAKE ALL</t>
        </is>
      </c>
    </row>
    <row r="139">
      <c r="A139" t="inlineStr">
        <is>
          <t>B00KQU1ENG</t>
        </is>
      </c>
      <c r="B139" t="inlineStr">
        <is>
          <t>False</t>
        </is>
      </c>
      <c r="C139" t="inlineStr">
        <is>
          <t>B00KQU1ENG</t>
        </is>
      </c>
      <c r="D139" t="inlineStr">
        <is>
          <t>DEWALT</t>
        </is>
      </c>
      <c r="E139" t="inlineStr">
        <is>
          <t>True</t>
        </is>
      </c>
      <c r="F139" t="inlineStr">
        <is>
          <t>DEWALT 20V MAX XR Battery, 5 Ah, 2-Pack (DCB205-2)</t>
        </is>
      </c>
      <c r="G139">
        <v>1</v>
      </c>
      <c r="H139" s="2" t="str">
        <f>HYPERLINK("https://www.amazon.com/dp/B00KQU1ENG", "https://www.amazon.com/dp/B00KQU1ENG")</f>
      </c>
      <c r="I139" s="3">
        <v>4211</v>
      </c>
      <c r="J139" s="4">
        <v>15.73</v>
      </c>
      <c r="K139" s="5">
        <v>0.114</v>
      </c>
      <c r="L139" s="5">
        <v>0.16219999999999998</v>
      </c>
      <c r="M139" t="inlineStr">
        <is>
          <t>True</t>
        </is>
      </c>
      <c r="N139" t="inlineStr">
        <is>
          <t>Tools &amp; Home Improvement</t>
        </is>
      </c>
      <c r="O139" s="6">
        <v>1318</v>
      </c>
      <c r="P139" s="6">
        <v>1887</v>
      </c>
      <c r="Q139" s="6">
        <v>446</v>
      </c>
      <c r="R139" s="6">
        <v>308</v>
      </c>
      <c r="S139" s="7">
        <v>97</v>
      </c>
      <c r="T139" s="7">
        <v>138</v>
      </c>
      <c r="U139">
        <v>150.12</v>
      </c>
      <c r="V139" s="8">
        <v>0</v>
      </c>
      <c r="W139" s="7">
        <v>0</v>
      </c>
      <c r="X139" s="7">
        <v>0</v>
      </c>
      <c r="Y139">
        <v>3.06</v>
      </c>
      <c r="Z139" s="9">
        <v>0.58</v>
      </c>
      <c r="AB139">
        <v>0</v>
      </c>
      <c r="AC139">
        <v>0</v>
      </c>
      <c r="AD139">
        <v>21</v>
      </c>
      <c r="AE139">
        <v>0</v>
      </c>
      <c r="AF139">
        <v>4</v>
      </c>
      <c r="AG139">
        <v>1</v>
      </c>
      <c r="AH139">
        <v>2</v>
      </c>
      <c r="AI139" t="inlineStr">
        <is>
          <t>True</t>
        </is>
      </c>
      <c r="AJ139" s="2" t="str">
        <f>HYPERLINK("https://keepa.com/#!product/1-B00KQU1ENG", "https://keepa.com/#!product/1-B00KQU1ENG")</f>
      </c>
      <c r="AK139" s="2" t="str">
        <f>HYPERLINK("https://camelcamelcamel.com/search?sq=B00KQU1ENG", "https://camelcamelcamel.com/search?sq=B00KQU1ENG")</f>
      </c>
      <c r="AL139" t="inlineStr">
        <is>
          <t/>
        </is>
      </c>
      <c r="AM139" s="10">
        <v>45417.11111111111</v>
      </c>
      <c r="AN139" t="inlineStr">
        <is>
          <t>DEWALT 20V MAX XR Battery, 5 Ah, 2-Pack (DCB205-2)</t>
        </is>
      </c>
      <c r="AO139" t="inlineStr">
        <is>
          <t>300</t>
        </is>
      </c>
      <c r="AP139" t="inlineStr">
        <is>
          <t>TAKE ALL</t>
        </is>
      </c>
    </row>
    <row r="140">
      <c r="A140" t="inlineStr">
        <is>
          <t>B00KXARZE6</t>
        </is>
      </c>
      <c r="B140" t="inlineStr">
        <is>
          <t>False</t>
        </is>
      </c>
      <c r="C140" t="inlineStr">
        <is>
          <t>B00KXARZE6</t>
        </is>
      </c>
      <c r="D140" t="inlineStr">
        <is>
          <t>Babyganics</t>
        </is>
      </c>
      <c r="E140" t="inlineStr">
        <is>
          <t>False</t>
        </is>
      </c>
      <c r="F140" t="inlineStr">
        <is>
          <t>Babyganics All Purpose Surface Wipes, Fragrance Free, 75 Count (Pack of 2), Plant Based and Non-Abrasive, No Ammonia, No Bleach</t>
        </is>
      </c>
      <c r="G140">
        <v>1</v>
      </c>
      <c r="H140" s="2" t="str">
        <f>HYPERLINK("https://www.amazon.com/dp/B00KXARZE6", "https://www.amazon.com/dp/B00KXARZE6")</f>
      </c>
      <c r="I140" s="3">
        <v>5214</v>
      </c>
      <c r="J140" s="12">
        <v>-6.81</v>
      </c>
      <c r="K140" s="13">
        <v>-0.45280000000000004</v>
      </c>
      <c r="L140" s="13">
        <v>-0.5448</v>
      </c>
      <c r="M140" t="inlineStr">
        <is>
          <t>True</t>
        </is>
      </c>
      <c r="N140" t="inlineStr">
        <is>
          <t>Baby</t>
        </is>
      </c>
      <c r="O140" s="6">
        <v>937</v>
      </c>
      <c r="P140" s="6">
        <v>5832</v>
      </c>
      <c r="Q140" s="6">
        <v>663</v>
      </c>
      <c r="R140" s="6">
        <v>251</v>
      </c>
      <c r="S140" s="7">
        <v>12.5</v>
      </c>
      <c r="T140" s="7">
        <v>15.04</v>
      </c>
      <c r="U140">
        <v>21.15</v>
      </c>
      <c r="V140" s="8">
        <v>0</v>
      </c>
      <c r="W140" s="7">
        <v>0</v>
      </c>
      <c r="X140" s="7">
        <v>0</v>
      </c>
      <c r="Y140">
        <v>2.47</v>
      </c>
      <c r="Z140" s="9">
        <v>0.4</v>
      </c>
      <c r="AB140">
        <v>0</v>
      </c>
      <c r="AC140">
        <v>0</v>
      </c>
      <c r="AD140">
        <v>11</v>
      </c>
      <c r="AE140">
        <v>5</v>
      </c>
      <c r="AF140">
        <v>6</v>
      </c>
      <c r="AG140">
        <v>1</v>
      </c>
      <c r="AH140">
        <v>0</v>
      </c>
      <c r="AI140" t="inlineStr">
        <is>
          <t>False</t>
        </is>
      </c>
      <c r="AJ140" s="2" t="str">
        <f>HYPERLINK("https://keepa.com/#!product/1-B00KXARZE6", "https://keepa.com/#!product/1-B00KXARZE6")</f>
      </c>
      <c r="AK140" s="2" t="str">
        <f>HYPERLINK("https://camelcamelcamel.com/search?sq=B00KXARZE6", "https://camelcamelcamel.com/search?sq=B00KXARZE6")</f>
      </c>
      <c r="AL140" t="inlineStr">
        <is>
          <t/>
        </is>
      </c>
      <c r="AM140" s="10">
        <v>45417.11111111111</v>
      </c>
      <c r="AN140" t="inlineStr">
        <is>
          <t>Babyganics All Purpose Surface Wipes, Fragrance Free, 75 Count (Pack of 2), Plant Based and Non-Abrasive, No Ammonia, No Bleach</t>
        </is>
      </c>
      <c r="AO140" t="inlineStr">
        <is>
          <t>15000</t>
        </is>
      </c>
      <c r="AP140" t="inlineStr">
        <is>
          <t>2500</t>
        </is>
      </c>
    </row>
    <row r="141">
      <c r="A141" t="inlineStr">
        <is>
          <t>B00L5M26DQ</t>
        </is>
      </c>
      <c r="B141" t="inlineStr">
        <is>
          <t>False</t>
        </is>
      </c>
      <c r="C141" t="inlineStr">
        <is>
          <t>B00L5M26DQ</t>
        </is>
      </c>
      <c r="D141" t="inlineStr">
        <is>
          <t>Oral-B</t>
        </is>
      </c>
      <c r="E141" t="inlineStr">
        <is>
          <t>True</t>
        </is>
      </c>
      <c r="F141" t="inlineStr">
        <is>
          <t>Braun Oral-B Cross Action Replacement Toothbrush Heads</t>
        </is>
      </c>
      <c r="G141">
        <v>1</v>
      </c>
      <c r="H141" s="2" t="str">
        <f>HYPERLINK("https://www.amazon.com/dp/B00L5M26DQ", "https://www.amazon.com/dp/B00L5M26DQ")</f>
      </c>
      <c r="I141" s="3">
        <v>11289</v>
      </c>
      <c r="J141" s="4">
        <v>4.63</v>
      </c>
      <c r="K141" s="5">
        <v>0.1378</v>
      </c>
      <c r="L141" s="5">
        <v>0.23149999999999998</v>
      </c>
      <c r="M141" t="inlineStr">
        <is>
          <t>True</t>
        </is>
      </c>
      <c r="N141" t="inlineStr">
        <is>
          <t>Health &amp; Household</t>
        </is>
      </c>
      <c r="O141" s="6">
        <v>2056</v>
      </c>
      <c r="P141" s="6">
        <v>2027</v>
      </c>
      <c r="Q141" s="6">
        <v>378</v>
      </c>
      <c r="R141" s="6">
        <v>215</v>
      </c>
      <c r="S141" s="7">
        <v>20</v>
      </c>
      <c r="T141" s="7">
        <v>33.59</v>
      </c>
      <c r="U141">
        <v>38.96</v>
      </c>
      <c r="V141" s="8">
        <v>0</v>
      </c>
      <c r="W141" s="7">
        <v>0</v>
      </c>
      <c r="X141" s="7">
        <v>0</v>
      </c>
      <c r="Y141">
        <v>0.18</v>
      </c>
      <c r="Z141" s="8">
        <v>0</v>
      </c>
      <c r="AB141">
        <v>0</v>
      </c>
      <c r="AC141">
        <v>0</v>
      </c>
      <c r="AD141">
        <v>20</v>
      </c>
      <c r="AE141">
        <v>17</v>
      </c>
      <c r="AF141">
        <v>3</v>
      </c>
      <c r="AG141">
        <v>5</v>
      </c>
      <c r="AH141">
        <v>5</v>
      </c>
      <c r="AI141" t="inlineStr">
        <is>
          <t>False</t>
        </is>
      </c>
      <c r="AJ141" s="2" t="str">
        <f>HYPERLINK("https://keepa.com/#!product/1-B00L5M26DQ", "https://keepa.com/#!product/1-B00L5M26DQ")</f>
      </c>
      <c r="AK141" s="2" t="str">
        <f>HYPERLINK("https://camelcamelcamel.com/search?sq=B00L5M26DQ", "https://camelcamelcamel.com/search?sq=B00L5M26DQ")</f>
      </c>
      <c r="AL141" t="inlineStr">
        <is>
          <t/>
        </is>
      </c>
      <c r="AM141" s="10">
        <v>45417.11111111111</v>
      </c>
      <c r="AN141" t="inlineStr">
        <is>
          <t>Braun Oral-B Cross Action Replacement Toothbrush Heads</t>
        </is>
      </c>
      <c r="AO141" t="inlineStr">
        <is>
          <t>3000</t>
        </is>
      </c>
      <c r="AP141" t="inlineStr">
        <is>
          <t>500</t>
        </is>
      </c>
    </row>
    <row r="142">
      <c r="A142" t="inlineStr">
        <is>
          <t>B00L6Y3R4A</t>
        </is>
      </c>
      <c r="B142" t="inlineStr">
        <is>
          <t>False</t>
        </is>
      </c>
      <c r="C142" t="inlineStr">
        <is>
          <t>B00L6Y3R4A</t>
        </is>
      </c>
      <c r="D142" t="inlineStr">
        <is>
          <t>Glade</t>
        </is>
      </c>
      <c r="E142" t="inlineStr">
        <is>
          <t>False</t>
        </is>
      </c>
      <c r="F142" t="inlineStr">
        <is>
          <t>Glade Wax Melts Apple Cinnamon 8 ct. (Pack of 2)</t>
        </is>
      </c>
      <c r="G142">
        <v>2</v>
      </c>
      <c r="H142" s="2" t="str">
        <f>HYPERLINK("https://www.amazon.com/dp/B00L6Y3R4A", "https://www.amazon.com/dp/B00L6Y3R4A")</f>
      </c>
      <c r="I142" s="3">
        <v>385</v>
      </c>
      <c r="J142" s="12">
        <v>-18.67</v>
      </c>
      <c r="K142" s="13">
        <v>-3.734</v>
      </c>
      <c r="L142" s="13">
        <v>-0.9573999999999999</v>
      </c>
      <c r="M142" t="inlineStr">
        <is>
          <t>True</t>
        </is>
      </c>
      <c r="N142" t="inlineStr">
        <is>
          <t>Health &amp; Household</t>
        </is>
      </c>
      <c r="O142" s="6">
        <v>44656</v>
      </c>
      <c r="P142" s="6">
        <v>54231</v>
      </c>
      <c r="Q142" s="6">
        <v>35508</v>
      </c>
      <c r="R142" s="6">
        <v>133</v>
      </c>
      <c r="S142" s="7">
        <v>9.75</v>
      </c>
      <c r="T142" s="7">
        <v>5</v>
      </c>
      <c r="U142">
        <v>8.99</v>
      </c>
      <c r="V142" s="8">
        <v>0</v>
      </c>
      <c r="W142" s="7">
        <v>0</v>
      </c>
      <c r="X142" s="7">
        <v>0</v>
      </c>
      <c r="Y142">
        <v>0.46</v>
      </c>
      <c r="Z142" s="8">
        <v>0</v>
      </c>
      <c r="AB142">
        <v>0</v>
      </c>
      <c r="AC142">
        <v>0</v>
      </c>
      <c r="AD142">
        <v>13</v>
      </c>
      <c r="AE142">
        <v>6</v>
      </c>
      <c r="AF142">
        <v>6</v>
      </c>
      <c r="AG142">
        <v>2</v>
      </c>
      <c r="AH142">
        <v>12</v>
      </c>
      <c r="AI142" t="inlineStr">
        <is>
          <t>False</t>
        </is>
      </c>
      <c r="AJ142" s="2" t="str">
        <f>HYPERLINK("https://keepa.com/#!product/1-B00L6Y3R4A", "https://keepa.com/#!product/1-B00L6Y3R4A")</f>
      </c>
      <c r="AK142" s="2" t="str">
        <f>HYPERLINK("https://camelcamelcamel.com/search?sq=B00L6Y3R4A", "https://camelcamelcamel.com/search?sq=B00L6Y3R4A")</f>
      </c>
      <c r="AL142" t="inlineStr">
        <is>
          <t/>
        </is>
      </c>
      <c r="AM142" s="10">
        <v>45417.11111111111</v>
      </c>
      <c r="AN142" t="inlineStr">
        <is>
          <t>Glade Wax Melts Apple Cinnamon 8 ct. (Pack of 2)</t>
        </is>
      </c>
      <c r="AO142" t="inlineStr">
        <is>
          <t>900</t>
        </is>
      </c>
      <c r="AP142" t="inlineStr">
        <is>
          <t>TAKE ALL</t>
        </is>
      </c>
    </row>
    <row r="143">
      <c r="A143" t="inlineStr">
        <is>
          <t>B00L9Q3A5Q</t>
        </is>
      </c>
      <c r="B143" t="inlineStr">
        <is>
          <t>False</t>
        </is>
      </c>
      <c r="C143" t="inlineStr">
        <is>
          <t>B00L9Q3A5Q</t>
        </is>
      </c>
      <c r="D143" t="inlineStr">
        <is>
          <t>Coast</t>
        </is>
      </c>
      <c r="E143" t="inlineStr">
        <is>
          <t>False</t>
        </is>
      </c>
      <c r="F143" t="inlineStr">
        <is>
          <t>Coast 2-in-1 Hair and Body Wash, Classic Scent - Men's Body Wash, Shampoo &amp; Conditioner - 6 Pack x 18 Fl Oz - Moisturizing &amp; Refreshing Rich Lather for Energized And Clean Skin</t>
        </is>
      </c>
      <c r="G143">
        <v>6</v>
      </c>
      <c r="H143" s="2" t="str">
        <f>HYPERLINK("https://www.amazon.com/dp/B00L9Q3A5Q", "https://www.amazon.com/dp/B00L9Q3A5Q")</f>
      </c>
      <c r="I143" s="3">
        <v>80</v>
      </c>
      <c r="M143" t="inlineStr">
        <is>
          <t>True</t>
        </is>
      </c>
      <c r="N143" t="inlineStr">
        <is>
          <t>Beauty &amp; Personal Care</t>
        </is>
      </c>
      <c r="O143" s="6">
        <v>108564</v>
      </c>
      <c r="P143" s="6">
        <v>34499</v>
      </c>
      <c r="Q143" s="6">
        <v>12164</v>
      </c>
      <c r="R143" s="6">
        <v>198</v>
      </c>
      <c r="S143" s="7">
        <v>14.5</v>
      </c>
      <c r="U143">
        <v>24.35</v>
      </c>
      <c r="X143" s="7">
        <v>0</v>
      </c>
      <c r="Y143">
        <v>8.18</v>
      </c>
      <c r="Z143" s="9">
        <v>0.42</v>
      </c>
      <c r="AB143">
        <v>0</v>
      </c>
      <c r="AC143">
        <v>0</v>
      </c>
      <c r="AD143">
        <v>0</v>
      </c>
      <c r="AE143">
        <v>0</v>
      </c>
      <c r="AF143">
        <v>0</v>
      </c>
      <c r="AG143">
        <v>0</v>
      </c>
      <c r="AH143">
        <v>0</v>
      </c>
      <c r="AI143" t="inlineStr">
        <is>
          <t>False</t>
        </is>
      </c>
      <c r="AJ143" s="2" t="str">
        <f>HYPERLINK("https://keepa.com/#!product/1-B00L9Q3A5Q", "https://keepa.com/#!product/1-B00L9Q3A5Q")</f>
      </c>
      <c r="AK143" s="2" t="str">
        <f>HYPERLINK("https://camelcamelcamel.com/search?sq=B00L9Q3A5Q", "https://camelcamelcamel.com/search?sq=B00L9Q3A5Q")</f>
      </c>
      <c r="AL143" t="inlineStr">
        <is>
          <t/>
        </is>
      </c>
      <c r="AM143" s="10">
        <v>45417.11111111111</v>
      </c>
      <c r="AN143" t="inlineStr">
        <is>
          <t>Coast 2-in-1 Hair and Body Wash, Classic Scent - Men's Body Wash, Shampoo &amp; Conditioner - 6 Pack x 18 Fl Oz - Moisturizing &amp; Refreshing Rich Lather for Energized And Clean Skin</t>
        </is>
      </c>
      <c r="AO143" t="inlineStr">
        <is>
          <t>200</t>
        </is>
      </c>
      <c r="AP143" t="inlineStr">
        <is>
          <t>TAKE ALL</t>
        </is>
      </c>
    </row>
    <row r="144">
      <c r="A144" t="inlineStr">
        <is>
          <t>B00LILH3V4</t>
        </is>
      </c>
      <c r="B144" t="inlineStr">
        <is>
          <t>False</t>
        </is>
      </c>
      <c r="C144" t="inlineStr">
        <is>
          <t>B00LILH3V4</t>
        </is>
      </c>
      <c r="D144" t="inlineStr">
        <is>
          <t>Amazon Basics</t>
        </is>
      </c>
      <c r="E144" t="inlineStr">
        <is>
          <t>False</t>
        </is>
      </c>
      <c r="F144" t="inlineStr">
        <is>
          <t>Amazon Basics 46,000 BTU (13489.74 watts) Outdoor Propane Patio Heater with Wheels, Commercial &amp; Residential, Havana Bronze, 32.1 x 32.1 x 91.3 inches (LxWxH)</t>
        </is>
      </c>
      <c r="G144">
        <v>1</v>
      </c>
      <c r="H144" s="2" t="str">
        <f>HYPERLINK("https://www.amazon.com/dp/B00LILH3V4", "https://www.amazon.com/dp/B00LILH3V4")</f>
      </c>
      <c r="I144" s="3">
        <v>832</v>
      </c>
      <c r="J144" s="12">
        <v>-12.27</v>
      </c>
      <c r="K144" s="13">
        <v>-0.09369999999999999</v>
      </c>
      <c r="L144" s="13">
        <v>-0.1917</v>
      </c>
      <c r="M144" t="inlineStr">
        <is>
          <t>True</t>
        </is>
      </c>
      <c r="N144" t="inlineStr">
        <is>
          <t>Patio, Lawn &amp; Garden</t>
        </is>
      </c>
      <c r="O144" s="6">
        <v>8818</v>
      </c>
      <c r="P144" s="6">
        <v>5435</v>
      </c>
      <c r="Q144" s="6">
        <v>1</v>
      </c>
      <c r="R144" s="6">
        <v>277</v>
      </c>
      <c r="S144" s="7">
        <v>64</v>
      </c>
      <c r="T144" s="7">
        <v>130.94</v>
      </c>
      <c r="U144">
        <v>146.06</v>
      </c>
      <c r="V144" s="8">
        <v>0</v>
      </c>
      <c r="W144" s="7">
        <v>0</v>
      </c>
      <c r="X144" s="7">
        <v>0</v>
      </c>
      <c r="Y144">
        <v>43.55</v>
      </c>
      <c r="Z144" s="9">
        <v>1</v>
      </c>
      <c r="AB144">
        <v>0</v>
      </c>
      <c r="AC144">
        <v>0</v>
      </c>
      <c r="AD144">
        <v>3</v>
      </c>
      <c r="AE144">
        <v>1</v>
      </c>
      <c r="AF144">
        <v>0</v>
      </c>
      <c r="AG144">
        <v>1</v>
      </c>
      <c r="AH144">
        <v>2</v>
      </c>
      <c r="AI144" t="inlineStr">
        <is>
          <t>False</t>
        </is>
      </c>
      <c r="AJ144" s="2" t="str">
        <f>HYPERLINK("https://keepa.com/#!product/1-B00LILH3V4", "https://keepa.com/#!product/1-B00LILH3V4")</f>
      </c>
      <c r="AK144" s="2" t="str">
        <f>HYPERLINK("https://camelcamelcamel.com/search?sq=B00LILH3V4", "https://camelcamelcamel.com/search?sq=B00LILH3V4")</f>
      </c>
      <c r="AL144" t="inlineStr">
        <is>
          <t/>
        </is>
      </c>
      <c r="AM144" s="10">
        <v>45417.11111111111</v>
      </c>
      <c r="AN144" t="inlineStr">
        <is>
          <t>Amazon Basics 46,000 BTU Outdoor Propane Patio Heater with Wheels, Commercial &amp; Residential, Havana Bronze, 32.1 x 32.1 x 91.3 inches (LxWxH)</t>
        </is>
      </c>
      <c r="AO144" t="inlineStr">
        <is>
          <t>250</t>
        </is>
      </c>
      <c r="AP144" t="inlineStr">
        <is>
          <t>TAKE ALL</t>
        </is>
      </c>
    </row>
    <row r="145">
      <c r="A145" t="inlineStr">
        <is>
          <t>B00LZSJ642</t>
        </is>
      </c>
      <c r="B145" t="inlineStr">
        <is>
          <t>False</t>
        </is>
      </c>
      <c r="C145" t="inlineStr">
        <is>
          <t>B00LZSJ642</t>
        </is>
      </c>
      <c r="D145" t="inlineStr">
        <is>
          <t>Gatorade</t>
        </is>
      </c>
      <c r="E145" t="inlineStr">
        <is>
          <t>False</t>
        </is>
      </c>
      <c r="F145" t="inlineStr">
        <is>
          <t>Gatorade 32 Oz Squeeze Water Sports Bottle - Pack of 2 - New Easy Grip Design</t>
        </is>
      </c>
      <c r="G145">
        <v>1</v>
      </c>
      <c r="H145" s="2" t="str">
        <f>HYPERLINK("https://www.amazon.com/dp/B00LZSJ642", "https://www.amazon.com/dp/B00LZSJ642")</f>
      </c>
      <c r="I145" s="3">
        <v>8451</v>
      </c>
      <c r="J145" s="12">
        <v>-0.55</v>
      </c>
      <c r="K145" s="13">
        <v>-0.0355</v>
      </c>
      <c r="L145" s="13">
        <v>-0.0733</v>
      </c>
      <c r="M145" t="inlineStr">
        <is>
          <t>True</t>
        </is>
      </c>
      <c r="N145" t="inlineStr">
        <is>
          <t>Sports &amp; Outdoors</t>
        </is>
      </c>
      <c r="O145" s="6">
        <v>336</v>
      </c>
      <c r="P145" s="6">
        <v>444</v>
      </c>
      <c r="Q145" s="6">
        <v>132</v>
      </c>
      <c r="R145" s="6">
        <v>306</v>
      </c>
      <c r="S145" s="7">
        <v>7.5</v>
      </c>
      <c r="T145" s="7">
        <v>15.49</v>
      </c>
      <c r="U145">
        <v>16.1</v>
      </c>
      <c r="V145" s="8">
        <v>0</v>
      </c>
      <c r="W145" s="7">
        <v>0</v>
      </c>
      <c r="X145" s="7">
        <v>0</v>
      </c>
      <c r="Y145">
        <v>0.33</v>
      </c>
      <c r="Z145" s="9">
        <v>0.02</v>
      </c>
      <c r="AB145">
        <v>0</v>
      </c>
      <c r="AC145">
        <v>0</v>
      </c>
      <c r="AD145">
        <v>9</v>
      </c>
      <c r="AE145">
        <v>4</v>
      </c>
      <c r="AF145">
        <v>5</v>
      </c>
      <c r="AG145">
        <v>2</v>
      </c>
      <c r="AH145">
        <v>0</v>
      </c>
      <c r="AI145" t="inlineStr">
        <is>
          <t>False</t>
        </is>
      </c>
      <c r="AJ145" s="2" t="str">
        <f>HYPERLINK("https://keepa.com/#!product/1-B00LZSJ642", "https://keepa.com/#!product/1-B00LZSJ642")</f>
      </c>
      <c r="AK145" s="2" t="str">
        <f>HYPERLINK("https://camelcamelcamel.com/search?sq=B00LZSJ642", "https://camelcamelcamel.com/search?sq=B00LZSJ642")</f>
      </c>
      <c r="AL145" t="inlineStr">
        <is>
          <t/>
        </is>
      </c>
      <c r="AM145" s="10">
        <v>45417.11111111111</v>
      </c>
      <c r="AN145" t="inlineStr">
        <is>
          <t>Gatorade 32 Oz Squeeze Water Sports Bottle - Pack of 2 - New Easy Grip Design</t>
        </is>
      </c>
      <c r="AO145" t="inlineStr">
        <is>
          <t>1000</t>
        </is>
      </c>
      <c r="AP145" t="inlineStr">
        <is>
          <t>TAKE ALL</t>
        </is>
      </c>
    </row>
    <row r="146">
      <c r="A146" t="inlineStr">
        <is>
          <t>B00N54VVPQ</t>
        </is>
      </c>
      <c r="B146" t="inlineStr">
        <is>
          <t>False</t>
        </is>
      </c>
      <c r="C146" t="inlineStr">
        <is>
          <t>B00N54VVPQ</t>
        </is>
      </c>
      <c r="D146" t="inlineStr">
        <is>
          <t>Preparation H</t>
        </is>
      </c>
      <c r="E146" t="inlineStr">
        <is>
          <t>False</t>
        </is>
      </c>
      <c r="F146" t="inlineStr">
        <is>
          <t>Preparation H Hemorrhoidal Ointment 2 Ounce Tube (Pack of 2)</t>
        </is>
      </c>
      <c r="G146">
        <v>1</v>
      </c>
      <c r="H146" s="2" t="str">
        <f>HYPERLINK("https://www.amazon.com/dp/B00N54VVPQ", "https://www.amazon.com/dp/B00N54VVPQ")</f>
      </c>
      <c r="I146" s="3">
        <v>451</v>
      </c>
      <c r="J146" s="4">
        <v>4.64</v>
      </c>
      <c r="K146" s="5">
        <v>0.17300000000000001</v>
      </c>
      <c r="L146" s="15">
        <v>0.3256</v>
      </c>
      <c r="M146" t="inlineStr">
        <is>
          <t>True</t>
        </is>
      </c>
      <c r="N146" t="inlineStr">
        <is>
          <t>Health &amp; Household</t>
        </is>
      </c>
      <c r="O146" s="6">
        <v>39864</v>
      </c>
      <c r="P146" s="6">
        <v>78162</v>
      </c>
      <c r="Q146" s="6">
        <v>25978</v>
      </c>
      <c r="R146" s="6">
        <v>184</v>
      </c>
      <c r="S146" s="7">
        <v>14.25</v>
      </c>
      <c r="T146" s="7">
        <v>26.82</v>
      </c>
      <c r="U146">
        <v>23.73</v>
      </c>
      <c r="V146" s="8">
        <v>0</v>
      </c>
      <c r="W146" s="7">
        <v>0</v>
      </c>
      <c r="X146" s="7">
        <v>0</v>
      </c>
      <c r="Y146">
        <v>0.33</v>
      </c>
      <c r="Z146" s="8">
        <v>0</v>
      </c>
      <c r="AB146">
        <v>0</v>
      </c>
      <c r="AC146">
        <v>0</v>
      </c>
      <c r="AD146">
        <v>10</v>
      </c>
      <c r="AE146">
        <v>5</v>
      </c>
      <c r="AF146">
        <v>5</v>
      </c>
      <c r="AG146">
        <v>2</v>
      </c>
      <c r="AH146">
        <v>0</v>
      </c>
      <c r="AI146" t="inlineStr">
        <is>
          <t>False</t>
        </is>
      </c>
      <c r="AJ146" s="2" t="str">
        <f>HYPERLINK("https://keepa.com/#!product/1-B00N54VVPQ", "https://keepa.com/#!product/1-B00N54VVPQ")</f>
      </c>
      <c r="AK146" s="2" t="str">
        <f>HYPERLINK("https://camelcamelcamel.com/search?sq=B00N54VVPQ", "https://camelcamelcamel.com/search?sq=B00N54VVPQ")</f>
      </c>
      <c r="AL146" t="inlineStr">
        <is>
          <t/>
        </is>
      </c>
      <c r="AM146" s="10">
        <v>45417.11111111111</v>
      </c>
      <c r="AN146" t="inlineStr">
        <is>
          <t>Preparation H Hemorrhoidal Ointment 2 Ounce Tube (Pack of 2)</t>
        </is>
      </c>
      <c r="AO146" t="inlineStr">
        <is>
          <t>610</t>
        </is>
      </c>
      <c r="AP146" t="inlineStr">
        <is>
          <t>200</t>
        </is>
      </c>
    </row>
    <row r="147">
      <c r="A147" t="inlineStr">
        <is>
          <t>B00NCR65KM</t>
        </is>
      </c>
      <c r="B147" t="inlineStr">
        <is>
          <t>False</t>
        </is>
      </c>
      <c r="C147" t="inlineStr">
        <is>
          <t>B00NCR65KM</t>
        </is>
      </c>
      <c r="D147" t="inlineStr">
        <is>
          <t>KIWI</t>
        </is>
      </c>
      <c r="E147" t="inlineStr">
        <is>
          <t>False</t>
        </is>
      </c>
      <c r="F147" t="inlineStr">
        <is>
          <t>KIWI Shoe Polish, Brown 1.125 oz. (Pack of 1)</t>
        </is>
      </c>
      <c r="G147">
        <v>1</v>
      </c>
      <c r="H147" s="2" t="str">
        <f>HYPERLINK("https://www.amazon.com/dp/B00NCR65KM", "https://www.amazon.com/dp/B00NCR65KM")</f>
      </c>
      <c r="I147" s="3">
        <v>1545</v>
      </c>
      <c r="J147" s="11">
        <v>0.74</v>
      </c>
      <c r="K147" s="5">
        <v>0.0741</v>
      </c>
      <c r="L147" s="5">
        <v>0.185</v>
      </c>
      <c r="M147" t="inlineStr">
        <is>
          <t>True</t>
        </is>
      </c>
      <c r="N147" t="inlineStr">
        <is>
          <t>Clothing, Shoes &amp; Jewelry</t>
        </is>
      </c>
      <c r="O147" s="6">
        <v>17613</v>
      </c>
      <c r="P147" s="6">
        <v>74240</v>
      </c>
      <c r="Q147" s="6">
        <v>7655</v>
      </c>
      <c r="R147" s="6">
        <v>184</v>
      </c>
      <c r="S147" s="7">
        <v>4</v>
      </c>
      <c r="T147" s="7">
        <v>9.98</v>
      </c>
      <c r="U147">
        <v>9.01</v>
      </c>
      <c r="V147" s="8">
        <v>0</v>
      </c>
      <c r="W147" s="7">
        <v>0</v>
      </c>
      <c r="X147" s="7">
        <v>0</v>
      </c>
      <c r="Y147">
        <v>0.11</v>
      </c>
      <c r="Z147" s="8">
        <v>0</v>
      </c>
      <c r="AB147">
        <v>0</v>
      </c>
      <c r="AC147">
        <v>0</v>
      </c>
      <c r="AD147">
        <v>14</v>
      </c>
      <c r="AE147">
        <v>3</v>
      </c>
      <c r="AF147">
        <v>11</v>
      </c>
      <c r="AG147">
        <v>3</v>
      </c>
      <c r="AH147">
        <v>0</v>
      </c>
      <c r="AI147" t="inlineStr">
        <is>
          <t>True</t>
        </is>
      </c>
      <c r="AJ147" s="2" t="str">
        <f>HYPERLINK("https://keepa.com/#!product/1-B00NCR65KM", "https://keepa.com/#!product/1-B00NCR65KM")</f>
      </c>
      <c r="AK147" s="2" t="str">
        <f>HYPERLINK("https://camelcamelcamel.com/search?sq=B00NCR65KM", "https://camelcamelcamel.com/search?sq=B00NCR65KM")</f>
      </c>
      <c r="AL147" t="inlineStr">
        <is>
          <t/>
        </is>
      </c>
      <c r="AM147" s="10">
        <v>45417.11111111111</v>
      </c>
      <c r="AN147" t="inlineStr">
        <is>
          <t>Kiwi Waxed Shoe Polish, Brown ? 1.125 oz can</t>
        </is>
      </c>
      <c r="AO147" t="inlineStr">
        <is>
          <t>2000</t>
        </is>
      </c>
      <c r="AP147" t="inlineStr">
        <is>
          <t>TAKE ALL</t>
        </is>
      </c>
    </row>
    <row r="148">
      <c r="A148" t="inlineStr">
        <is>
          <t>B00NPNU3VA</t>
        </is>
      </c>
      <c r="B148" t="inlineStr">
        <is>
          <t>False</t>
        </is>
      </c>
      <c r="C148" t="inlineStr">
        <is>
          <t>B00NPNU3VA</t>
        </is>
      </c>
      <c r="D148" t="inlineStr">
        <is>
          <t>Dove</t>
        </is>
      </c>
      <c r="E148" t="inlineStr">
        <is>
          <t>True</t>
        </is>
      </c>
      <c r="F148" t="inlineStr">
        <is>
          <t>Dove Purely Pampering Body Wash 100% Gentle Cleansers, Sulfate Free Shea Butter with Warm Vanilla Sulfate Free Moisturizing Bodywash 22 oz</t>
        </is>
      </c>
      <c r="G148">
        <v>1</v>
      </c>
      <c r="H148" s="2" t="str">
        <f>HYPERLINK("https://www.amazon.com/dp/B00NPNU3VA", "https://www.amazon.com/dp/B00NPNU3VA")</f>
      </c>
      <c r="I148" s="3">
        <v>6655</v>
      </c>
      <c r="J148" s="12">
        <v>-1.57</v>
      </c>
      <c r="K148" s="13">
        <v>-0.11130000000000001</v>
      </c>
      <c r="L148" s="13">
        <v>-0.18469999999999998</v>
      </c>
      <c r="M148" t="inlineStr">
        <is>
          <t>True</t>
        </is>
      </c>
      <c r="N148" t="inlineStr">
        <is>
          <t>Beauty &amp; Personal Care</t>
        </is>
      </c>
      <c r="O148" s="6">
        <v>2512</v>
      </c>
      <c r="P148" s="6">
        <v>2136</v>
      </c>
      <c r="Q148" s="6">
        <v>1715</v>
      </c>
      <c r="R148" s="6">
        <v>514</v>
      </c>
      <c r="S148" s="7">
        <v>8.5</v>
      </c>
      <c r="T148" s="7">
        <v>14.11</v>
      </c>
      <c r="U148">
        <v>0</v>
      </c>
      <c r="V148" s="8">
        <v>0</v>
      </c>
      <c r="W148" s="7">
        <v>0</v>
      </c>
      <c r="X148" s="7">
        <v>0</v>
      </c>
      <c r="Y148">
        <v>1.08</v>
      </c>
      <c r="Z148" s="8">
        <v>0</v>
      </c>
      <c r="AB148">
        <v>0</v>
      </c>
      <c r="AC148">
        <v>0</v>
      </c>
      <c r="AD148">
        <v>8</v>
      </c>
      <c r="AE148">
        <v>7</v>
      </c>
      <c r="AF148">
        <v>1</v>
      </c>
      <c r="AG148">
        <v>0</v>
      </c>
      <c r="AH148">
        <v>10</v>
      </c>
      <c r="AI148" t="inlineStr">
        <is>
          <t>False</t>
        </is>
      </c>
      <c r="AJ148" s="2" t="str">
        <f>HYPERLINK("https://keepa.com/#!product/1-B00NPNU3VA", "https://keepa.com/#!product/1-B00NPNU3VA")</f>
      </c>
      <c r="AK148" s="2" t="str">
        <f>HYPERLINK("https://camelcamelcamel.com/search?sq=B00NPNU3VA", "https://camelcamelcamel.com/search?sq=B00NPNU3VA")</f>
      </c>
      <c r="AL148" t="inlineStr">
        <is>
          <t/>
        </is>
      </c>
      <c r="AM148" s="10">
        <v>45417.11111111111</v>
      </c>
      <c r="AN148" t="inlineStr">
        <is>
          <t>Dove Purely Pampering Body Wash 100% Gentle Cleansers, Sulfate Free Shea Butter with Warm Vanilla Sulfate Free Moisturizing Bodywash 22 oz</t>
        </is>
      </c>
      <c r="AO148" t="inlineStr">
        <is>
          <t>800</t>
        </is>
      </c>
      <c r="AP148" t="inlineStr">
        <is>
          <t>400</t>
        </is>
      </c>
    </row>
    <row r="149">
      <c r="A149" t="inlineStr">
        <is>
          <t>B00OGYSLDE</t>
        </is>
      </c>
      <c r="B149" t="inlineStr">
        <is>
          <t>False</t>
        </is>
      </c>
      <c r="C149" t="inlineStr">
        <is>
          <t>B00OGYSLDE</t>
        </is>
      </c>
      <c r="D149" t="inlineStr">
        <is>
          <t>Vitafusion</t>
        </is>
      </c>
      <c r="E149" t="inlineStr">
        <is>
          <t>False</t>
        </is>
      </c>
      <c r="F149" t="inlineStr">
        <is>
          <t>vitafusion Extra Strength Vitamin D3 Gummy, Strawberry Flavored Bone and Immune System Support (1) 120 Count</t>
        </is>
      </c>
      <c r="G149">
        <v>1</v>
      </c>
      <c r="H149" s="2" t="str">
        <f>HYPERLINK("https://www.amazon.com/dp/B00OGYSLDE", "https://www.amazon.com/dp/B00OGYSLDE")</f>
      </c>
      <c r="I149" s="3">
        <v>8955</v>
      </c>
      <c r="J149" s="11">
        <v>1.39</v>
      </c>
      <c r="K149" s="5">
        <v>0.1439</v>
      </c>
      <c r="L149" s="15">
        <v>0.4277</v>
      </c>
      <c r="M149" t="inlineStr">
        <is>
          <t>True</t>
        </is>
      </c>
      <c r="N149" t="inlineStr">
        <is>
          <t>Health &amp; Household</t>
        </is>
      </c>
      <c r="O149" s="6">
        <v>2746</v>
      </c>
      <c r="P149" s="6">
        <v>2508</v>
      </c>
      <c r="Q149" s="6">
        <v>1763</v>
      </c>
      <c r="R149" s="6">
        <v>308</v>
      </c>
      <c r="S149" s="7">
        <v>3.25</v>
      </c>
      <c r="T149" s="7">
        <v>9.66</v>
      </c>
      <c r="U149">
        <v>10.95</v>
      </c>
      <c r="V149" s="8">
        <v>0</v>
      </c>
      <c r="W149" s="7">
        <v>0</v>
      </c>
      <c r="X149" s="7">
        <v>0</v>
      </c>
      <c r="Y149">
        <v>1.23</v>
      </c>
      <c r="Z149" s="9">
        <v>1</v>
      </c>
      <c r="AB149">
        <v>0</v>
      </c>
      <c r="AC149">
        <v>0</v>
      </c>
      <c r="AD149">
        <v>16</v>
      </c>
      <c r="AE149">
        <v>1</v>
      </c>
      <c r="AF149">
        <v>15</v>
      </c>
      <c r="AG149">
        <v>1</v>
      </c>
      <c r="AH149">
        <v>1</v>
      </c>
      <c r="AI149" t="inlineStr">
        <is>
          <t>False</t>
        </is>
      </c>
      <c r="AJ149" s="2" t="str">
        <f>HYPERLINK("https://keepa.com/#!product/1-B00OGYSLDE", "https://keepa.com/#!product/1-B00OGYSLDE")</f>
      </c>
      <c r="AK149" s="2" t="str">
        <f>HYPERLINK("https://camelcamelcamel.com/search?sq=B00OGYSLDE", "https://camelcamelcamel.com/search?sq=B00OGYSLDE")</f>
      </c>
      <c r="AL149" t="inlineStr">
        <is>
          <t/>
        </is>
      </c>
      <c r="AM149" s="10">
        <v>45417.11111111111</v>
      </c>
      <c r="AN149" t="inlineStr">
        <is>
          <t>vitafusion Extra Strength Vitamin D3 Gummy, Strawberry</t>
        </is>
      </c>
      <c r="AO149" t="inlineStr">
        <is>
          <t>2000</t>
        </is>
      </c>
      <c r="AP149" t="inlineStr">
        <is>
          <t>1000</t>
        </is>
      </c>
    </row>
    <row r="150">
      <c r="A150" t="inlineStr">
        <is>
          <t>B00OJMZSWU</t>
        </is>
      </c>
      <c r="B150" t="inlineStr">
        <is>
          <t>False</t>
        </is>
      </c>
      <c r="C150" t="inlineStr">
        <is>
          <t>B00OJMZSWU</t>
        </is>
      </c>
      <c r="D150" t="inlineStr">
        <is>
          <t>Vitafusion</t>
        </is>
      </c>
      <c r="E150" t="inlineStr">
        <is>
          <t>False</t>
        </is>
      </c>
      <c r="F150" t="inlineStr">
        <is>
          <t>Vitafusion Extra Strength Melatonin Gummy Vitamins, 5mg, 120 ct Gummies</t>
        </is>
      </c>
      <c r="G150">
        <v>1</v>
      </c>
      <c r="H150" s="2" t="str">
        <f>HYPERLINK("https://www.amazon.com/dp/B00OJMZSWU", "https://www.amazon.com/dp/B00OJMZSWU")</f>
      </c>
      <c r="I150" s="3">
        <v>12638</v>
      </c>
      <c r="J150" s="11">
        <v>0.9</v>
      </c>
      <c r="K150" s="5">
        <v>0.0915</v>
      </c>
      <c r="L150" s="5">
        <v>0.1895</v>
      </c>
      <c r="M150" t="inlineStr">
        <is>
          <t>True</t>
        </is>
      </c>
      <c r="N150" t="inlineStr">
        <is>
          <t>Health &amp; Household</t>
        </is>
      </c>
      <c r="O150" s="6">
        <v>1772</v>
      </c>
      <c r="P150" s="6">
        <v>1939</v>
      </c>
      <c r="Q150" s="6">
        <v>1300</v>
      </c>
      <c r="R150" s="6">
        <v>314</v>
      </c>
      <c r="S150" s="7">
        <v>4.75</v>
      </c>
      <c r="T150" s="7">
        <v>9.84</v>
      </c>
      <c r="U150">
        <v>9.28</v>
      </c>
      <c r="V150" s="8">
        <v>0</v>
      </c>
      <c r="W150" s="7">
        <v>0</v>
      </c>
      <c r="X150" s="7">
        <v>0</v>
      </c>
      <c r="Y150">
        <v>0.66</v>
      </c>
      <c r="Z150" s="9">
        <v>1</v>
      </c>
      <c r="AB150">
        <v>0</v>
      </c>
      <c r="AC150">
        <v>0</v>
      </c>
      <c r="AD150">
        <v>13</v>
      </c>
      <c r="AE150">
        <v>2</v>
      </c>
      <c r="AF150">
        <v>11</v>
      </c>
      <c r="AG150">
        <v>2</v>
      </c>
      <c r="AH150">
        <v>1</v>
      </c>
      <c r="AI150" t="inlineStr">
        <is>
          <t>False</t>
        </is>
      </c>
      <c r="AJ150" s="2" t="str">
        <f>HYPERLINK("https://keepa.com/#!product/1-B00OJMZSWU", "https://keepa.com/#!product/1-B00OJMZSWU")</f>
      </c>
      <c r="AK150" s="2" t="str">
        <f>HYPERLINK("https://camelcamelcamel.com/search?sq=B00OJMZSWU", "https://camelcamelcamel.com/search?sq=B00OJMZSWU")</f>
      </c>
      <c r="AL150" t="inlineStr">
        <is>
          <t/>
        </is>
      </c>
      <c r="AM150" s="10">
        <v>45417.11111111111</v>
      </c>
      <c r="AN150" t="inlineStr">
        <is>
          <t>Vitafusion Extra Strength Melatonin Gummy Vitamins, 5mg, 120 ct Gummies</t>
        </is>
      </c>
      <c r="AO150" t="inlineStr">
        <is>
          <t>3000</t>
        </is>
      </c>
      <c r="AP150" t="inlineStr">
        <is>
          <t>876</t>
        </is>
      </c>
    </row>
    <row r="151">
      <c r="A151" t="inlineStr">
        <is>
          <t>B00OND62E8</t>
        </is>
      </c>
      <c r="B151" t="inlineStr">
        <is>
          <t>False</t>
        </is>
      </c>
      <c r="C151" t="inlineStr">
        <is>
          <t>B00OND62E8</t>
        </is>
      </c>
      <c r="D151" t="inlineStr">
        <is>
          <t>Cirepil</t>
        </is>
      </c>
      <c r="E151" t="inlineStr">
        <is>
          <t>False</t>
        </is>
      </c>
      <c r="F151" t="inlineStr">
        <is>
          <t>Cirepil - Intimate - 800g / 28.22 oz Wax Beads Bag - Soothing &amp; Cicasepticalm Complex - All Hairs, Perfect for Intimate Areas &amp; Sensitive Skins</t>
        </is>
      </c>
      <c r="G151">
        <v>1</v>
      </c>
      <c r="H151" s="2" t="str">
        <f>HYPERLINK("https://www.amazon.com/dp/B00OND62E8", "https://www.amazon.com/dp/B00OND62E8")</f>
      </c>
      <c r="I151" s="3">
        <v>270</v>
      </c>
      <c r="J151" s="4">
        <v>7.28</v>
      </c>
      <c r="K151" s="5">
        <v>0.182</v>
      </c>
      <c r="L151" s="15">
        <v>0.35509999999999997</v>
      </c>
      <c r="M151" t="inlineStr">
        <is>
          <t>True</t>
        </is>
      </c>
      <c r="N151" t="inlineStr">
        <is>
          <t>Beauty &amp; Personal Care</t>
        </is>
      </c>
      <c r="O151" s="6">
        <v>48739</v>
      </c>
      <c r="P151" s="6">
        <v>46250</v>
      </c>
      <c r="Q151" s="6">
        <v>31385</v>
      </c>
      <c r="R151" s="6">
        <v>186</v>
      </c>
      <c r="S151" s="7">
        <v>20.5</v>
      </c>
      <c r="T151" s="7">
        <v>39.99</v>
      </c>
      <c r="U151">
        <v>39.99</v>
      </c>
      <c r="V151" s="8">
        <v>0</v>
      </c>
      <c r="W151" s="7">
        <v>0</v>
      </c>
      <c r="X151" s="7">
        <v>0</v>
      </c>
      <c r="Y151">
        <v>2.18</v>
      </c>
      <c r="Z151" s="8">
        <v>0</v>
      </c>
      <c r="AB151">
        <v>0</v>
      </c>
      <c r="AC151">
        <v>0</v>
      </c>
      <c r="AD151">
        <v>1</v>
      </c>
      <c r="AE151">
        <v>1</v>
      </c>
      <c r="AF151">
        <v>0</v>
      </c>
      <c r="AG151">
        <v>1</v>
      </c>
      <c r="AH151">
        <v>0</v>
      </c>
      <c r="AI151" t="inlineStr">
        <is>
          <t>False</t>
        </is>
      </c>
      <c r="AJ151" s="2" t="str">
        <f>HYPERLINK("https://keepa.com/#!product/1-B00OND62E8", "https://keepa.com/#!product/1-B00OND62E8")</f>
      </c>
      <c r="AK151" s="2" t="str">
        <f>HYPERLINK("https://camelcamelcamel.com/search?sq=B00OND62E8", "https://camelcamelcamel.com/search?sq=B00OND62E8")</f>
      </c>
      <c r="AL151" t="inlineStr">
        <is>
          <t/>
        </is>
      </c>
      <c r="AM151" s="10">
        <v>45417.11111111111</v>
      </c>
      <c r="AN151" t="inlineStr">
        <is>
          <t>Cirepil - Intimate - 800g / 28.22 oz Wax Beads Bag - Soothing &amp; Cicasepticalm Complex - All Hairs, Perfect for Intimate Areas &amp; Sensitive Skins</t>
        </is>
      </c>
      <c r="AO151" t="inlineStr">
        <is>
          <t>400</t>
        </is>
      </c>
      <c r="AP151" t="inlineStr">
        <is>
          <t>200</t>
        </is>
      </c>
    </row>
    <row r="152">
      <c r="A152" t="inlineStr">
        <is>
          <t>B00OQPRI6E</t>
        </is>
      </c>
      <c r="B152" t="inlineStr">
        <is>
          <t>False</t>
        </is>
      </c>
      <c r="C152" t="inlineStr">
        <is>
          <t>B00OQPRI6E</t>
        </is>
      </c>
      <c r="D152" t="inlineStr">
        <is>
          <t>Dove</t>
        </is>
      </c>
      <c r="E152" t="inlineStr">
        <is>
          <t>True</t>
        </is>
      </c>
      <c r="F152" t="inlineStr">
        <is>
          <t>Dove Body Wash 22 Ounce Sensitive Skin Unscented (650ml) (6 Pack)</t>
        </is>
      </c>
      <c r="G152">
        <v>6</v>
      </c>
      <c r="H152" s="2" t="str">
        <f>HYPERLINK("https://www.amazon.com/dp/B00OQPRI6E", "https://www.amazon.com/dp/B00OQPRI6E")</f>
      </c>
      <c r="I152" s="3">
        <v>151</v>
      </c>
      <c r="J152" s="12">
        <v>-211.59</v>
      </c>
      <c r="K152" s="13">
        <v>-2.9392</v>
      </c>
      <c r="L152" s="13">
        <v>-0.8015000000000001</v>
      </c>
      <c r="M152" t="inlineStr">
        <is>
          <t>True</t>
        </is>
      </c>
      <c r="N152" t="inlineStr">
        <is>
          <t>Beauty &amp; Personal Care</t>
        </is>
      </c>
      <c r="O152" s="6">
        <v>72539</v>
      </c>
      <c r="P152" s="6">
        <v>65994</v>
      </c>
      <c r="Q152" s="6">
        <v>21442</v>
      </c>
      <c r="R152" s="6">
        <v>136</v>
      </c>
      <c r="S152" s="7">
        <v>44</v>
      </c>
      <c r="T152" s="7">
        <v>71.99</v>
      </c>
      <c r="U152">
        <v>75.45</v>
      </c>
      <c r="V152" s="8">
        <v>0</v>
      </c>
      <c r="W152" s="7">
        <v>0</v>
      </c>
      <c r="X152" s="7">
        <v>0</v>
      </c>
      <c r="Y152">
        <v>7.52</v>
      </c>
      <c r="Z152" s="8">
        <v>0</v>
      </c>
      <c r="AB152">
        <v>0</v>
      </c>
      <c r="AC152">
        <v>0</v>
      </c>
      <c r="AD152">
        <v>6</v>
      </c>
      <c r="AE152">
        <v>0</v>
      </c>
      <c r="AF152">
        <v>6</v>
      </c>
      <c r="AG152">
        <v>5</v>
      </c>
      <c r="AH152">
        <v>10</v>
      </c>
      <c r="AI152" t="inlineStr">
        <is>
          <t>False</t>
        </is>
      </c>
      <c r="AJ152" s="2" t="str">
        <f>HYPERLINK("https://keepa.com/#!product/1-B00OQPRI6E", "https://keepa.com/#!product/1-B00OQPRI6E")</f>
      </c>
      <c r="AK152" s="2" t="str">
        <f>HYPERLINK("https://camelcamelcamel.com/search?sq=B00OQPRI6E", "https://camelcamelcamel.com/search?sq=B00OQPRI6E")</f>
      </c>
      <c r="AL152" t="inlineStr">
        <is>
          <t/>
        </is>
      </c>
      <c r="AM152" s="10">
        <v>45417.11111111111</v>
      </c>
      <c r="AN152" t="inlineStr">
        <is>
          <t>Dove Body Wash 22 Ounce Sensitive Skin Unscented (650ml) (6 Pack)</t>
        </is>
      </c>
      <c r="AO152" t="inlineStr">
        <is>
          <t>100</t>
        </is>
      </c>
      <c r="AP152" t="inlineStr">
        <is>
          <t>TAKE ALL</t>
        </is>
      </c>
    </row>
    <row r="153">
      <c r="A153" t="inlineStr">
        <is>
          <t>B00OV1JCA8</t>
        </is>
      </c>
      <c r="B153" t="inlineStr">
        <is>
          <t>False</t>
        </is>
      </c>
      <c r="C153" t="inlineStr">
        <is>
          <t>B00OV1JCA8</t>
        </is>
      </c>
      <c r="D153" t="inlineStr">
        <is>
          <t>Health Smart</t>
        </is>
      </c>
      <c r="E153" t="inlineStr">
        <is>
          <t>False</t>
        </is>
      </c>
      <c r="F153" t="inlineStr">
        <is>
          <t>Natural Epsom Salt (Original) 16oz</t>
        </is>
      </c>
      <c r="G153">
        <v>1</v>
      </c>
      <c r="H153" s="2" t="str">
        <f>HYPERLINK("https://www.amazon.com/dp/B00OV1JCA8", "https://www.amazon.com/dp/B00OV1JCA8")</f>
      </c>
      <c r="I153" s="3">
        <v>76</v>
      </c>
      <c r="M153" t="inlineStr">
        <is>
          <t>True</t>
        </is>
      </c>
      <c r="N153" t="inlineStr">
        <is>
          <t>Beauty &amp; Personal Care</t>
        </is>
      </c>
      <c r="O153" s="6">
        <v>112816</v>
      </c>
      <c r="P153" s="6">
        <v>46010</v>
      </c>
      <c r="Q153" s="6">
        <v>21704</v>
      </c>
      <c r="R153" s="6">
        <v>122</v>
      </c>
      <c r="S153" s="7">
        <v>2.5</v>
      </c>
      <c r="U153">
        <v>7.13</v>
      </c>
      <c r="X153" s="7">
        <v>0</v>
      </c>
      <c r="Y153">
        <v>1.01</v>
      </c>
      <c r="Z153" s="9">
        <v>0.74</v>
      </c>
      <c r="AB153">
        <v>0</v>
      </c>
      <c r="AC153">
        <v>0</v>
      </c>
      <c r="AD153">
        <v>0</v>
      </c>
      <c r="AE153">
        <v>0</v>
      </c>
      <c r="AF153">
        <v>0</v>
      </c>
      <c r="AG153">
        <v>0</v>
      </c>
      <c r="AH153">
        <v>2</v>
      </c>
      <c r="AI153" t="inlineStr">
        <is>
          <t>False</t>
        </is>
      </c>
      <c r="AJ153" s="2" t="str">
        <f>HYPERLINK("https://keepa.com/#!product/1-B00OV1JCA8", "https://keepa.com/#!product/1-B00OV1JCA8")</f>
      </c>
      <c r="AK153" s="2" t="str">
        <f>HYPERLINK("https://camelcamelcamel.com/search?sq=B00OV1JCA8", "https://camelcamelcamel.com/search?sq=B00OV1JCA8")</f>
      </c>
      <c r="AL153" t="inlineStr">
        <is>
          <t/>
        </is>
      </c>
      <c r="AM153" s="10">
        <v>45417.11111111111</v>
      </c>
      <c r="AN153" t="inlineStr">
        <is>
          <t>Natural Epsom Salt (Original) 16oz</t>
        </is>
      </c>
      <c r="AO153" t="inlineStr">
        <is>
          <t>500</t>
        </is>
      </c>
      <c r="AP153" t="inlineStr">
        <is>
          <t>TAKE ALL</t>
        </is>
      </c>
    </row>
    <row r="154">
      <c r="A154" t="inlineStr">
        <is>
          <t>B00OVNKQTW</t>
        </is>
      </c>
      <c r="B154" t="inlineStr">
        <is>
          <t>False</t>
        </is>
      </c>
      <c r="C154" t="inlineStr">
        <is>
          <t>B00OVNKQTW</t>
        </is>
      </c>
      <c r="D154" t="inlineStr">
        <is>
          <t>DURACELL</t>
        </is>
      </c>
      <c r="E154" t="inlineStr">
        <is>
          <t>False</t>
        </is>
      </c>
      <c r="F154" t="inlineStr">
        <is>
          <t>Duracell Coppertop 40 AA Batteries MN1500 Alkaline by Duracell</t>
        </is>
      </c>
      <c r="G154">
        <v>1</v>
      </c>
      <c r="H154" s="2" t="str">
        <f>HYPERLINK("https://www.amazon.com/dp/B00OVNKQTW", "https://www.amazon.com/dp/B00OVNKQTW")</f>
      </c>
      <c r="I154" s="3">
        <v>1079</v>
      </c>
      <c r="J154" s="11">
        <v>2.94</v>
      </c>
      <c r="K154" s="5">
        <v>0.09480000000000001</v>
      </c>
      <c r="L154" s="5">
        <v>0.168</v>
      </c>
      <c r="M154" t="inlineStr">
        <is>
          <t>True</t>
        </is>
      </c>
      <c r="N154" t="inlineStr">
        <is>
          <t>Health &amp; Household</t>
        </is>
      </c>
      <c r="O154" s="6">
        <v>21194</v>
      </c>
      <c r="P154" s="6">
        <v>17384</v>
      </c>
      <c r="Q154" s="6">
        <v>11975</v>
      </c>
      <c r="R154" s="6">
        <v>129</v>
      </c>
      <c r="S154" s="7">
        <v>17.5</v>
      </c>
      <c r="T154" s="7">
        <v>31</v>
      </c>
      <c r="U154">
        <v>31.52</v>
      </c>
      <c r="V154" s="8">
        <v>0</v>
      </c>
      <c r="W154" s="7">
        <v>0</v>
      </c>
      <c r="X154" s="7">
        <v>0</v>
      </c>
      <c r="Y154">
        <v>2.2</v>
      </c>
      <c r="Z154" s="8">
        <v>0</v>
      </c>
      <c r="AB154">
        <v>0</v>
      </c>
      <c r="AC154">
        <v>0</v>
      </c>
      <c r="AD154">
        <v>15</v>
      </c>
      <c r="AE154">
        <v>3</v>
      </c>
      <c r="AF154">
        <v>12</v>
      </c>
      <c r="AG154">
        <v>5</v>
      </c>
      <c r="AH154">
        <v>5</v>
      </c>
      <c r="AI154" t="inlineStr">
        <is>
          <t>False</t>
        </is>
      </c>
      <c r="AJ154" s="2" t="str">
        <f>HYPERLINK("https://keepa.com/#!product/1-B00OVNKQTW", "https://keepa.com/#!product/1-B00OVNKQTW")</f>
      </c>
      <c r="AK154" s="2" t="str">
        <f>HYPERLINK("https://camelcamelcamel.com/search?sq=B00OVNKQTW", "https://camelcamelcamel.com/search?sq=B00OVNKQTW")</f>
      </c>
      <c r="AL154" t="inlineStr">
        <is>
          <t/>
        </is>
      </c>
      <c r="AM154" s="10">
        <v>45417.11111111111</v>
      </c>
      <c r="AN154" t="inlineStr">
        <is>
          <t>Duracell Coppertop 40 AA Batteries MN1500 Alkaline by Duracell</t>
        </is>
      </c>
      <c r="AO154" t="inlineStr">
        <is>
          <t>500</t>
        </is>
      </c>
      <c r="AP154" t="inlineStr">
        <is>
          <t>TAKE ALL</t>
        </is>
      </c>
    </row>
    <row r="155">
      <c r="A155" t="inlineStr">
        <is>
          <t>B00QF4N1JM</t>
        </is>
      </c>
      <c r="B155" t="inlineStr">
        <is>
          <t>False</t>
        </is>
      </c>
      <c r="C155" t="inlineStr">
        <is>
          <t>B00QF4N1JM</t>
        </is>
      </c>
      <c r="D155" t="inlineStr">
        <is>
          <t>Dial</t>
        </is>
      </c>
      <c r="E155" t="inlineStr">
        <is>
          <t>False</t>
        </is>
      </c>
      <c r="F155" t="inlineStr">
        <is>
          <t>Dial Gold Antibacterial Soap - Six 4 oz Bars per Pack. (1 pack)</t>
        </is>
      </c>
      <c r="G155">
        <v>1</v>
      </c>
      <c r="H155" s="2" t="str">
        <f>HYPERLINK("https://www.amazon.com/dp/B00QF4N1JM", "https://www.amazon.com/dp/B00QF4N1JM")</f>
      </c>
      <c r="I155" s="3">
        <v>6017</v>
      </c>
      <c r="J155" s="12">
        <v>-2.18</v>
      </c>
      <c r="K155" s="13">
        <v>-0.2375</v>
      </c>
      <c r="L155" s="13">
        <v>-0.3726</v>
      </c>
      <c r="M155" t="inlineStr">
        <is>
          <t>True</t>
        </is>
      </c>
      <c r="N155" t="inlineStr">
        <is>
          <t>Beauty &amp; Personal Care</t>
        </is>
      </c>
      <c r="O155" s="6">
        <v>2845</v>
      </c>
      <c r="P155" s="6">
        <v>10844</v>
      </c>
      <c r="Q155" s="6">
        <v>2022</v>
      </c>
      <c r="R155" s="6">
        <v>278</v>
      </c>
      <c r="S155" s="7">
        <v>5.85</v>
      </c>
      <c r="T155" s="7">
        <v>9.18</v>
      </c>
      <c r="U155">
        <v>12.54</v>
      </c>
      <c r="V155" s="8">
        <v>0</v>
      </c>
      <c r="W155" s="7">
        <v>0</v>
      </c>
      <c r="X155" s="7">
        <v>0</v>
      </c>
      <c r="Y155">
        <v>1.52</v>
      </c>
      <c r="Z155" s="8">
        <v>0</v>
      </c>
      <c r="AB155">
        <v>0</v>
      </c>
      <c r="AC155">
        <v>0</v>
      </c>
      <c r="AD155">
        <v>35</v>
      </c>
      <c r="AE155">
        <v>23</v>
      </c>
      <c r="AF155">
        <v>12</v>
      </c>
      <c r="AG155">
        <v>1</v>
      </c>
      <c r="AH155">
        <v>0</v>
      </c>
      <c r="AI155" t="inlineStr">
        <is>
          <t>False</t>
        </is>
      </c>
      <c r="AJ155" s="2" t="str">
        <f>HYPERLINK("https://keepa.com/#!product/1-B00QF4N1JM", "https://keepa.com/#!product/1-B00QF4N1JM")</f>
      </c>
      <c r="AK155" s="2" t="str">
        <f>HYPERLINK("https://camelcamelcamel.com/search?sq=B00QF4N1JM", "https://camelcamelcamel.com/search?sq=B00QF4N1JM")</f>
      </c>
      <c r="AL155" t="inlineStr">
        <is>
          <t/>
        </is>
      </c>
      <c r="AM155" s="10">
        <v>45417.11111111111</v>
      </c>
      <c r="AN155" t="inlineStr">
        <is>
          <t>Dial Gold Antibacterial Soap - Six 4 oz Bars per Pack. (1 pack)</t>
        </is>
      </c>
      <c r="AO155" t="inlineStr">
        <is>
          <t>1000</t>
        </is>
      </c>
      <c r="AP155" t="inlineStr">
        <is>
          <t>500</t>
        </is>
      </c>
    </row>
    <row r="156">
      <c r="A156" t="inlineStr">
        <is>
          <t>B00SD8IVLG</t>
        </is>
      </c>
      <c r="B156" t="inlineStr">
        <is>
          <t>False</t>
        </is>
      </c>
      <c r="C156" t="inlineStr">
        <is>
          <t>B00SD8IVLG</t>
        </is>
      </c>
      <c r="D156" t="inlineStr">
        <is>
          <t>Degree</t>
        </is>
      </c>
      <c r="E156" t="inlineStr">
        <is>
          <t>False</t>
        </is>
      </c>
      <c r="F156" t="inlineStr">
        <is>
          <t>Degree MotionSense Antiperspirant Deodorant Fresh Energy 2.6 oz</t>
        </is>
      </c>
      <c r="G156">
        <v>1</v>
      </c>
      <c r="H156" s="2" t="str">
        <f>HYPERLINK("https://www.amazon.com/dp/B00SD8IVLG", "https://www.amazon.com/dp/B00SD8IVLG")</f>
      </c>
      <c r="I156" s="3">
        <v>21001</v>
      </c>
      <c r="J156" s="11">
        <v>0.65</v>
      </c>
      <c r="K156" s="5">
        <v>0.056100000000000004</v>
      </c>
      <c r="L156" s="5">
        <v>0.1182</v>
      </c>
      <c r="M156" t="inlineStr">
        <is>
          <t>True</t>
        </is>
      </c>
      <c r="N156" t="inlineStr">
        <is>
          <t>Beauty &amp; Personal Care</t>
        </is>
      </c>
      <c r="O156" s="6">
        <v>460</v>
      </c>
      <c r="P156" s="6">
        <v>862</v>
      </c>
      <c r="Q156" s="6">
        <v>237</v>
      </c>
      <c r="R156" s="6">
        <v>378</v>
      </c>
      <c r="S156" s="7">
        <v>5.5</v>
      </c>
      <c r="T156" s="7">
        <v>11.58</v>
      </c>
      <c r="U156">
        <v>10.63</v>
      </c>
      <c r="V156" s="8">
        <v>0</v>
      </c>
      <c r="W156" s="7">
        <v>0</v>
      </c>
      <c r="X156" s="7">
        <v>0</v>
      </c>
      <c r="Y156">
        <v>0.25</v>
      </c>
      <c r="Z156" s="9">
        <v>0.13</v>
      </c>
      <c r="AB156">
        <v>0</v>
      </c>
      <c r="AC156">
        <v>0</v>
      </c>
      <c r="AD156">
        <v>3</v>
      </c>
      <c r="AE156">
        <v>0</v>
      </c>
      <c r="AF156">
        <v>3</v>
      </c>
      <c r="AG156">
        <v>2</v>
      </c>
      <c r="AH156">
        <v>7</v>
      </c>
      <c r="AI156" t="inlineStr">
        <is>
          <t>False</t>
        </is>
      </c>
      <c r="AJ156" s="2" t="str">
        <f>HYPERLINK("https://keepa.com/#!product/1-B00SD8IVLG", "https://keepa.com/#!product/1-B00SD8IVLG")</f>
      </c>
      <c r="AK156" s="2" t="str">
        <f>HYPERLINK("https://camelcamelcamel.com/search?sq=B00SD8IVLG", "https://camelcamelcamel.com/search?sq=B00SD8IVLG")</f>
      </c>
      <c r="AL156" t="inlineStr">
        <is>
          <t/>
        </is>
      </c>
      <c r="AM156" s="10">
        <v>45417.11111111111</v>
      </c>
      <c r="AN156" t="inlineStr">
        <is>
          <t>Degree MotionSense Antiperspirant Deodorant Fresh Energy 2.6 oz</t>
        </is>
      </c>
      <c r="AO156" t="inlineStr">
        <is>
          <t>2000</t>
        </is>
      </c>
      <c r="AP156" t="inlineStr">
        <is>
          <t>500</t>
        </is>
      </c>
    </row>
    <row r="157">
      <c r="A157" t="inlineStr">
        <is>
          <t>B00TQ2M5ME</t>
        </is>
      </c>
      <c r="B157" t="inlineStr">
        <is>
          <t>False</t>
        </is>
      </c>
      <c r="C157" t="inlineStr">
        <is>
          <t>B00TQ2M5ME</t>
        </is>
      </c>
      <c r="D157" t="inlineStr">
        <is>
          <t>Garnier</t>
        </is>
      </c>
      <c r="E157" t="inlineStr">
        <is>
          <t>True</t>
        </is>
      </c>
      <c r="F157" t="inlineStr">
        <is>
          <t>Garnier Fructis Style Root Amp Lifting Spray Mousse, Extreme Hold, 5.0 Oz, 1 Count (Packaging May Vary)</t>
        </is>
      </c>
      <c r="G157">
        <v>1</v>
      </c>
      <c r="H157" s="2" t="str">
        <f>HYPERLINK("https://www.amazon.com/dp/B00TQ2M5ME", "https://www.amazon.com/dp/B00TQ2M5ME")</f>
      </c>
      <c r="I157" s="3">
        <v>199</v>
      </c>
      <c r="J157" s="12">
        <v>-15.23</v>
      </c>
      <c r="K157" s="13">
        <v>-0.7619</v>
      </c>
      <c r="L157" s="13">
        <v>-0.5538000000000001</v>
      </c>
      <c r="M157" t="inlineStr">
        <is>
          <t>True</t>
        </is>
      </c>
      <c r="N157" t="inlineStr">
        <is>
          <t>Beauty &amp; Personal Care</t>
        </is>
      </c>
      <c r="O157" s="6">
        <v>60255</v>
      </c>
      <c r="P157" s="6">
        <v>74442</v>
      </c>
      <c r="Q157" s="6">
        <v>29742</v>
      </c>
      <c r="R157" s="6">
        <v>141</v>
      </c>
      <c r="S157" s="7">
        <v>27.5</v>
      </c>
      <c r="T157" s="7">
        <v>19.99</v>
      </c>
      <c r="U157">
        <v>34.37</v>
      </c>
      <c r="V157" s="8">
        <v>0</v>
      </c>
      <c r="W157" s="7">
        <v>0</v>
      </c>
      <c r="X157" s="7">
        <v>0</v>
      </c>
      <c r="Y157">
        <v>0.42</v>
      </c>
      <c r="Z157" s="8">
        <v>0</v>
      </c>
      <c r="AB157">
        <v>0</v>
      </c>
      <c r="AC157">
        <v>0</v>
      </c>
      <c r="AD157">
        <v>10</v>
      </c>
      <c r="AE157">
        <v>0</v>
      </c>
      <c r="AF157">
        <v>10</v>
      </c>
      <c r="AG157">
        <v>1</v>
      </c>
      <c r="AH157">
        <v>0</v>
      </c>
      <c r="AI157" t="inlineStr">
        <is>
          <t>True</t>
        </is>
      </c>
      <c r="AJ157" s="2" t="str">
        <f>HYPERLINK("https://keepa.com/#!product/1-B00TQ2M5ME", "https://keepa.com/#!product/1-B00TQ2M5ME")</f>
      </c>
      <c r="AK157" s="2" t="str">
        <f>HYPERLINK("https://camelcamelcamel.com/search?sq=B00TQ2M5ME", "https://camelcamelcamel.com/search?sq=B00TQ2M5ME")</f>
      </c>
      <c r="AL157" t="inlineStr">
        <is>
          <t/>
        </is>
      </c>
      <c r="AM157" s="10">
        <v>45417.11111111111</v>
      </c>
      <c r="AN157" t="inlineStr">
        <is>
          <t>Garnier Fructis Style Root Amp Lifting Spray Mousse, Extreme Hold, 5.0 Oz, 1 Count (Packaging May Vary)</t>
        </is>
      </c>
      <c r="AO157" t="inlineStr">
        <is>
          <t>250</t>
        </is>
      </c>
      <c r="AP157" t="inlineStr">
        <is>
          <t>TAKE ALL</t>
        </is>
      </c>
    </row>
    <row r="158">
      <c r="A158" t="inlineStr">
        <is>
          <t>B00TUDHPS8</t>
        </is>
      </c>
      <c r="B158" t="inlineStr">
        <is>
          <t>False</t>
        </is>
      </c>
      <c r="C158" t="inlineStr">
        <is>
          <t>B00TUDHPS8</t>
        </is>
      </c>
      <c r="D158" t="inlineStr">
        <is>
          <t>Filtrete</t>
        </is>
      </c>
      <c r="E158" t="inlineStr">
        <is>
          <t>False</t>
        </is>
      </c>
      <c r="F158" t="inlineStr">
        <is>
          <t>Filtrete 20x20x1 AC Furnace Air Filter, MERV 12, MPR 1500, CERTIFIED asthma &amp; allergy friendly, 3 Month Pleated 1-Inch Electrostatic Air Cleaning Filter, 2-Pack (Actual Size 19.69x19.69x0.78 in)</t>
        </is>
      </c>
      <c r="G158">
        <v>1</v>
      </c>
      <c r="H158" s="2" t="str">
        <f>HYPERLINK("https://www.amazon.com/dp/B00TUDHPS8", "https://www.amazon.com/dp/B00TUDHPS8")</f>
      </c>
      <c r="I158" s="3">
        <v>10054</v>
      </c>
      <c r="J158" s="4">
        <v>5.09</v>
      </c>
      <c r="K158" s="5">
        <v>0.1358</v>
      </c>
      <c r="L158" s="15">
        <v>0.3284</v>
      </c>
      <c r="M158" t="inlineStr">
        <is>
          <t>True</t>
        </is>
      </c>
      <c r="N158" t="inlineStr">
        <is>
          <t>Tools &amp; Home Improvement</t>
        </is>
      </c>
      <c r="O158" s="6">
        <v>275</v>
      </c>
      <c r="P158" s="6">
        <v>1240</v>
      </c>
      <c r="Q158" s="6">
        <v>75</v>
      </c>
      <c r="R158" s="6">
        <v>211</v>
      </c>
      <c r="S158" s="7">
        <v>15.5</v>
      </c>
      <c r="T158" s="7">
        <v>37.49</v>
      </c>
      <c r="U158">
        <v>37.58</v>
      </c>
      <c r="V158" s="8">
        <v>0</v>
      </c>
      <c r="W158" s="7">
        <v>0</v>
      </c>
      <c r="X158" s="7">
        <v>0</v>
      </c>
      <c r="Y158">
        <v>2</v>
      </c>
      <c r="Z158" s="9">
        <v>1</v>
      </c>
      <c r="AB158">
        <v>0</v>
      </c>
      <c r="AC158">
        <v>0</v>
      </c>
      <c r="AD158">
        <v>4</v>
      </c>
      <c r="AE158">
        <v>1</v>
      </c>
      <c r="AF158">
        <v>3</v>
      </c>
      <c r="AG158">
        <v>1</v>
      </c>
      <c r="AH158">
        <v>4</v>
      </c>
      <c r="AI158" t="inlineStr">
        <is>
          <t>False</t>
        </is>
      </c>
      <c r="AJ158" s="2" t="str">
        <f>HYPERLINK("https://keepa.com/#!product/1-B00TUDHPS8", "https://keepa.com/#!product/1-B00TUDHPS8")</f>
      </c>
      <c r="AK158" s="2" t="str">
        <f>HYPERLINK("https://camelcamelcamel.com/search?sq=B00TUDHPS8", "https://camelcamelcamel.com/search?sq=B00TUDHPS8")</f>
      </c>
      <c r="AL158" t="inlineStr">
        <is>
          <t/>
        </is>
      </c>
      <c r="AM158" s="10">
        <v>45417.11111111111</v>
      </c>
      <c r="AN158" t="inlineStr">
        <is>
          <t>Filtrete 20x20x1 Air Filter MPR 1500 MERV 12, Healthy Living Ultra Allergen, 2-Pack (exact dimensions 19.69x19.69x0.78)</t>
        </is>
      </c>
      <c r="AO158" t="inlineStr">
        <is>
          <t>500</t>
        </is>
      </c>
      <c r="AP158" t="inlineStr">
        <is>
          <t>250</t>
        </is>
      </c>
    </row>
    <row r="159">
      <c r="A159" t="inlineStr">
        <is>
          <t>B00U0IWK96</t>
        </is>
      </c>
      <c r="B159" t="inlineStr">
        <is>
          <t>False</t>
        </is>
      </c>
      <c r="C159" t="inlineStr">
        <is>
          <t>B00U0IWK96</t>
        </is>
      </c>
      <c r="D159" t="inlineStr">
        <is>
          <t>Isagenix</t>
        </is>
      </c>
      <c r="E159" t="inlineStr">
        <is>
          <t>False</t>
        </is>
      </c>
      <c r="F159" t="inlineStr">
        <is>
          <t>Isagenix IsaLean Shake - Nutrient-Dense Protein Powder for Ready-to-Drink Shake - Strawberry Cream, 14 Packets</t>
        </is>
      </c>
      <c r="G159">
        <v>1</v>
      </c>
      <c r="H159" s="2" t="str">
        <f>HYPERLINK("https://www.amazon.com/dp/B00U0IWK96", "https://www.amazon.com/dp/B00U0IWK96")</f>
      </c>
      <c r="I159" s="3">
        <v>3597</v>
      </c>
      <c r="J159" s="4">
        <v>19.88</v>
      </c>
      <c r="K159" s="5">
        <v>0.28809999999999997</v>
      </c>
      <c r="L159" s="15">
        <v>0.607</v>
      </c>
      <c r="M159" t="inlineStr">
        <is>
          <t>True</t>
        </is>
      </c>
      <c r="N159" t="inlineStr">
        <is>
          <t>Grocery &amp; Gourmet Food</t>
        </is>
      </c>
      <c r="O159" s="6">
        <v>1829</v>
      </c>
      <c r="P159" s="6">
        <v>2049</v>
      </c>
      <c r="Q159" s="6">
        <v>1504</v>
      </c>
      <c r="R159" s="6">
        <v>232</v>
      </c>
      <c r="S159" s="7">
        <v>32.75</v>
      </c>
      <c r="T159" s="7">
        <v>69</v>
      </c>
      <c r="U159">
        <v>61.73</v>
      </c>
      <c r="V159" s="8">
        <v>0</v>
      </c>
      <c r="W159" s="7">
        <v>0</v>
      </c>
      <c r="X159" s="7">
        <v>0</v>
      </c>
      <c r="Y159">
        <v>2.12</v>
      </c>
      <c r="Z159" s="8">
        <v>0</v>
      </c>
      <c r="AB159">
        <v>0</v>
      </c>
      <c r="AC159">
        <v>0</v>
      </c>
      <c r="AD159">
        <v>1</v>
      </c>
      <c r="AE159">
        <v>1</v>
      </c>
      <c r="AF159">
        <v>0</v>
      </c>
      <c r="AG159">
        <v>1</v>
      </c>
      <c r="AH159">
        <v>5</v>
      </c>
      <c r="AI159" t="inlineStr">
        <is>
          <t>False</t>
        </is>
      </c>
      <c r="AJ159" s="2" t="str">
        <f>HYPERLINK("https://keepa.com/#!product/1-B00U0IWK96", "https://keepa.com/#!product/1-B00U0IWK96")</f>
      </c>
      <c r="AK159" s="2" t="str">
        <f>HYPERLINK("https://camelcamelcamel.com/search?sq=B00U0IWK96", "https://camelcamelcamel.com/search?sq=B00U0IWK96")</f>
      </c>
      <c r="AL159" t="inlineStr">
        <is>
          <t/>
        </is>
      </c>
      <c r="AM159" s="10">
        <v>45417.11111111111</v>
      </c>
      <c r="AN159" t="inlineStr">
        <is>
          <t>Isagenix IsaLean Shake - Nutrient-Dense Protein Powder for Ready-to-Drink Shake - Strawberry Cream, 14 Packet</t>
        </is>
      </c>
      <c r="AO159" t="inlineStr">
        <is>
          <t>750</t>
        </is>
      </c>
      <c r="AP159" t="inlineStr">
        <is>
          <t>250</t>
        </is>
      </c>
    </row>
    <row r="160">
      <c r="A160" t="inlineStr">
        <is>
          <t>B00U26V4VQ</t>
        </is>
      </c>
      <c r="B160" t="inlineStr">
        <is>
          <t>False</t>
        </is>
      </c>
      <c r="C160" t="inlineStr">
        <is>
          <t>B00U26V4VQ</t>
        </is>
      </c>
      <c r="D160" t="inlineStr">
        <is>
          <t>CATAN</t>
        </is>
      </c>
      <c r="E160" t="inlineStr">
        <is>
          <t>False</t>
        </is>
      </c>
      <c r="F160" t="inlineStr">
        <is>
          <t>CATAN Board Game (Base Game) | Family Board Game | Board Game for Adults and Family | Adventure Board Game | Ages 10+ | for 3 to 4 Players | Average Playtime 60 Minutes | Made by Catan Studio</t>
        </is>
      </c>
      <c r="G160">
        <v>1</v>
      </c>
      <c r="H160" s="2" t="str">
        <f>HYPERLINK("https://www.amazon.com/dp/B00U26V4VQ", "https://www.amazon.com/dp/B00U26V4VQ")</f>
      </c>
      <c r="I160" s="3">
        <v>9044</v>
      </c>
      <c r="J160" s="4">
        <v>7.73</v>
      </c>
      <c r="K160" s="5">
        <v>0.17579999999999998</v>
      </c>
      <c r="L160" s="15">
        <v>0.3325</v>
      </c>
      <c r="M160" t="inlineStr">
        <is>
          <t>True</t>
        </is>
      </c>
      <c r="N160" t="inlineStr">
        <is>
          <t>Toys &amp; Games</t>
        </is>
      </c>
      <c r="O160" s="6">
        <v>323</v>
      </c>
      <c r="P160" s="6">
        <v>203</v>
      </c>
      <c r="Q160" s="6">
        <v>74</v>
      </c>
      <c r="R160" s="6">
        <v>307</v>
      </c>
      <c r="S160" s="7">
        <v>23.25</v>
      </c>
      <c r="T160" s="7">
        <v>43.97</v>
      </c>
      <c r="U160">
        <v>41.76</v>
      </c>
      <c r="V160" s="8">
        <v>0</v>
      </c>
      <c r="W160" s="7">
        <v>0</v>
      </c>
      <c r="X160" s="7">
        <v>0</v>
      </c>
      <c r="Y160">
        <v>2.69</v>
      </c>
      <c r="Z160" s="9">
        <v>1</v>
      </c>
      <c r="AB160">
        <v>0</v>
      </c>
      <c r="AC160">
        <v>0</v>
      </c>
      <c r="AD160">
        <v>13</v>
      </c>
      <c r="AE160">
        <v>2</v>
      </c>
      <c r="AF160">
        <v>10</v>
      </c>
      <c r="AG160">
        <v>1</v>
      </c>
      <c r="AH160">
        <v>2</v>
      </c>
      <c r="AI160" t="inlineStr">
        <is>
          <t>False</t>
        </is>
      </c>
      <c r="AJ160" s="2" t="str">
        <f>HYPERLINK("https://keepa.com/#!product/1-B00U26V4VQ", "https://keepa.com/#!product/1-B00U26V4VQ")</f>
      </c>
      <c r="AK160" s="2" t="str">
        <f>HYPERLINK("https://camelcamelcamel.com/search?sq=B00U26V4VQ", "https://camelcamelcamel.com/search?sq=B00U26V4VQ")</f>
      </c>
      <c r="AL160" t="inlineStr">
        <is>
          <t/>
        </is>
      </c>
      <c r="AM160" s="10">
        <v>45417.11111111111</v>
      </c>
      <c r="AN160" t="inlineStr">
        <is>
          <t>Catan (Base Game) Adventure Board Game for Adults and Family | Ages 10+ | for 3 to 4 Players | Average Playtime 60 Minutes | Made by Catan Studio</t>
        </is>
      </c>
      <c r="AO160" t="inlineStr">
        <is>
          <t>680</t>
        </is>
      </c>
      <c r="AP160" t="inlineStr">
        <is>
          <t>340</t>
        </is>
      </c>
    </row>
    <row r="161">
      <c r="A161" t="inlineStr">
        <is>
          <t>B00UA7O1GW</t>
        </is>
      </c>
      <c r="B161" t="inlineStr">
        <is>
          <t>False</t>
        </is>
      </c>
      <c r="C161" t="inlineStr">
        <is>
          <t>B00UA7O1GW</t>
        </is>
      </c>
      <c r="D161" t="inlineStr">
        <is>
          <t>Inspiration Play</t>
        </is>
      </c>
      <c r="E161" t="inlineStr">
        <is>
          <t>False</t>
        </is>
      </c>
      <c r="F161" t="inlineStr">
        <is>
          <t>Inspiration Play Double Ditto - a Hilarious Award-Winning Family Party Game</t>
        </is>
      </c>
      <c r="G161">
        <v>1</v>
      </c>
      <c r="H161" s="2" t="str">
        <f>HYPERLINK("https://www.amazon.com/dp/B00UA7O1GW", "https://www.amazon.com/dp/B00UA7O1GW")</f>
      </c>
      <c r="I161" s="3">
        <v>6001</v>
      </c>
      <c r="J161" s="11">
        <v>3.24</v>
      </c>
      <c r="K161" s="5">
        <v>0.12990000000000002</v>
      </c>
      <c r="L161" s="5">
        <v>0.27</v>
      </c>
      <c r="M161" t="inlineStr">
        <is>
          <t>True</t>
        </is>
      </c>
      <c r="N161" t="inlineStr">
        <is>
          <t>Toys &amp; Games</t>
        </is>
      </c>
      <c r="O161" s="6">
        <v>737</v>
      </c>
      <c r="P161" s="6">
        <v>16623</v>
      </c>
      <c r="Q161" s="6">
        <v>420</v>
      </c>
      <c r="R161" s="6">
        <v>232</v>
      </c>
      <c r="S161" s="7">
        <v>12</v>
      </c>
      <c r="T161" s="7">
        <v>24.95</v>
      </c>
      <c r="U161">
        <v>22.53</v>
      </c>
      <c r="V161" s="8">
        <v>0</v>
      </c>
      <c r="W161" s="7">
        <v>0</v>
      </c>
      <c r="X161" s="7">
        <v>0</v>
      </c>
      <c r="Y161">
        <v>2.09</v>
      </c>
      <c r="Z161" s="9">
        <v>0.73</v>
      </c>
      <c r="AB161">
        <v>0</v>
      </c>
      <c r="AC161">
        <v>0</v>
      </c>
      <c r="AD161">
        <v>3</v>
      </c>
      <c r="AE161">
        <v>2</v>
      </c>
      <c r="AF161">
        <v>0</v>
      </c>
      <c r="AG161">
        <v>1</v>
      </c>
      <c r="AH161">
        <v>0</v>
      </c>
      <c r="AI161" t="inlineStr">
        <is>
          <t>False</t>
        </is>
      </c>
      <c r="AJ161" s="2" t="str">
        <f>HYPERLINK("https://keepa.com/#!product/1-B00UA7O1GW", "https://keepa.com/#!product/1-B00UA7O1GW")</f>
      </c>
      <c r="AK161" s="2" t="str">
        <f>HYPERLINK("https://camelcamelcamel.com/search?sq=B00UA7O1GW", "https://camelcamelcamel.com/search?sq=B00UA7O1GW")</f>
      </c>
      <c r="AL161" t="inlineStr">
        <is>
          <t/>
        </is>
      </c>
      <c r="AM161" s="10">
        <v>45417.11111111111</v>
      </c>
      <c r="AN161" t="inlineStr">
        <is>
          <t>Inspiration Play Double Ditto - an Award-Winning Family Game - Hilarious Family Games - Games for Kids Ages 8-12, Teens, &amp; Adults - Family Games for Game Night - Family Games for Kids and Adults</t>
        </is>
      </c>
      <c r="AO161" t="inlineStr">
        <is>
          <t>2000</t>
        </is>
      </c>
      <c r="AP161" t="inlineStr">
        <is>
          <t>1000</t>
        </is>
      </c>
    </row>
    <row r="162">
      <c r="A162" t="inlineStr">
        <is>
          <t>B00UB7B920</t>
        </is>
      </c>
      <c r="B162" t="inlineStr">
        <is>
          <t>False</t>
        </is>
      </c>
      <c r="C162" t="inlineStr">
        <is>
          <t>B00UB7B920</t>
        </is>
      </c>
      <c r="D162" t="inlineStr">
        <is>
          <t>Old Spice</t>
        </is>
      </c>
      <c r="E162" t="inlineStr">
        <is>
          <t>False</t>
        </is>
      </c>
      <c r="F162" t="inlineStr">
        <is>
          <t>Old Spice High Endurance Long Lasting Stick Men's Deodorant, Original Scent - 3.0 Oz</t>
        </is>
      </c>
      <c r="G162">
        <v>1</v>
      </c>
      <c r="H162" s="2" t="str">
        <f>HYPERLINK("https://www.amazon.com/dp/B00UB7B920", "https://www.amazon.com/dp/B00UB7B920")</f>
      </c>
      <c r="I162" s="3">
        <v>15108</v>
      </c>
      <c r="J162" s="11">
        <v>0.21</v>
      </c>
      <c r="K162" s="5">
        <v>0.0218</v>
      </c>
      <c r="L162" s="5">
        <v>0.0382</v>
      </c>
      <c r="M162" t="inlineStr">
        <is>
          <t>True</t>
        </is>
      </c>
      <c r="N162" t="inlineStr">
        <is>
          <t>Beauty &amp; Personal Care</t>
        </is>
      </c>
      <c r="O162" s="6">
        <v>799</v>
      </c>
      <c r="P162" s="6">
        <v>677</v>
      </c>
      <c r="Q162" s="6">
        <v>384</v>
      </c>
      <c r="R162" s="6">
        <v>334</v>
      </c>
      <c r="S162" s="7">
        <v>5.5</v>
      </c>
      <c r="T162" s="7">
        <v>9.62</v>
      </c>
      <c r="U162">
        <v>6.53</v>
      </c>
      <c r="V162" s="8">
        <v>0</v>
      </c>
      <c r="W162" s="7">
        <v>0</v>
      </c>
      <c r="X162" s="7">
        <v>0</v>
      </c>
      <c r="Y162">
        <v>0.31</v>
      </c>
      <c r="Z162" s="9">
        <v>0.53</v>
      </c>
      <c r="AB162">
        <v>0</v>
      </c>
      <c r="AC162">
        <v>0</v>
      </c>
      <c r="AD162">
        <v>12</v>
      </c>
      <c r="AE162">
        <v>3</v>
      </c>
      <c r="AF162">
        <v>9</v>
      </c>
      <c r="AG162">
        <v>2</v>
      </c>
      <c r="AH162">
        <v>15</v>
      </c>
      <c r="AI162" t="inlineStr">
        <is>
          <t>False</t>
        </is>
      </c>
      <c r="AJ162" s="2" t="str">
        <f>HYPERLINK("https://keepa.com/#!product/1-B00UB7B920", "https://keepa.com/#!product/1-B00UB7B920")</f>
      </c>
      <c r="AK162" s="2" t="str">
        <f>HYPERLINK("https://camelcamelcamel.com/search?sq=B00UB7B920", "https://camelcamelcamel.com/search?sq=B00UB7B920")</f>
      </c>
      <c r="AL162" t="inlineStr">
        <is>
          <t/>
        </is>
      </c>
      <c r="AM162" s="10">
        <v>45417.11111111111</v>
      </c>
      <c r="AN162" t="inlineStr">
        <is>
          <t>Old Spice High Endurance Long Lasting Stick Men's Deodorant, Original Scent - 3.0 Oz</t>
        </is>
      </c>
      <c r="AO162" t="inlineStr">
        <is>
          <t>3000</t>
        </is>
      </c>
      <c r="AP162" t="inlineStr">
        <is>
          <t>1500</t>
        </is>
      </c>
    </row>
    <row r="163">
      <c r="A163" t="inlineStr">
        <is>
          <t>B00US0M7GC</t>
        </is>
      </c>
      <c r="B163" t="inlineStr">
        <is>
          <t>False</t>
        </is>
      </c>
      <c r="C163" t="inlineStr">
        <is>
          <t>B00US0M7GC</t>
        </is>
      </c>
      <c r="D163" t="inlineStr">
        <is>
          <t>Nespresso</t>
        </is>
      </c>
      <c r="E163" t="inlineStr">
        <is>
          <t>False</t>
        </is>
      </c>
      <c r="F163" t="inlineStr">
        <is>
          <t>Nespresso Capsules OriginalLine, Arpeggio Decaffeinato, Dark Roast Coffee, 50 Count Coffee Pods (Pack of 5), Brews 1.35 Ounce (ORIGINALLINE ONLY)</t>
        </is>
      </c>
      <c r="G163">
        <v>5</v>
      </c>
      <c r="H163" s="2" t="str">
        <f>HYPERLINK("https://www.amazon.com/dp/B00US0M7GC", "https://www.amazon.com/dp/B00US0M7GC")</f>
      </c>
      <c r="I163" s="3">
        <v>5555</v>
      </c>
      <c r="J163" s="12">
        <v>-91.07</v>
      </c>
      <c r="K163" s="13">
        <v>-2.2768</v>
      </c>
      <c r="L163" s="13">
        <v>-0.7589</v>
      </c>
      <c r="M163" t="inlineStr">
        <is>
          <t>True</t>
        </is>
      </c>
      <c r="N163" t="inlineStr">
        <is>
          <t>Grocery &amp; Gourmet Food</t>
        </is>
      </c>
      <c r="O163" s="6">
        <v>883</v>
      </c>
      <c r="P163" s="6">
        <v>848</v>
      </c>
      <c r="Q163" s="6">
        <v>425</v>
      </c>
      <c r="R163" s="6">
        <v>232</v>
      </c>
      <c r="S163" s="7">
        <v>24</v>
      </c>
      <c r="T163" s="7">
        <v>40</v>
      </c>
      <c r="U163">
        <v>39.67</v>
      </c>
      <c r="V163" s="8">
        <v>0</v>
      </c>
      <c r="W163" s="7">
        <v>0</v>
      </c>
      <c r="X163" s="7">
        <v>0</v>
      </c>
      <c r="Y163">
        <v>0.9</v>
      </c>
      <c r="Z163" s="9">
        <v>1</v>
      </c>
      <c r="AB163">
        <v>0</v>
      </c>
      <c r="AC163">
        <v>0</v>
      </c>
      <c r="AD163">
        <v>3</v>
      </c>
      <c r="AE163">
        <v>1</v>
      </c>
      <c r="AF163">
        <v>2</v>
      </c>
      <c r="AG163">
        <v>1</v>
      </c>
      <c r="AH163">
        <v>2</v>
      </c>
      <c r="AI163" t="inlineStr">
        <is>
          <t>False</t>
        </is>
      </c>
      <c r="AJ163" s="2" t="str">
        <f>HYPERLINK("https://keepa.com/#!product/1-B00US0M7GC", "https://keepa.com/#!product/1-B00US0M7GC")</f>
      </c>
      <c r="AK163" s="2" t="str">
        <f>HYPERLINK("https://camelcamelcamel.com/search?sq=B00US0M7GC", "https://camelcamelcamel.com/search?sq=B00US0M7GC")</f>
      </c>
      <c r="AL163" t="inlineStr">
        <is>
          <t/>
        </is>
      </c>
      <c r="AM163" s="10">
        <v>45417.11111111111</v>
      </c>
      <c r="AN163" t="inlineStr">
        <is>
          <t>Nespresso Capsules OriginalLine, Arpeggio Decaffeinato, Dark Roast Coffee, 10 Count Coffee Pods(Pack of 5), Brews 1.35 Ounce (ORIGINALLINE ONLY) (Pack of 5)</t>
        </is>
      </c>
      <c r="AO163" t="inlineStr">
        <is>
          <t>600</t>
        </is>
      </c>
      <c r="AP163" t="inlineStr">
        <is>
          <t>300</t>
        </is>
      </c>
    </row>
    <row r="164">
      <c r="A164" t="inlineStr">
        <is>
          <t>B00VF3G5ZK</t>
        </is>
      </c>
      <c r="B164" t="inlineStr">
        <is>
          <t>False</t>
        </is>
      </c>
      <c r="C164" t="inlineStr">
        <is>
          <t>B00VF3G5ZK</t>
        </is>
      </c>
      <c r="D164" t="inlineStr">
        <is>
          <t>simplehuman</t>
        </is>
      </c>
      <c r="E164" t="inlineStr">
        <is>
          <t>False</t>
        </is>
      </c>
      <c r="F164" t="inlineStr">
        <is>
          <t>simplehuman 55 Liter / 14.5 Gallon Rectangular Hands-Free Kitchen Step Trash Can with Soft-Close Lid, Brushed Stainless Steel</t>
        </is>
      </c>
      <c r="G164">
        <v>1</v>
      </c>
      <c r="H164" s="2" t="str">
        <f>HYPERLINK("https://www.amazon.com/dp/B00VF3G5ZK", "https://www.amazon.com/dp/B00VF3G5ZK")</f>
      </c>
      <c r="I164" s="3">
        <v>3725</v>
      </c>
      <c r="J164" s="4">
        <v>24.19</v>
      </c>
      <c r="K164" s="5">
        <v>0.1344</v>
      </c>
      <c r="L164" s="15">
        <v>0.3247</v>
      </c>
      <c r="M164" t="inlineStr">
        <is>
          <t>True</t>
        </is>
      </c>
      <c r="N164" t="inlineStr">
        <is>
          <t>Home &amp; Kitchen</t>
        </is>
      </c>
      <c r="O164" s="6">
        <v>4924</v>
      </c>
      <c r="P164" s="6">
        <v>4999</v>
      </c>
      <c r="Q164" s="6">
        <v>3105</v>
      </c>
      <c r="R164" s="6">
        <v>251</v>
      </c>
      <c r="S164" s="7">
        <v>74.5</v>
      </c>
      <c r="T164" s="7">
        <v>179.99</v>
      </c>
      <c r="U164">
        <v>176.62</v>
      </c>
      <c r="V164" s="8">
        <v>0</v>
      </c>
      <c r="W164" s="7">
        <v>0</v>
      </c>
      <c r="X164" s="7">
        <v>0</v>
      </c>
      <c r="Y164">
        <v>22.11</v>
      </c>
      <c r="Z164" s="9">
        <v>0.94</v>
      </c>
      <c r="AB164">
        <v>0</v>
      </c>
      <c r="AC164">
        <v>0</v>
      </c>
      <c r="AD164">
        <v>11</v>
      </c>
      <c r="AE164">
        <v>1</v>
      </c>
      <c r="AF164">
        <v>2</v>
      </c>
      <c r="AG164">
        <v>1</v>
      </c>
      <c r="AH164">
        <v>6</v>
      </c>
      <c r="AI164" t="inlineStr">
        <is>
          <t>False</t>
        </is>
      </c>
      <c r="AJ164" s="2" t="str">
        <f>HYPERLINK("https://keepa.com/#!product/1-B00VF3G5ZK", "https://keepa.com/#!product/1-B00VF3G5ZK")</f>
      </c>
      <c r="AK164" s="2" t="str">
        <f>HYPERLINK("https://camelcamelcamel.com/search?sq=B00VF3G5ZK", "https://camelcamelcamel.com/search?sq=B00VF3G5ZK")</f>
      </c>
      <c r="AL164" t="inlineStr">
        <is>
          <t/>
        </is>
      </c>
      <c r="AM164" s="10">
        <v>45417.11111111111</v>
      </c>
      <c r="AN164" t="inlineStr">
        <is>
          <t>simplehuman 55 Liter / 14.5 Gallon Rectangular Hands-Free Kitchen Step Trash Can with Soft-Close Lid, Brushed Stainless Steel</t>
        </is>
      </c>
      <c r="AO164" t="inlineStr">
        <is>
          <t>500</t>
        </is>
      </c>
      <c r="AP164" t="inlineStr">
        <is>
          <t>100</t>
        </is>
      </c>
    </row>
    <row r="165">
      <c r="A165" t="inlineStr">
        <is>
          <t>B00XZ2GD06</t>
        </is>
      </c>
      <c r="B165" t="inlineStr">
        <is>
          <t>False</t>
        </is>
      </c>
      <c r="C165" t="inlineStr">
        <is>
          <t>B00XZ2GD06</t>
        </is>
      </c>
      <c r="D165" t="inlineStr">
        <is>
          <t>Dr. Bronner's</t>
        </is>
      </c>
      <c r="E165" t="inlineStr">
        <is>
          <t>False</t>
        </is>
      </c>
      <c r="F165" t="inlineStr">
        <is>
          <t>Dr. Bronner’s - All-One Toothpaste (Cinnamon, 5 Ounce) - 70% Organic Ingredients, Natural and Effective, Fluoride-Free, SLS-Free, Helps Freshen Breath, Reduce Plaque, Whiten Teeth, Vegan</t>
        </is>
      </c>
      <c r="G165">
        <v>1</v>
      </c>
      <c r="H165" s="2" t="str">
        <f>HYPERLINK("https://www.amazon.com/dp/B00XZ2GD06", "https://www.amazon.com/dp/B00XZ2GD06")</f>
      </c>
      <c r="I165" s="3">
        <v>6567</v>
      </c>
      <c r="J165" s="11">
        <v>0.92</v>
      </c>
      <c r="K165" s="5">
        <v>0.0934</v>
      </c>
      <c r="L165" s="5">
        <v>0.184</v>
      </c>
      <c r="M165" t="inlineStr">
        <is>
          <t>True</t>
        </is>
      </c>
      <c r="N165" t="inlineStr">
        <is>
          <t>Health &amp; Household</t>
        </is>
      </c>
      <c r="O165" s="6">
        <v>3951</v>
      </c>
      <c r="P165" s="6">
        <v>4531</v>
      </c>
      <c r="Q165" s="6">
        <v>3114</v>
      </c>
      <c r="R165" s="6">
        <v>254</v>
      </c>
      <c r="S165" s="7">
        <v>5</v>
      </c>
      <c r="T165" s="7">
        <v>9.85</v>
      </c>
      <c r="U165">
        <v>9.3</v>
      </c>
      <c r="V165" s="8">
        <v>0</v>
      </c>
      <c r="W165" s="7">
        <v>0</v>
      </c>
      <c r="X165" s="7">
        <v>0</v>
      </c>
      <c r="Y165">
        <v>0.37</v>
      </c>
      <c r="Z165" s="9">
        <v>0.02</v>
      </c>
      <c r="AB165">
        <v>0</v>
      </c>
      <c r="AC165">
        <v>0</v>
      </c>
      <c r="AD165">
        <v>18</v>
      </c>
      <c r="AE165">
        <v>10</v>
      </c>
      <c r="AF165">
        <v>8</v>
      </c>
      <c r="AG165">
        <v>4</v>
      </c>
      <c r="AH165">
        <v>9</v>
      </c>
      <c r="AI165" t="inlineStr">
        <is>
          <t>False</t>
        </is>
      </c>
      <c r="AJ165" s="2" t="str">
        <f>HYPERLINK("https://keepa.com/#!product/1-B00XZ2GD06", "https://keepa.com/#!product/1-B00XZ2GD06")</f>
      </c>
      <c r="AK165" s="2" t="str">
        <f>HYPERLINK("https://camelcamelcamel.com/search?sq=B00XZ2GD06", "https://camelcamelcamel.com/search?sq=B00XZ2GD06")</f>
      </c>
      <c r="AL165" t="inlineStr">
        <is>
          <t/>
        </is>
      </c>
      <c r="AM165" s="10">
        <v>45417.11111111111</v>
      </c>
      <c r="AN165" t="inlineStr">
        <is>
          <t>Dr. Bronnerâ€™s - All-One Toothpaste (Cinnamon, 5 Ounce) - 70% Organic Ingredients, Natural and Effective, Fluoride-Free, SLS-Free, Helps Freshen Breath, Reduce Plaque, Whiten Teeth, Vegan</t>
        </is>
      </c>
      <c r="AO165" t="inlineStr">
        <is>
          <t>1000</t>
        </is>
      </c>
      <c r="AP165" t="inlineStr">
        <is>
          <t>TAKE ALL</t>
        </is>
      </c>
    </row>
    <row r="166">
      <c r="A166" t="inlineStr">
        <is>
          <t>B00YVDP624</t>
        </is>
      </c>
      <c r="B166" t="inlineStr">
        <is>
          <t>False</t>
        </is>
      </c>
      <c r="C166" t="inlineStr">
        <is>
          <t>B00YVDP624</t>
        </is>
      </c>
      <c r="D166" t="inlineStr">
        <is>
          <t>Peet's Coffee</t>
        </is>
      </c>
      <c r="E166" t="inlineStr">
        <is>
          <t>False</t>
        </is>
      </c>
      <c r="F166" t="inlineStr">
        <is>
          <t>Peet's Coffee, Dark Roast K-Cup Pods for Keurig Brewers - French Roast 32 Count (1 Box of 32 K-Cup Pods)</t>
        </is>
      </c>
      <c r="G166">
        <v>1</v>
      </c>
      <c r="H166" s="2" t="str">
        <f>HYPERLINK("https://www.amazon.com/dp/B00YVDP624", "https://www.amazon.com/dp/B00YVDP624")</f>
      </c>
      <c r="I166" s="3">
        <v>22366</v>
      </c>
      <c r="J166" s="11">
        <v>0.36</v>
      </c>
      <c r="K166" s="5">
        <v>0.0144</v>
      </c>
      <c r="L166" s="5">
        <v>0.0236</v>
      </c>
      <c r="M166" t="inlineStr">
        <is>
          <t>True</t>
        </is>
      </c>
      <c r="N166" t="inlineStr">
        <is>
          <t>Grocery &amp; Gourmet Food</t>
        </is>
      </c>
      <c r="O166" s="6">
        <v>7</v>
      </c>
      <c r="P166" s="6">
        <v>545</v>
      </c>
      <c r="Q166" s="6">
        <v>7</v>
      </c>
      <c r="R166" s="6">
        <v>236</v>
      </c>
      <c r="S166" s="7">
        <v>15.25</v>
      </c>
      <c r="T166" s="7">
        <v>24.99</v>
      </c>
      <c r="U166">
        <v>25.1</v>
      </c>
      <c r="V166" s="8">
        <v>0</v>
      </c>
      <c r="W166" s="7">
        <v>0</v>
      </c>
      <c r="X166" s="7">
        <v>0</v>
      </c>
      <c r="Y166">
        <v>1.1</v>
      </c>
      <c r="Z166" s="9">
        <v>1</v>
      </c>
      <c r="AB166">
        <v>0</v>
      </c>
      <c r="AC166">
        <v>0</v>
      </c>
      <c r="AD166">
        <v>14</v>
      </c>
      <c r="AE166">
        <v>3</v>
      </c>
      <c r="AF166">
        <v>11</v>
      </c>
      <c r="AG166">
        <v>2</v>
      </c>
      <c r="AH166">
        <v>104</v>
      </c>
      <c r="AI166" t="inlineStr">
        <is>
          <t>False</t>
        </is>
      </c>
      <c r="AJ166" s="2" t="str">
        <f>HYPERLINK("https://keepa.com/#!product/1-B00YVDP624", "https://keepa.com/#!product/1-B00YVDP624")</f>
      </c>
      <c r="AK166" s="2" t="str">
        <f>HYPERLINK("https://camelcamelcamel.com/search?sq=B00YVDP624", "https://camelcamelcamel.com/search?sq=B00YVDP624")</f>
      </c>
      <c r="AL166" t="inlineStr">
        <is>
          <t/>
        </is>
      </c>
      <c r="AM166" s="10">
        <v>45417.11111111111</v>
      </c>
      <c r="AN166" t="inlineStr">
        <is>
          <t>Peet's Coffee, Dark Roast K-Cup Pods for Keurig Brewers - French Roast 32 Count (1 Box of 32 K-Cup Pods)</t>
        </is>
      </c>
      <c r="AO166" t="inlineStr">
        <is>
          <t>1200</t>
        </is>
      </c>
      <c r="AP166" t="inlineStr">
        <is>
          <t>600</t>
        </is>
      </c>
    </row>
    <row r="167">
      <c r="A167" t="inlineStr">
        <is>
          <t>B00ZGPI3OY</t>
        </is>
      </c>
      <c r="B167" t="inlineStr">
        <is>
          <t>False</t>
        </is>
      </c>
      <c r="C167" t="inlineStr">
        <is>
          <t>B00ZGPI3OY</t>
        </is>
      </c>
      <c r="D167" t="inlineStr">
        <is>
          <t>Hertzko</t>
        </is>
      </c>
      <c r="E167" t="inlineStr">
        <is>
          <t>False</t>
        </is>
      </c>
      <c r="F167" t="inlineStr">
        <is>
          <t>Hertzko Dog &amp; Cat Brush, Dog Brush for Shedding, Cat &amp; Dog Grooming, Self Cleaning Slicker Brush for Pets, Grooming Brushes for Long Short Haired Dogs Cats, Deshedding Brush, Rake, Comb | Original</t>
        </is>
      </c>
      <c r="G167">
        <v>1</v>
      </c>
      <c r="H167" s="2" t="str">
        <f>HYPERLINK("https://www.amazon.com/dp/B00ZGPI3OY", "https://www.amazon.com/dp/B00ZGPI3OY")</f>
      </c>
      <c r="I167" s="3">
        <v>12149</v>
      </c>
      <c r="J167" s="11">
        <v>1.63</v>
      </c>
      <c r="K167" s="5">
        <v>0.12789999999999999</v>
      </c>
      <c r="L167" s="15">
        <v>0.326</v>
      </c>
      <c r="M167" t="inlineStr">
        <is>
          <t>True</t>
        </is>
      </c>
      <c r="N167" t="inlineStr">
        <is>
          <t>Pet Supplies</t>
        </is>
      </c>
      <c r="O167" s="6">
        <v>530</v>
      </c>
      <c r="P167" s="6">
        <v>487</v>
      </c>
      <c r="Q167" s="6">
        <v>296</v>
      </c>
      <c r="R167" s="6">
        <v>316</v>
      </c>
      <c r="S167" s="7">
        <v>5</v>
      </c>
      <c r="T167" s="7">
        <v>12.74</v>
      </c>
      <c r="U167">
        <v>13.04</v>
      </c>
      <c r="V167" s="8">
        <v>0</v>
      </c>
      <c r="W167" s="7">
        <v>0</v>
      </c>
      <c r="X167" s="7">
        <v>0</v>
      </c>
      <c r="Y167">
        <v>0.51</v>
      </c>
      <c r="Z167" s="8">
        <v>0</v>
      </c>
      <c r="AB167">
        <v>0</v>
      </c>
      <c r="AC167">
        <v>0</v>
      </c>
      <c r="AD167">
        <v>5</v>
      </c>
      <c r="AE167">
        <v>4</v>
      </c>
      <c r="AF167">
        <v>1</v>
      </c>
      <c r="AG167">
        <v>4</v>
      </c>
      <c r="AH167">
        <v>7</v>
      </c>
      <c r="AI167" t="inlineStr">
        <is>
          <t>False</t>
        </is>
      </c>
      <c r="AJ167" s="2" t="str">
        <f>HYPERLINK("https://keepa.com/#!product/1-B00ZGPI3OY", "https://keepa.com/#!product/1-B00ZGPI3OY")</f>
      </c>
      <c r="AK167" s="2" t="str">
        <f>HYPERLINK("https://camelcamelcamel.com/search?sq=B00ZGPI3OY", "https://camelcamelcamel.com/search?sq=B00ZGPI3OY")</f>
      </c>
      <c r="AL167" t="inlineStr">
        <is>
          <t/>
        </is>
      </c>
      <c r="AM167" s="10">
        <v>45417.11111111111</v>
      </c>
      <c r="AN167" t="inlineStr">
        <is>
          <t>Hertzko Dog &amp; Cat Brush, Dog Brush for Shedding, Cat &amp; Dog Grooming, Self Cleaning Slicker Brush for Pets, Grooming Brushes for Long Short Haired Dogs Cats, Deshedding Brush, Rake, Comb | Original</t>
        </is>
      </c>
      <c r="AO167" t="inlineStr">
        <is>
          <t>3000</t>
        </is>
      </c>
      <c r="AP167" t="inlineStr">
        <is>
          <t>TAKE ALL</t>
        </is>
      </c>
    </row>
    <row r="168">
      <c r="A168" t="inlineStr">
        <is>
          <t>B00ZVNCXOM</t>
        </is>
      </c>
      <c r="B168" t="inlineStr">
        <is>
          <t>False</t>
        </is>
      </c>
      <c r="C168" t="inlineStr">
        <is>
          <t>B00ZVNCXOM</t>
        </is>
      </c>
      <c r="D168" t="inlineStr">
        <is>
          <t>Nutricost</t>
        </is>
      </c>
      <c r="E168" t="inlineStr">
        <is>
          <t>False</t>
        </is>
      </c>
      <c r="F168" t="inlineStr">
        <is>
          <t>Nutricost Ascorbic Acid Powder (Vitamin C) 2 LBS - Gluten Free, Non-GMO</t>
        </is>
      </c>
      <c r="G168">
        <v>1</v>
      </c>
      <c r="H168" s="2" t="str">
        <f>HYPERLINK("https://www.amazon.com/dp/B00ZVNCXOM", "https://www.amazon.com/dp/B00ZVNCXOM")</f>
      </c>
      <c r="I168" s="3">
        <v>2056</v>
      </c>
      <c r="J168" s="11">
        <v>3.23</v>
      </c>
      <c r="K168" s="5">
        <v>0.1199</v>
      </c>
      <c r="L168" s="5">
        <v>0.2349</v>
      </c>
      <c r="M168" t="inlineStr">
        <is>
          <t>True</t>
        </is>
      </c>
      <c r="N168" t="inlineStr">
        <is>
          <t>Health &amp; Household</t>
        </is>
      </c>
      <c r="O168" s="6">
        <v>12436</v>
      </c>
      <c r="P168" s="6">
        <v>11701</v>
      </c>
      <c r="Q168" s="6">
        <v>8962</v>
      </c>
      <c r="R168" s="6">
        <v>115</v>
      </c>
      <c r="S168" s="7">
        <v>13.75</v>
      </c>
      <c r="T168" s="7">
        <v>26.95</v>
      </c>
      <c r="U168">
        <v>25.98</v>
      </c>
      <c r="V168" s="8">
        <v>0</v>
      </c>
      <c r="W168" s="7">
        <v>0</v>
      </c>
      <c r="X168" s="7">
        <v>0</v>
      </c>
      <c r="Y168">
        <v>2.25</v>
      </c>
      <c r="Z168" s="8">
        <v>0</v>
      </c>
      <c r="AB168">
        <v>0</v>
      </c>
      <c r="AC168">
        <v>0</v>
      </c>
      <c r="AD168">
        <v>3</v>
      </c>
      <c r="AE168">
        <v>1</v>
      </c>
      <c r="AF168">
        <v>2</v>
      </c>
      <c r="AG168">
        <v>1</v>
      </c>
      <c r="AH168">
        <v>3</v>
      </c>
      <c r="AI168" t="inlineStr">
        <is>
          <t>False</t>
        </is>
      </c>
      <c r="AJ168" s="2" t="str">
        <f>HYPERLINK("https://keepa.com/#!product/1-B00ZVNCXOM", "https://keepa.com/#!product/1-B00ZVNCXOM")</f>
      </c>
      <c r="AK168" s="2" t="str">
        <f>HYPERLINK("https://camelcamelcamel.com/search?sq=B00ZVNCXOM", "https://camelcamelcamel.com/search?sq=B00ZVNCXOM")</f>
      </c>
      <c r="AL168" t="inlineStr">
        <is>
          <t/>
        </is>
      </c>
      <c r="AM168" s="10">
        <v>45417.11111111111</v>
      </c>
      <c r="AN168" t="inlineStr">
        <is>
          <t>Nutricost Ascorbic Acid Powder (Vitamin C) 2 LBS - Gluten Free, Non-GMO</t>
        </is>
      </c>
      <c r="AO168" t="inlineStr">
        <is>
          <t>500</t>
        </is>
      </c>
      <c r="AP168" t="inlineStr">
        <is>
          <t>TAKE ALL</t>
        </is>
      </c>
    </row>
    <row r="169">
      <c r="A169" t="inlineStr">
        <is>
          <t>B010RWCZN0</t>
        </is>
      </c>
      <c r="B169" t="inlineStr">
        <is>
          <t>False</t>
        </is>
      </c>
      <c r="C169" t="inlineStr">
        <is>
          <t>B010RWCZN0</t>
        </is>
      </c>
      <c r="D169" t="inlineStr">
        <is>
          <t>Nike</t>
        </is>
      </c>
      <c r="E169" t="inlineStr">
        <is>
          <t>True</t>
        </is>
      </c>
      <c r="F169" t="inlineStr">
        <is>
          <t>NIKE Unisex Performance Cushion Crew Socks with Band (6 Pairs), Black/White, Small</t>
        </is>
      </c>
      <c r="G169">
        <v>1</v>
      </c>
      <c r="H169" s="2" t="str">
        <f>HYPERLINK("https://www.amazon.com/dp/B010RWCZN0", "https://www.amazon.com/dp/B010RWCZN0")</f>
      </c>
      <c r="I169" s="3">
        <v>28481</v>
      </c>
      <c r="J169" s="12">
        <v>-1.01</v>
      </c>
      <c r="K169" s="13">
        <v>-0.0404</v>
      </c>
      <c r="L169" s="13">
        <v>-0.0641</v>
      </c>
      <c r="M169" t="inlineStr">
        <is>
          <t>True</t>
        </is>
      </c>
      <c r="N169" t="inlineStr">
        <is>
          <t>Clothing, Shoes &amp; Jewelry</t>
        </is>
      </c>
      <c r="O169" s="6">
        <v>63</v>
      </c>
      <c r="P169" s="6">
        <v>75</v>
      </c>
      <c r="Q169" s="6">
        <v>16</v>
      </c>
      <c r="R169" s="6">
        <v>296</v>
      </c>
      <c r="S169" s="7">
        <v>15.75</v>
      </c>
      <c r="T169" s="7">
        <v>24.99</v>
      </c>
      <c r="U169">
        <v>29.39</v>
      </c>
      <c r="V169" s="8">
        <v>0</v>
      </c>
      <c r="W169" s="7">
        <v>0</v>
      </c>
      <c r="X169" s="7">
        <v>0</v>
      </c>
      <c r="Y169">
        <v>0.64</v>
      </c>
      <c r="Z169" s="8">
        <v>0</v>
      </c>
      <c r="AB169">
        <v>0</v>
      </c>
      <c r="AC169">
        <v>0</v>
      </c>
      <c r="AD169">
        <v>36</v>
      </c>
      <c r="AE169">
        <v>24</v>
      </c>
      <c r="AF169">
        <v>12</v>
      </c>
      <c r="AG169">
        <v>1</v>
      </c>
      <c r="AH169">
        <v>11</v>
      </c>
      <c r="AI169" t="inlineStr">
        <is>
          <t>False</t>
        </is>
      </c>
      <c r="AJ169" s="2" t="str">
        <f>HYPERLINK("https://keepa.com/#!product/1-B010RWCZN0", "https://keepa.com/#!product/1-B010RWCZN0")</f>
      </c>
      <c r="AK169" s="2" t="str">
        <f>HYPERLINK("https://camelcamelcamel.com/search?sq=B010RWCZN0", "https://camelcamelcamel.com/search?sq=B010RWCZN0")</f>
      </c>
      <c r="AL169" t="inlineStr">
        <is>
          <t/>
        </is>
      </c>
      <c r="AM169" s="10">
        <v>45417.11111111111</v>
      </c>
      <c r="AN169" t="inlineStr">
        <is>
          <t>Nike Performance Cushion Crew Socks with Band (6 Pairs) Black</t>
        </is>
      </c>
      <c r="AO169" t="inlineStr">
        <is>
          <t>2000</t>
        </is>
      </c>
      <c r="AP169" t="inlineStr">
        <is>
          <t>500</t>
        </is>
      </c>
    </row>
    <row r="170">
      <c r="A170" t="inlineStr">
        <is>
          <t>B010RWDEMQ</t>
        </is>
      </c>
      <c r="B170" t="inlineStr">
        <is>
          <t>False</t>
        </is>
      </c>
      <c r="C170" t="inlineStr">
        <is>
          <t>B010RWDEMQ</t>
        </is>
      </c>
      <c r="D170" t="inlineStr">
        <is>
          <t>Nike</t>
        </is>
      </c>
      <c r="E170" t="inlineStr">
        <is>
          <t>True</t>
        </is>
      </c>
      <c r="F170" t="inlineStr">
        <is>
          <t>NIKE Unisex Performance Cushion Crew Socks with Band (6 Pairs), White/Black, Small</t>
        </is>
      </c>
      <c r="G170">
        <v>1</v>
      </c>
      <c r="H170" s="2" t="str">
        <f>HYPERLINK("https://www.amazon.com/dp/B010RWDEMQ", "https://www.amazon.com/dp/B010RWDEMQ")</f>
      </c>
      <c r="I170" s="3">
        <v>28481</v>
      </c>
      <c r="J170" s="11">
        <v>3.48</v>
      </c>
      <c r="K170" s="5">
        <v>0.11230000000000001</v>
      </c>
      <c r="L170" s="5">
        <v>0.21420000000000003</v>
      </c>
      <c r="M170" t="inlineStr">
        <is>
          <t>True</t>
        </is>
      </c>
      <c r="N170" t="inlineStr">
        <is>
          <t>Clothing, Shoes &amp; Jewelry</t>
        </is>
      </c>
      <c r="O170" s="6">
        <v>63</v>
      </c>
      <c r="P170" s="6">
        <v>77</v>
      </c>
      <c r="Q170" s="6">
        <v>15</v>
      </c>
      <c r="R170" s="6">
        <v>401</v>
      </c>
      <c r="S170" s="7">
        <v>16.25</v>
      </c>
      <c r="T170" s="7">
        <v>31</v>
      </c>
      <c r="U170">
        <v>25.14</v>
      </c>
      <c r="V170" s="8">
        <v>0</v>
      </c>
      <c r="W170" s="7">
        <v>0</v>
      </c>
      <c r="X170" s="7">
        <v>0</v>
      </c>
      <c r="Y170">
        <v>0.55</v>
      </c>
      <c r="Z170" s="8">
        <v>0</v>
      </c>
      <c r="AB170">
        <v>0</v>
      </c>
      <c r="AC170">
        <v>0</v>
      </c>
      <c r="AD170">
        <v>31</v>
      </c>
      <c r="AE170">
        <v>16</v>
      </c>
      <c r="AF170">
        <v>15</v>
      </c>
      <c r="AG170">
        <v>5</v>
      </c>
      <c r="AH170">
        <v>11</v>
      </c>
      <c r="AI170" t="inlineStr">
        <is>
          <t>False</t>
        </is>
      </c>
      <c r="AJ170" s="2" t="str">
        <f>HYPERLINK("https://keepa.com/#!product/1-B010RWDEMQ", "https://keepa.com/#!product/1-B010RWDEMQ")</f>
      </c>
      <c r="AK170" s="2" t="str">
        <f>HYPERLINK("https://camelcamelcamel.com/search?sq=B010RWDEMQ", "https://camelcamelcamel.com/search?sq=B010RWDEMQ")</f>
      </c>
      <c r="AL170" t="inlineStr">
        <is>
          <t/>
        </is>
      </c>
      <c r="AM170" s="10">
        <v>45417.11111111111</v>
      </c>
      <c r="AN170" t="inlineStr">
        <is>
          <t>Nike Performance Cushion Crew Socks with Band (6 Pairs)</t>
        </is>
      </c>
      <c r="AO170" t="inlineStr">
        <is>
          <t>3000</t>
        </is>
      </c>
      <c r="AP170" t="inlineStr">
        <is>
          <t>500</t>
        </is>
      </c>
    </row>
    <row r="171">
      <c r="A171" t="inlineStr">
        <is>
          <t>B010VFKZEO</t>
        </is>
      </c>
      <c r="B171" t="inlineStr">
        <is>
          <t>False</t>
        </is>
      </c>
      <c r="C171" t="inlineStr">
        <is>
          <t>B010VFKZEO</t>
        </is>
      </c>
      <c r="D171" t="inlineStr">
        <is>
          <t>Amazon Basics</t>
        </is>
      </c>
      <c r="E171" t="inlineStr">
        <is>
          <t>False</t>
        </is>
      </c>
      <c r="F171" t="inlineStr">
        <is>
          <t>Amazon Basics 46,000 BTU (13489.74 watts) Outdoor Propane Patio Heater with Wheels, Commercial &amp; Residential, Slate Gray, 32.1 x 32.1 x 91.3 inches (LxWxH)</t>
        </is>
      </c>
      <c r="G171">
        <v>1</v>
      </c>
      <c r="H171" s="2" t="str">
        <f>HYPERLINK("https://www.amazon.com/dp/B010VFKZEO", "https://www.amazon.com/dp/B010VFKZEO")</f>
      </c>
      <c r="I171" s="3">
        <v>832</v>
      </c>
      <c r="J171" s="12">
        <v>-30.15</v>
      </c>
      <c r="K171" s="13">
        <v>-0.2303</v>
      </c>
      <c r="L171" s="13">
        <v>-0.37920000000000004</v>
      </c>
      <c r="M171" t="inlineStr">
        <is>
          <t>True</t>
        </is>
      </c>
      <c r="N171" t="inlineStr">
        <is>
          <t>Patio, Lawn &amp; Garden</t>
        </is>
      </c>
      <c r="O171" s="6">
        <v>8818</v>
      </c>
      <c r="P171" s="6">
        <v>5445</v>
      </c>
      <c r="Q171" s="6">
        <v>1</v>
      </c>
      <c r="R171" s="6">
        <v>283</v>
      </c>
      <c r="S171" s="7">
        <v>79.5</v>
      </c>
      <c r="T171" s="7">
        <v>130.94</v>
      </c>
      <c r="U171">
        <v>145.92</v>
      </c>
      <c r="V171" s="8">
        <v>0</v>
      </c>
      <c r="W171" s="7">
        <v>0</v>
      </c>
      <c r="X171" s="7">
        <v>0</v>
      </c>
      <c r="Y171">
        <v>44.37</v>
      </c>
      <c r="Z171" s="9">
        <v>1</v>
      </c>
      <c r="AB171">
        <v>0</v>
      </c>
      <c r="AC171">
        <v>0</v>
      </c>
      <c r="AD171">
        <v>6</v>
      </c>
      <c r="AE171">
        <v>1</v>
      </c>
      <c r="AF171">
        <v>0</v>
      </c>
      <c r="AG171">
        <v>1</v>
      </c>
      <c r="AH171">
        <v>2</v>
      </c>
      <c r="AI171" t="inlineStr">
        <is>
          <t>True</t>
        </is>
      </c>
      <c r="AJ171" s="2" t="str">
        <f>HYPERLINK("https://keepa.com/#!product/1-B010VFKZEO", "https://keepa.com/#!product/1-B010VFKZEO")</f>
      </c>
      <c r="AK171" s="2" t="str">
        <f>HYPERLINK("https://camelcamelcamel.com/search?sq=B010VFKZEO", "https://camelcamelcamel.com/search?sq=B010VFKZEO")</f>
      </c>
      <c r="AL171" t="inlineStr">
        <is>
          <t/>
        </is>
      </c>
      <c r="AM171" s="10">
        <v>45417.11111111111</v>
      </c>
      <c r="AN171" t="inlineStr">
        <is>
          <t>Amazon Basics 46,000 BTU Outdoor Propane Patio Heater with Wheels, Commercial &amp; Residential, Slate Gray, 32.1 x 32.1 x 91.3 inches (LxWxH)</t>
        </is>
      </c>
      <c r="AO171" t="inlineStr">
        <is>
          <t>500</t>
        </is>
      </c>
      <c r="AP171" t="inlineStr">
        <is>
          <t>TAKE ALL</t>
        </is>
      </c>
    </row>
    <row r="172">
      <c r="A172" t="inlineStr">
        <is>
          <t>B0118ECP7M</t>
        </is>
      </c>
      <c r="B172" t="inlineStr">
        <is>
          <t>False</t>
        </is>
      </c>
      <c r="C172" t="inlineStr">
        <is>
          <t>B0118ECP7M</t>
        </is>
      </c>
      <c r="D172" t="inlineStr">
        <is>
          <t>Comfort Zone</t>
        </is>
      </c>
      <c r="E172" t="inlineStr">
        <is>
          <t>False</t>
        </is>
      </c>
      <c r="F172" t="inlineStr">
        <is>
          <t>Comfort Zone Twin Window Fan with Reversible Airflow Control, 9 inch, Auto-Locking Expanders, 2 Speed Fan, Dual Fan, Exhaust, Airflow 9.84 ft/sec, Ideal for Home, Kitchen, Bedroom &amp; Office, CZ319WT</t>
        </is>
      </c>
      <c r="G172">
        <v>1</v>
      </c>
      <c r="H172" s="2" t="str">
        <f>HYPERLINK("https://www.amazon.com/dp/B0118ECP7M", "https://www.amazon.com/dp/B0118ECP7M")</f>
      </c>
      <c r="I172" s="3">
        <v>9292</v>
      </c>
      <c r="J172" s="12">
        <v>-1.06</v>
      </c>
      <c r="K172" s="13">
        <v>-0.0216</v>
      </c>
      <c r="L172" s="13">
        <v>-0.0356</v>
      </c>
      <c r="M172" t="inlineStr">
        <is>
          <t>True</t>
        </is>
      </c>
      <c r="N172" t="inlineStr">
        <is>
          <t>Home &amp; Kitchen</t>
        </is>
      </c>
      <c r="O172" s="6">
        <v>1031</v>
      </c>
      <c r="P172" s="6">
        <v>5138</v>
      </c>
      <c r="Q172" s="6">
        <v>471</v>
      </c>
      <c r="R172" s="6">
        <v>311</v>
      </c>
      <c r="S172" s="7">
        <v>29.75</v>
      </c>
      <c r="T172" s="7">
        <v>49.01</v>
      </c>
      <c r="U172">
        <v>51.76</v>
      </c>
      <c r="V172" s="8">
        <v>0</v>
      </c>
      <c r="W172" s="7">
        <v>0</v>
      </c>
      <c r="X172" s="7">
        <v>0</v>
      </c>
      <c r="Y172">
        <v>5.95</v>
      </c>
      <c r="Z172" s="9">
        <v>1</v>
      </c>
      <c r="AB172">
        <v>0</v>
      </c>
      <c r="AC172">
        <v>0</v>
      </c>
      <c r="AD172">
        <v>13</v>
      </c>
      <c r="AE172">
        <v>3</v>
      </c>
      <c r="AF172">
        <v>3</v>
      </c>
      <c r="AG172">
        <v>2</v>
      </c>
      <c r="AH172">
        <v>4</v>
      </c>
      <c r="AI172" t="inlineStr">
        <is>
          <t>False</t>
        </is>
      </c>
      <c r="AJ172" s="2" t="str">
        <f>HYPERLINK("https://keepa.com/#!product/1-B0118ECP7M", "https://keepa.com/#!product/1-B0118ECP7M")</f>
      </c>
      <c r="AK172" s="2" t="str">
        <f>HYPERLINK("https://camelcamelcamel.com/search?sq=B0118ECP7M", "https://camelcamelcamel.com/search?sq=B0118ECP7M")</f>
      </c>
      <c r="AL172" t="inlineStr">
        <is>
          <t/>
        </is>
      </c>
      <c r="AM172" s="10">
        <v>45417.11111111111</v>
      </c>
      <c r="AN172" t="inlineStr">
        <is>
          <t>Comfort Zone 9" Twin Window Fan with Reversible Airflow Control, Auto-Locking Expanders and 2-Speed Fan Switch, Ideal for Home, Kitchen, Bedroom &amp; Office, CZ319WT</t>
        </is>
      </c>
      <c r="AO172" t="inlineStr">
        <is>
          <t>500</t>
        </is>
      </c>
      <c r="AP172" t="inlineStr">
        <is>
          <t>250</t>
        </is>
      </c>
    </row>
    <row r="173">
      <c r="A173" t="inlineStr">
        <is>
          <t>B011CNH768</t>
        </is>
      </c>
      <c r="B173" t="inlineStr">
        <is>
          <t>False</t>
        </is>
      </c>
      <c r="C173" t="inlineStr">
        <is>
          <t>B011CNH768</t>
        </is>
      </c>
      <c r="D173" t="inlineStr">
        <is>
          <t>PG Tips</t>
        </is>
      </c>
      <c r="E173" t="inlineStr">
        <is>
          <t>False</t>
        </is>
      </c>
      <c r="F173" t="inlineStr">
        <is>
          <t>PG Tips Original 160 Tea Bags</t>
        </is>
      </c>
      <c r="G173">
        <v>1</v>
      </c>
      <c r="H173" s="2" t="str">
        <f>HYPERLINK("https://www.amazon.com/dp/B011CNH768", "https://www.amazon.com/dp/B011CNH768")</f>
      </c>
      <c r="I173" s="3">
        <v>3969</v>
      </c>
      <c r="J173" s="12">
        <v>-1.34</v>
      </c>
      <c r="K173" s="13">
        <v>-0.0932</v>
      </c>
      <c r="L173" s="13">
        <v>-0.1411</v>
      </c>
      <c r="M173" t="inlineStr">
        <is>
          <t>True</t>
        </is>
      </c>
      <c r="N173" t="inlineStr">
        <is>
          <t>Grocery &amp; Gourmet Food</t>
        </is>
      </c>
      <c r="O173" s="6">
        <v>1570</v>
      </c>
      <c r="P173" s="6">
        <v>1329</v>
      </c>
      <c r="Q173" s="6">
        <v>837</v>
      </c>
      <c r="R173" s="6">
        <v>208</v>
      </c>
      <c r="S173" s="7">
        <v>9.5</v>
      </c>
      <c r="T173" s="7">
        <v>14.38</v>
      </c>
      <c r="U173">
        <v>17.13</v>
      </c>
      <c r="V173" s="8">
        <v>0</v>
      </c>
      <c r="W173" s="7">
        <v>0</v>
      </c>
      <c r="X173" s="7">
        <v>0</v>
      </c>
      <c r="Y173">
        <v>1.21</v>
      </c>
      <c r="Z173" s="8">
        <v>0</v>
      </c>
      <c r="AB173">
        <v>0</v>
      </c>
      <c r="AC173">
        <v>0</v>
      </c>
      <c r="AD173">
        <v>19</v>
      </c>
      <c r="AE173">
        <v>10</v>
      </c>
      <c r="AF173">
        <v>9</v>
      </c>
      <c r="AG173">
        <v>2</v>
      </c>
      <c r="AH173">
        <v>10</v>
      </c>
      <c r="AI173" t="inlineStr">
        <is>
          <t>False</t>
        </is>
      </c>
      <c r="AJ173" s="2" t="str">
        <f>HYPERLINK("https://keepa.com/#!product/1-B011CNH768", "https://keepa.com/#!product/1-B011CNH768")</f>
      </c>
      <c r="AK173" s="2" t="str">
        <f>HYPERLINK("https://camelcamelcamel.com/search?sq=B011CNH768", "https://camelcamelcamel.com/search?sq=B011CNH768")</f>
      </c>
      <c r="AL173" t="inlineStr">
        <is>
          <t/>
        </is>
      </c>
      <c r="AM173" s="10">
        <v>45417.11111111111</v>
      </c>
      <c r="AN173" t="inlineStr">
        <is>
          <t>PG tips Original 160 Pyramid Tea bags.</t>
        </is>
      </c>
      <c r="AO173" t="inlineStr">
        <is>
          <t>3000</t>
        </is>
      </c>
      <c r="AP173" t="inlineStr">
        <is>
          <t>350</t>
        </is>
      </c>
    </row>
    <row r="174">
      <c r="A174" t="inlineStr">
        <is>
          <t>B012ET2E80</t>
        </is>
      </c>
      <c r="B174" t="inlineStr">
        <is>
          <t>False</t>
        </is>
      </c>
      <c r="C174" t="inlineStr">
        <is>
          <t>B012ET2E80</t>
        </is>
      </c>
      <c r="D174" t="inlineStr">
        <is>
          <t>Boiron</t>
        </is>
      </c>
      <c r="E174" t="inlineStr">
        <is>
          <t>False</t>
        </is>
      </c>
      <c r="F174" t="inlineStr">
        <is>
          <t>Boiron Cyclease PMS Relief Tablets for Symptoms from PMS of Bloating, Aches, Mood Swings, and Irritability - 60 Count</t>
        </is>
      </c>
      <c r="G174">
        <v>1</v>
      </c>
      <c r="H174" s="2" t="str">
        <f>HYPERLINK("https://www.amazon.com/dp/B012ET2E80", "https://www.amazon.com/dp/B012ET2E80")</f>
      </c>
      <c r="I174" s="3">
        <v>1191</v>
      </c>
      <c r="J174" s="11">
        <v>1.1</v>
      </c>
      <c r="K174" s="5">
        <v>0.11220000000000001</v>
      </c>
      <c r="L174" s="5">
        <v>0.22</v>
      </c>
      <c r="M174" t="inlineStr">
        <is>
          <t>True</t>
        </is>
      </c>
      <c r="N174" t="inlineStr">
        <is>
          <t>Health &amp; Household</t>
        </is>
      </c>
      <c r="O174" s="6">
        <v>19589</v>
      </c>
      <c r="P174" s="6">
        <v>19065</v>
      </c>
      <c r="Q174" s="6">
        <v>14385</v>
      </c>
      <c r="R174" s="6">
        <v>154</v>
      </c>
      <c r="S174" s="7">
        <v>5</v>
      </c>
      <c r="T174" s="7">
        <v>9.8</v>
      </c>
      <c r="U174">
        <v>10.08</v>
      </c>
      <c r="V174" s="8">
        <v>0</v>
      </c>
      <c r="W174" s="7">
        <v>0</v>
      </c>
      <c r="X174" s="7">
        <v>0</v>
      </c>
      <c r="Y174">
        <v>0.07</v>
      </c>
      <c r="Z174" s="9">
        <v>1</v>
      </c>
      <c r="AB174">
        <v>0</v>
      </c>
      <c r="AC174">
        <v>0</v>
      </c>
      <c r="AD174">
        <v>6</v>
      </c>
      <c r="AE174">
        <v>2</v>
      </c>
      <c r="AF174">
        <v>4</v>
      </c>
      <c r="AG174">
        <v>2</v>
      </c>
      <c r="AH174">
        <v>0</v>
      </c>
      <c r="AI174" t="inlineStr">
        <is>
          <t>False</t>
        </is>
      </c>
      <c r="AJ174" s="2" t="str">
        <f>HYPERLINK("https://keepa.com/#!product/1-B012ET2E80", "https://keepa.com/#!product/1-B012ET2E80")</f>
      </c>
      <c r="AK174" s="2" t="str">
        <f>HYPERLINK("https://camelcamelcamel.com/search?sq=B012ET2E80", "https://camelcamelcamel.com/search?sq=B012ET2E80")</f>
      </c>
      <c r="AL174" t="inlineStr">
        <is>
          <t/>
        </is>
      </c>
      <c r="AM174" s="10">
        <v>45417.11111111111</v>
      </c>
      <c r="AN174" t="inlineStr">
        <is>
          <t>Boiron Cyclease PMS Relief Tablets for Symptoms from PMS of Bloating, Aches, Mood Swings, and Irritability - 60 Count</t>
        </is>
      </c>
      <c r="AO174" t="inlineStr">
        <is>
          <t>780</t>
        </is>
      </c>
      <c r="AP174" t="inlineStr">
        <is>
          <t>TAKE ALL</t>
        </is>
      </c>
    </row>
    <row r="175">
      <c r="A175" t="inlineStr">
        <is>
          <t>B012ETVGD4</t>
        </is>
      </c>
      <c r="B175" t="inlineStr">
        <is>
          <t>False</t>
        </is>
      </c>
      <c r="C175" t="inlineStr">
        <is>
          <t>B012ETVGD4</t>
        </is>
      </c>
      <c r="D175" t="inlineStr">
        <is>
          <t>CHILDLIFE ESSENTIALS</t>
        </is>
      </c>
      <c r="E175" t="inlineStr">
        <is>
          <t>False</t>
        </is>
      </c>
      <c r="F175" t="inlineStr">
        <is>
          <t>ChildLife Essentials, Kids Liquid Multivitamin and Mineral Supplement - Liquid Vitamins for Kids, All-Natural, Gluten-Free, Non-GMO - Natural Orange &amp; Mango Flavor, 8 Fl Oz Bottle (Pack of 2)</t>
        </is>
      </c>
      <c r="G175">
        <v>1</v>
      </c>
      <c r="H175" s="2" t="str">
        <f>HYPERLINK("https://www.amazon.com/dp/B012ETVGD4", "https://www.amazon.com/dp/B012ETVGD4")</f>
      </c>
      <c r="I175" s="3">
        <v>841</v>
      </c>
      <c r="J175" s="4">
        <v>4.45</v>
      </c>
      <c r="K175" s="5">
        <v>0.1649</v>
      </c>
      <c r="L175" s="15">
        <v>0.35600000000000004</v>
      </c>
      <c r="M175" t="inlineStr">
        <is>
          <t>True</t>
        </is>
      </c>
      <c r="N175" t="inlineStr">
        <is>
          <t>Health &amp; Household</t>
        </is>
      </c>
      <c r="O175" s="6">
        <v>25594</v>
      </c>
      <c r="P175" s="6">
        <v>21727</v>
      </c>
      <c r="Q175" s="6">
        <v>4868</v>
      </c>
      <c r="R175" s="6">
        <v>176</v>
      </c>
      <c r="S175" s="7">
        <v>12.5</v>
      </c>
      <c r="T175" s="7">
        <v>26.99</v>
      </c>
      <c r="U175">
        <v>26.88</v>
      </c>
      <c r="V175" s="8">
        <v>0</v>
      </c>
      <c r="W175" s="7">
        <v>0</v>
      </c>
      <c r="X175" s="7">
        <v>0</v>
      </c>
      <c r="Y175">
        <v>2.18</v>
      </c>
      <c r="Z175" s="9">
        <v>0.1</v>
      </c>
      <c r="AB175">
        <v>0</v>
      </c>
      <c r="AC175">
        <v>0</v>
      </c>
      <c r="AD175">
        <v>6</v>
      </c>
      <c r="AE175">
        <v>3</v>
      </c>
      <c r="AF175">
        <v>3</v>
      </c>
      <c r="AG175">
        <v>1</v>
      </c>
      <c r="AH175">
        <v>1</v>
      </c>
      <c r="AI175" t="inlineStr">
        <is>
          <t>False</t>
        </is>
      </c>
      <c r="AJ175" s="2" t="str">
        <f>HYPERLINK("https://keepa.com/#!product/1-B012ETVGD4", "https://keepa.com/#!product/1-B012ETVGD4")</f>
      </c>
      <c r="AK175" s="2" t="str">
        <f>HYPERLINK("https://camelcamelcamel.com/search?sq=B012ETVGD4", "https://camelcamelcamel.com/search?sq=B012ETVGD4")</f>
      </c>
      <c r="AL175" t="inlineStr">
        <is>
          <t/>
        </is>
      </c>
      <c r="AM175" s="10">
        <v>45417.11111111111</v>
      </c>
      <c r="AN175" t="inlineStr">
        <is>
          <t>ChildLife Essentials, Kids Liquid Multivitamin and Mineral Supplement - Liquid Vitamins for Kids, All-Natural, Gluten-Free, Non-GMO - Natural Orange &amp; Mango Flavor, 8 Fl Oz Bottle (Pack of 2)</t>
        </is>
      </c>
      <c r="AO175" t="inlineStr">
        <is>
          <t>500</t>
        </is>
      </c>
      <c r="AP175" t="inlineStr">
        <is>
          <t>250</t>
        </is>
      </c>
    </row>
    <row r="176">
      <c r="A176" t="inlineStr">
        <is>
          <t>B012T634SM</t>
        </is>
      </c>
      <c r="B176" t="inlineStr">
        <is>
          <t>False</t>
        </is>
      </c>
      <c r="C176" t="inlineStr">
        <is>
          <t>B012T634SM</t>
        </is>
      </c>
      <c r="D176" t="inlineStr">
        <is>
          <t>Magic Bullet</t>
        </is>
      </c>
      <c r="E176" t="inlineStr">
        <is>
          <t>True</t>
        </is>
      </c>
      <c r="F176" t="inlineStr">
        <is>
          <t>Magic Bullet Blender, Small, Silver, 11 Piece Set</t>
        </is>
      </c>
      <c r="G176">
        <v>1</v>
      </c>
      <c r="H176" s="2" t="str">
        <f>HYPERLINK("https://www.amazon.com/dp/B012T634SM", "https://www.amazon.com/dp/B012T634SM")</f>
      </c>
      <c r="I176" s="3">
        <v>27683</v>
      </c>
      <c r="J176" s="11">
        <v>2.05</v>
      </c>
      <c r="K176" s="5">
        <v>0.051399999999999994</v>
      </c>
      <c r="L176" s="5">
        <v>0.0837</v>
      </c>
      <c r="M176" t="inlineStr">
        <is>
          <t>True</t>
        </is>
      </c>
      <c r="N176" t="inlineStr">
        <is>
          <t>Kitchen &amp; Dining</t>
        </is>
      </c>
      <c r="O176" s="6">
        <v>21</v>
      </c>
      <c r="P176" s="6">
        <v>23</v>
      </c>
      <c r="Q176" s="6">
        <v>10</v>
      </c>
      <c r="R176" s="6">
        <v>373</v>
      </c>
      <c r="S176" s="7">
        <v>24.5</v>
      </c>
      <c r="T176" s="7">
        <v>39.88</v>
      </c>
      <c r="U176">
        <v>39.49</v>
      </c>
      <c r="V176" s="8">
        <v>0</v>
      </c>
      <c r="W176" s="7">
        <v>0</v>
      </c>
      <c r="X176" s="7">
        <v>0</v>
      </c>
      <c r="Y176">
        <v>4.07</v>
      </c>
      <c r="Z176" s="9">
        <v>1</v>
      </c>
      <c r="AB176">
        <v>0</v>
      </c>
      <c r="AC176">
        <v>0</v>
      </c>
      <c r="AD176">
        <v>17</v>
      </c>
      <c r="AE176">
        <v>1</v>
      </c>
      <c r="AF176">
        <v>6</v>
      </c>
      <c r="AG176">
        <v>1</v>
      </c>
      <c r="AH176">
        <v>4</v>
      </c>
      <c r="AI176" t="inlineStr">
        <is>
          <t>False</t>
        </is>
      </c>
      <c r="AJ176" s="2" t="str">
        <f>HYPERLINK("https://keepa.com/#!product/1-B012T634SM", "https://keepa.com/#!product/1-B012T634SM")</f>
      </c>
      <c r="AK176" s="2" t="str">
        <f>HYPERLINK("https://camelcamelcamel.com/search?sq=B012T634SM", "https://camelcamelcamel.com/search?sq=B012T634SM")</f>
      </c>
      <c r="AL176" t="inlineStr">
        <is>
          <t/>
        </is>
      </c>
      <c r="AM176" s="10">
        <v>45417.11111111111</v>
      </c>
      <c r="AN176" t="inlineStr">
        <is>
          <t>Magic Bullet Blender, Small, Silver, 11 Piece Set</t>
        </is>
      </c>
      <c r="AO176" t="inlineStr">
        <is>
          <t>100</t>
        </is>
      </c>
      <c r="AP176" t="inlineStr">
        <is>
          <t>TAKE ALL</t>
        </is>
      </c>
    </row>
    <row r="177">
      <c r="A177" t="inlineStr">
        <is>
          <t>B014DDL4SQ</t>
        </is>
      </c>
      <c r="B177" t="inlineStr">
        <is>
          <t>False</t>
        </is>
      </c>
      <c r="C177" t="inlineStr">
        <is>
          <t>B014DDL4SQ</t>
        </is>
      </c>
      <c r="D177" t="inlineStr">
        <is>
          <t>Colgate</t>
        </is>
      </c>
      <c r="E177" t="inlineStr">
        <is>
          <t>False</t>
        </is>
      </c>
      <c r="F177" t="inlineStr">
        <is>
          <t>Colgate Toothpaste 100ml, Pump</t>
        </is>
      </c>
      <c r="G177">
        <v>1</v>
      </c>
      <c r="H177" s="2" t="str">
        <f>HYPERLINK("https://www.amazon.com/dp/B014DDL4SQ", "https://www.amazon.com/dp/B014DDL4SQ")</f>
      </c>
      <c r="I177" s="3">
        <v>175</v>
      </c>
      <c r="J177" s="11">
        <v>3.89</v>
      </c>
      <c r="K177" s="5">
        <v>0.1898</v>
      </c>
      <c r="L177" s="15">
        <v>0.4576</v>
      </c>
      <c r="M177" t="inlineStr">
        <is>
          <t>True</t>
        </is>
      </c>
      <c r="N177" t="inlineStr">
        <is>
          <t>Health &amp; Household</t>
        </is>
      </c>
      <c r="O177" s="6">
        <v>73199</v>
      </c>
      <c r="P177" s="6">
        <v>67508</v>
      </c>
      <c r="Q177" s="6">
        <v>34344</v>
      </c>
      <c r="R177" s="6">
        <v>144</v>
      </c>
      <c r="S177" s="7">
        <v>8.5</v>
      </c>
      <c r="T177" s="7">
        <v>20.49</v>
      </c>
      <c r="U177">
        <v>22.61</v>
      </c>
      <c r="V177" s="8">
        <v>0</v>
      </c>
      <c r="W177" s="7">
        <v>0</v>
      </c>
      <c r="X177" s="7">
        <v>0</v>
      </c>
      <c r="Y177">
        <v>1.23</v>
      </c>
      <c r="Z177" s="8">
        <v>0</v>
      </c>
      <c r="AB177">
        <v>0</v>
      </c>
      <c r="AC177">
        <v>0</v>
      </c>
      <c r="AD177">
        <v>2</v>
      </c>
      <c r="AE177">
        <v>1</v>
      </c>
      <c r="AF177">
        <v>1</v>
      </c>
      <c r="AG177">
        <v>1</v>
      </c>
      <c r="AH177">
        <v>0</v>
      </c>
      <c r="AI177" t="inlineStr">
        <is>
          <t>False</t>
        </is>
      </c>
      <c r="AJ177" s="2" t="str">
        <f>HYPERLINK("https://keepa.com/#!product/1-B014DDL4SQ", "https://keepa.com/#!product/1-B014DDL4SQ")</f>
      </c>
      <c r="AK177" s="2" t="str">
        <f>HYPERLINK("https://camelcamelcamel.com/search?sq=B014DDL4SQ", "https://camelcamelcamel.com/search?sq=B014DDL4SQ")</f>
      </c>
      <c r="AL177" t="inlineStr">
        <is>
          <t/>
        </is>
      </c>
      <c r="AM177" s="10">
        <v>45417.11111111111</v>
      </c>
      <c r="AN177" t="inlineStr">
        <is>
          <t>Colgate Cavity Protection Toothpaste Pump 100g (Pack of 3)</t>
        </is>
      </c>
      <c r="AO177" t="inlineStr">
        <is>
          <t>4000</t>
        </is>
      </c>
      <c r="AP177" t="inlineStr">
        <is>
          <t>500</t>
        </is>
      </c>
    </row>
    <row r="178">
      <c r="A178" t="inlineStr">
        <is>
          <t>B014GB4C98</t>
        </is>
      </c>
      <c r="B178" t="inlineStr">
        <is>
          <t>False</t>
        </is>
      </c>
      <c r="C178" t="inlineStr">
        <is>
          <t>B014GB4C98</t>
        </is>
      </c>
      <c r="D178" t="inlineStr">
        <is>
          <t>KIDSTHRILL</t>
        </is>
      </c>
      <c r="E178" t="inlineStr">
        <is>
          <t>False</t>
        </is>
      </c>
      <c r="F178" t="inlineStr">
        <is>
          <t>Kidsthrill Airplane Toy with Bump &amp; Go, Flashing Lights &amp; Sounds - For Boys &amp; Girls Age 3-12</t>
        </is>
      </c>
      <c r="G178">
        <v>1</v>
      </c>
      <c r="H178" s="2" t="str">
        <f>HYPERLINK("https://www.amazon.com/dp/B014GB4C98", "https://www.amazon.com/dp/B014GB4C98")</f>
      </c>
      <c r="I178" s="3">
        <v>1580</v>
      </c>
      <c r="J178" s="11">
        <v>3.31</v>
      </c>
      <c r="K178" s="5">
        <v>0.13269999999999998</v>
      </c>
      <c r="L178" s="5">
        <v>0.2758</v>
      </c>
      <c r="M178" t="inlineStr">
        <is>
          <t>True</t>
        </is>
      </c>
      <c r="N178" t="inlineStr">
        <is>
          <t>Toys &amp; Games</t>
        </is>
      </c>
      <c r="O178" s="6">
        <v>5499</v>
      </c>
      <c r="P178" s="6">
        <v>7106</v>
      </c>
      <c r="Q178" s="6">
        <v>3518</v>
      </c>
      <c r="R178" s="6">
        <v>202</v>
      </c>
      <c r="S178" s="7">
        <v>12</v>
      </c>
      <c r="T178" s="7">
        <v>24.95</v>
      </c>
      <c r="U178">
        <v>24.95</v>
      </c>
      <c r="V178" s="8">
        <v>0</v>
      </c>
      <c r="W178" s="7">
        <v>0</v>
      </c>
      <c r="X178" s="7">
        <v>0</v>
      </c>
      <c r="Y178">
        <v>1.06</v>
      </c>
      <c r="Z178" s="8">
        <v>0</v>
      </c>
      <c r="AB178">
        <v>0</v>
      </c>
      <c r="AC178">
        <v>0</v>
      </c>
      <c r="AD178">
        <v>2</v>
      </c>
      <c r="AE178">
        <v>1</v>
      </c>
      <c r="AF178">
        <v>1</v>
      </c>
      <c r="AG178">
        <v>1</v>
      </c>
      <c r="AH178">
        <v>3</v>
      </c>
      <c r="AI178" t="inlineStr">
        <is>
          <t>False</t>
        </is>
      </c>
      <c r="AJ178" s="2" t="str">
        <f>HYPERLINK("https://keepa.com/#!product/1-B014GB4C98", "https://keepa.com/#!product/1-B014GB4C98")</f>
      </c>
      <c r="AK178" s="2" t="str">
        <f>HYPERLINK("https://camelcamelcamel.com/search?sq=B014GB4C98", "https://camelcamelcamel.com/search?sq=B014GB4C98")</f>
      </c>
      <c r="AL178" t="inlineStr">
        <is>
          <t/>
        </is>
      </c>
      <c r="AM178" s="10">
        <v>45417.11111111111</v>
      </c>
      <c r="AN178" t="inlineStr">
        <is>
          <t>Kidsthrill Airplane Toy with Bump &amp; Go, Flashing Lights &amp; Sounds - For Boys &amp; Girls Age 3-12</t>
        </is>
      </c>
      <c r="AO178" t="inlineStr">
        <is>
          <t>600</t>
        </is>
      </c>
      <c r="AP178" t="inlineStr">
        <is>
          <t>300</t>
        </is>
      </c>
    </row>
    <row r="179">
      <c r="A179" t="inlineStr">
        <is>
          <t>B015CVWCN4</t>
        </is>
      </c>
      <c r="B179" t="inlineStr">
        <is>
          <t>False</t>
        </is>
      </c>
      <c r="C179" t="inlineStr">
        <is>
          <t>B015CVWCN4</t>
        </is>
      </c>
      <c r="D179" t="inlineStr">
        <is>
          <t>Dr. Bronner's</t>
        </is>
      </c>
      <c r="E179" t="inlineStr">
        <is>
          <t>False</t>
        </is>
      </c>
      <c r="F179" t="inlineStr">
        <is>
          <t>Dr. Bronner’s - All-One Toothpaste (Peppermint, 5 Ounce, 3-Pack) - 70% Organic Ingredients, Natural and Effective, Fluoride-Free, SLS-Free, Helps Freshen Breath, Reduce Plaque, Whiten Teeth, Vegan</t>
        </is>
      </c>
      <c r="G179">
        <v>3</v>
      </c>
      <c r="H179" s="2" t="str">
        <f>HYPERLINK("https://www.amazon.com/dp/B015CVWCN4", "https://www.amazon.com/dp/B015CVWCN4")</f>
      </c>
      <c r="I179" s="3">
        <v>6567</v>
      </c>
      <c r="J179" s="12">
        <v>-22.27</v>
      </c>
      <c r="K179" s="13">
        <v>-1.3263999999999998</v>
      </c>
      <c r="L179" s="13">
        <v>-0.7070000000000001</v>
      </c>
      <c r="M179" t="inlineStr">
        <is>
          <t>True</t>
        </is>
      </c>
      <c r="N179" t="inlineStr">
        <is>
          <t>Health &amp; Household</t>
        </is>
      </c>
      <c r="O179" s="6">
        <v>3951</v>
      </c>
      <c r="P179" s="6">
        <v>4533</v>
      </c>
      <c r="Q179" s="6">
        <v>3114</v>
      </c>
      <c r="R179" s="6">
        <v>326</v>
      </c>
      <c r="S179" s="7">
        <v>10.5</v>
      </c>
      <c r="T179" s="7">
        <v>16.79</v>
      </c>
      <c r="U179">
        <v>21.51</v>
      </c>
      <c r="V179" s="8">
        <v>0</v>
      </c>
      <c r="W179" s="7">
        <v>0</v>
      </c>
      <c r="X179" s="7">
        <v>0</v>
      </c>
      <c r="Y179">
        <v>1.15</v>
      </c>
      <c r="Z179" s="9">
        <v>0.01</v>
      </c>
      <c r="AB179">
        <v>0</v>
      </c>
      <c r="AC179">
        <v>0</v>
      </c>
      <c r="AD179">
        <v>33</v>
      </c>
      <c r="AE179">
        <v>25</v>
      </c>
      <c r="AF179">
        <v>8</v>
      </c>
      <c r="AG179">
        <v>2</v>
      </c>
      <c r="AH179">
        <v>9</v>
      </c>
      <c r="AI179" t="inlineStr">
        <is>
          <t>False</t>
        </is>
      </c>
      <c r="AJ179" s="2" t="str">
        <f>HYPERLINK("https://keepa.com/#!product/1-B015CVWCN4", "https://keepa.com/#!product/1-B015CVWCN4")</f>
      </c>
      <c r="AK179" s="2" t="str">
        <f>HYPERLINK("https://camelcamelcamel.com/search?sq=B015CVWCN4", "https://camelcamelcamel.com/search?sq=B015CVWCN4")</f>
      </c>
      <c r="AL179" t="inlineStr">
        <is>
          <t/>
        </is>
      </c>
      <c r="AM179" s="10">
        <v>45417.11111111111</v>
      </c>
      <c r="AN179" t="inlineStr">
        <is>
          <t>Dr. Bronnerâ€™s - All-One Toothpaste (Peppermint, 5 ounce, 3-Pack) - 70% Organic Ingredients, Natural and Effective, Fluoride-Free, SLS-Free, Helps Freshen Breath, Reduce Plaque, Whiten Teeth, Vegan</t>
        </is>
      </c>
      <c r="AO179" t="inlineStr">
        <is>
          <t>2000</t>
        </is>
      </c>
      <c r="AP179" t="inlineStr">
        <is>
          <t>500</t>
        </is>
      </c>
    </row>
    <row r="180">
      <c r="A180" t="inlineStr">
        <is>
          <t>B015JQGXWI</t>
        </is>
      </c>
      <c r="B180" t="inlineStr">
        <is>
          <t>False</t>
        </is>
      </c>
      <c r="C180" t="inlineStr">
        <is>
          <t>B015JQGXWI</t>
        </is>
      </c>
      <c r="D180" t="inlineStr">
        <is>
          <t>MEMBER´S MARK</t>
        </is>
      </c>
      <c r="E180" t="inlineStr">
        <is>
          <t>False</t>
        </is>
      </c>
      <c r="F180" t="inlineStr">
        <is>
          <t>Member's Mark Daily Multivitamin Tablet (Adults 50+ Multivitamin 400 Count)</t>
        </is>
      </c>
      <c r="G180">
        <v>1</v>
      </c>
      <c r="H180" s="2" t="str">
        <f>HYPERLINK("https://www.amazon.com/dp/B015JQGXWI", "https://www.amazon.com/dp/B015JQGXWI")</f>
      </c>
      <c r="I180" s="3">
        <v>618</v>
      </c>
      <c r="J180" s="4">
        <v>4.89</v>
      </c>
      <c r="K180" s="5">
        <v>0.2126</v>
      </c>
      <c r="L180" s="15">
        <v>0.5286</v>
      </c>
      <c r="M180" t="inlineStr">
        <is>
          <t>True</t>
        </is>
      </c>
      <c r="N180" t="inlineStr">
        <is>
          <t>Health &amp; Household</t>
        </is>
      </c>
      <c r="O180" s="6">
        <v>32171</v>
      </c>
      <c r="P180" s="6">
        <v>24637</v>
      </c>
      <c r="Q180" s="6">
        <v>10806</v>
      </c>
      <c r="R180" s="6">
        <v>172</v>
      </c>
      <c r="S180" s="7">
        <v>9.25</v>
      </c>
      <c r="T180" s="7">
        <v>23</v>
      </c>
      <c r="U180">
        <v>21.29</v>
      </c>
      <c r="V180" s="8">
        <v>0</v>
      </c>
      <c r="W180" s="7">
        <v>0</v>
      </c>
      <c r="X180" s="7">
        <v>0</v>
      </c>
      <c r="Y180">
        <v>1.3</v>
      </c>
      <c r="Z180" s="8">
        <v>0</v>
      </c>
      <c r="AB180">
        <v>0</v>
      </c>
      <c r="AC180">
        <v>0</v>
      </c>
      <c r="AD180">
        <v>10</v>
      </c>
      <c r="AE180">
        <v>4</v>
      </c>
      <c r="AF180">
        <v>6</v>
      </c>
      <c r="AG180">
        <v>1</v>
      </c>
      <c r="AH180">
        <v>0</v>
      </c>
      <c r="AI180" t="inlineStr">
        <is>
          <t>False</t>
        </is>
      </c>
      <c r="AJ180" s="2" t="str">
        <f>HYPERLINK("https://keepa.com/#!product/1-B015JQGXWI", "https://keepa.com/#!product/1-B015JQGXWI")</f>
      </c>
      <c r="AK180" s="2" t="str">
        <f>HYPERLINK("https://camelcamelcamel.com/search?sq=B015JQGXWI", "https://camelcamelcamel.com/search?sq=B015JQGXWI")</f>
      </c>
      <c r="AL180" t="inlineStr">
        <is>
          <t/>
        </is>
      </c>
      <c r="AM180" s="10">
        <v>45417.11111111111</v>
      </c>
      <c r="AN180" t="inlineStr">
        <is>
          <t>Member's Mark Daily Multivitamin Tablet (Adults 50+ Multivitamin 400 Count)</t>
        </is>
      </c>
      <c r="AO180" t="inlineStr">
        <is>
          <t>746</t>
        </is>
      </c>
      <c r="AP180" t="inlineStr">
        <is>
          <t>350</t>
        </is>
      </c>
    </row>
    <row r="181">
      <c r="A181" t="inlineStr">
        <is>
          <t>B015T474SC</t>
        </is>
      </c>
      <c r="B181" t="inlineStr">
        <is>
          <t>False</t>
        </is>
      </c>
      <c r="C181" t="inlineStr">
        <is>
          <t>B015T474SC</t>
        </is>
      </c>
      <c r="D181" t="inlineStr">
        <is>
          <t>Dr. Bronner's</t>
        </is>
      </c>
      <c r="E181" t="inlineStr">
        <is>
          <t>False</t>
        </is>
      </c>
      <c r="F181" t="inlineStr">
        <is>
          <t>Dr. Bronner’s - All-One Toothpaste (Cinnamon, 5 ounce, 3-Pack) - 70% Organic Ingredients, Natural and Effective, Fluoride-Free, SLS-Free, Helps Freshen Breath, Reduce Plaque, Whiten Teeth, Vegan</t>
        </is>
      </c>
      <c r="G181">
        <v>1</v>
      </c>
      <c r="H181" s="2" t="str">
        <f>HYPERLINK("https://www.amazon.com/dp/B015T474SC", "https://www.amazon.com/dp/B015T474SC")</f>
      </c>
      <c r="I181" s="3">
        <v>6567</v>
      </c>
      <c r="J181" s="11">
        <v>0.57</v>
      </c>
      <c r="K181" s="5">
        <v>0.03</v>
      </c>
      <c r="L181" s="5">
        <v>0.054299999999999994</v>
      </c>
      <c r="M181" t="inlineStr">
        <is>
          <t>True</t>
        </is>
      </c>
      <c r="N181" t="inlineStr">
        <is>
          <t>Health &amp; Household</t>
        </is>
      </c>
      <c r="O181" s="6">
        <v>3951</v>
      </c>
      <c r="P181" s="6">
        <v>4539</v>
      </c>
      <c r="Q181" s="6">
        <v>3192</v>
      </c>
      <c r="R181" s="6">
        <v>257</v>
      </c>
      <c r="S181" s="7">
        <v>10.5</v>
      </c>
      <c r="T181" s="7">
        <v>18.97</v>
      </c>
      <c r="U181">
        <v>22.7</v>
      </c>
      <c r="V181" s="8">
        <v>0</v>
      </c>
      <c r="W181" s="7">
        <v>0</v>
      </c>
      <c r="X181" s="7">
        <v>0</v>
      </c>
      <c r="Y181">
        <v>1.12</v>
      </c>
      <c r="Z181" s="8">
        <v>0</v>
      </c>
      <c r="AB181">
        <v>0</v>
      </c>
      <c r="AC181">
        <v>0</v>
      </c>
      <c r="AD181">
        <v>11</v>
      </c>
      <c r="AE181">
        <v>8</v>
      </c>
      <c r="AF181">
        <v>3</v>
      </c>
      <c r="AG181">
        <v>2</v>
      </c>
      <c r="AH181">
        <v>9</v>
      </c>
      <c r="AI181" t="inlineStr">
        <is>
          <t>False</t>
        </is>
      </c>
      <c r="AJ181" s="2" t="str">
        <f>HYPERLINK("https://keepa.com/#!product/1-B015T474SC", "https://keepa.com/#!product/1-B015T474SC")</f>
      </c>
      <c r="AK181" s="2" t="str">
        <f>HYPERLINK("https://camelcamelcamel.com/search?sq=B015T474SC", "https://camelcamelcamel.com/search?sq=B015T474SC")</f>
      </c>
      <c r="AL181" t="inlineStr">
        <is>
          <t/>
        </is>
      </c>
      <c r="AM181" s="10">
        <v>45417.11111111111</v>
      </c>
      <c r="AN181" t="inlineStr">
        <is>
          <t>Dr. Bronnerâ€™s - All-One Toothpaste (Cinnamon, 5 ounce, 3-Pack) - 70% Organic Ingredients, Natural and Effective, Fluoride-Free, SLS-Free, Helps Freshen Breath, Reduce Plaque, Whiten Teeth, Vegan</t>
        </is>
      </c>
      <c r="AO181" t="inlineStr">
        <is>
          <t>2000</t>
        </is>
      </c>
      <c r="AP181" t="inlineStr">
        <is>
          <t>500</t>
        </is>
      </c>
    </row>
    <row r="182">
      <c r="A182" t="inlineStr">
        <is>
          <t>B0160HYB8S</t>
        </is>
      </c>
      <c r="B182" t="inlineStr">
        <is>
          <t>False</t>
        </is>
      </c>
      <c r="C182" t="inlineStr">
        <is>
          <t>B0160HYB8S</t>
        </is>
      </c>
      <c r="D182" t="inlineStr">
        <is>
          <t>Repel Umbrella</t>
        </is>
      </c>
      <c r="E182" t="inlineStr">
        <is>
          <t>False</t>
        </is>
      </c>
      <c r="F182" t="inlineStr">
        <is>
          <t>Repel Umbrella The Original Portable Travel Umbrella - Umbrellas for Rain Windproof, Strong Compact Umbrella for Wind and Rain, Perfect Car Umbrella, Golf Umbrella, Backpack, and On-the-Go</t>
        </is>
      </c>
      <c r="G182">
        <v>1</v>
      </c>
      <c r="H182" s="2" t="str">
        <f>HYPERLINK("https://www.amazon.com/dp/B0160HYB8S", "https://www.amazon.com/dp/B0160HYB8S")</f>
      </c>
      <c r="I182" s="3">
        <v>17892</v>
      </c>
      <c r="J182" s="4">
        <v>6.58</v>
      </c>
      <c r="K182" s="5">
        <v>0.2438</v>
      </c>
      <c r="L182" s="15">
        <v>0.56</v>
      </c>
      <c r="M182" t="inlineStr">
        <is>
          <t>True</t>
        </is>
      </c>
      <c r="N182" t="inlineStr">
        <is>
          <t>Clothing, Shoes &amp; Jewelry</t>
        </is>
      </c>
      <c r="O182" s="6">
        <v>275</v>
      </c>
      <c r="P182" s="6">
        <v>100</v>
      </c>
      <c r="Q182" s="6">
        <v>8</v>
      </c>
      <c r="R182" s="6">
        <v>261</v>
      </c>
      <c r="S182" s="7">
        <v>11.75</v>
      </c>
      <c r="T182" s="7">
        <v>26.99</v>
      </c>
      <c r="U182">
        <v>25.36</v>
      </c>
      <c r="V182" s="8">
        <v>0</v>
      </c>
      <c r="W182" s="7">
        <v>0</v>
      </c>
      <c r="X182" s="7">
        <v>0</v>
      </c>
      <c r="Y182">
        <v>0.9</v>
      </c>
      <c r="Z182" s="9">
        <v>0.04</v>
      </c>
      <c r="AB182">
        <v>0</v>
      </c>
      <c r="AC182">
        <v>0</v>
      </c>
      <c r="AD182">
        <v>2</v>
      </c>
      <c r="AE182">
        <v>1</v>
      </c>
      <c r="AF182">
        <v>1</v>
      </c>
      <c r="AG182">
        <v>1</v>
      </c>
      <c r="AH182">
        <v>12</v>
      </c>
      <c r="AI182" t="inlineStr">
        <is>
          <t>False</t>
        </is>
      </c>
      <c r="AJ182" s="2" t="str">
        <f>HYPERLINK("https://keepa.com/#!product/1-B0160HYB8S", "https://keepa.com/#!product/1-B0160HYB8S")</f>
      </c>
      <c r="AK182" s="2" t="str">
        <f>HYPERLINK("https://camelcamelcamel.com/search?sq=B0160HYB8S", "https://camelcamelcamel.com/search?sq=B0160HYB8S")</f>
      </c>
      <c r="AL182" t="inlineStr">
        <is>
          <t/>
        </is>
      </c>
      <c r="AM182" s="10">
        <v>45417.11111111111</v>
      </c>
      <c r="AN182" t="inlineStr">
        <is>
          <t>Repel Umbrella The Original Portable Travel Umbrella - Umbrellas for Rain Windproof, Strong Compact Umbrella for Wind and Rain, Perfect Car Umbrella, Golf Umbrella, Backpack, and On-the-Go</t>
        </is>
      </c>
      <c r="AO182" t="inlineStr">
        <is>
          <t>3000</t>
        </is>
      </c>
      <c r="AP182" t="inlineStr">
        <is>
          <t>TAKE ALL</t>
        </is>
      </c>
    </row>
    <row r="183">
      <c r="A183" t="inlineStr">
        <is>
          <t>B016FYQ2D8</t>
        </is>
      </c>
      <c r="B183" t="inlineStr">
        <is>
          <t>False</t>
        </is>
      </c>
      <c r="C183" t="inlineStr">
        <is>
          <t>B016FYQ2D8</t>
        </is>
      </c>
      <c r="D183" t="inlineStr">
        <is>
          <t>TRESemme</t>
        </is>
      </c>
      <c r="E183" t="inlineStr">
        <is>
          <t>False</t>
        </is>
      </c>
      <c r="F183" t="inlineStr">
        <is>
          <t>Tresemme Shampoo 28oz 2-In-1 Cleanse And Replenish (2 Pack)</t>
        </is>
      </c>
      <c r="G183">
        <v>4</v>
      </c>
      <c r="H183" s="2" t="str">
        <f>HYPERLINK("https://www.amazon.com/dp/B016FYQ2D8", "https://www.amazon.com/dp/B016FYQ2D8")</f>
      </c>
      <c r="I183" s="3">
        <v>176</v>
      </c>
      <c r="J183" s="12">
        <v>-49.16</v>
      </c>
      <c r="K183" s="13">
        <v>-2.9279</v>
      </c>
      <c r="L183" s="13">
        <v>-0.8779</v>
      </c>
      <c r="M183" t="inlineStr">
        <is>
          <t>True</t>
        </is>
      </c>
      <c r="N183" t="inlineStr">
        <is>
          <t>Beauty &amp; Personal Care</t>
        </is>
      </c>
      <c r="O183" s="6">
        <v>66072</v>
      </c>
      <c r="P183" s="6">
        <v>91704</v>
      </c>
      <c r="Q183" s="6">
        <v>41512</v>
      </c>
      <c r="R183" s="6">
        <v>163</v>
      </c>
      <c r="S183" s="7">
        <v>14</v>
      </c>
      <c r="T183" s="7">
        <v>16.79</v>
      </c>
      <c r="U183">
        <v>24.67</v>
      </c>
      <c r="V183" s="8">
        <v>0</v>
      </c>
      <c r="W183" s="7">
        <v>0</v>
      </c>
      <c r="X183" s="7">
        <v>0</v>
      </c>
      <c r="Y183">
        <v>3.95</v>
      </c>
      <c r="Z183" s="8">
        <v>0</v>
      </c>
      <c r="AB183">
        <v>0</v>
      </c>
      <c r="AC183">
        <v>0</v>
      </c>
      <c r="AD183">
        <v>23</v>
      </c>
      <c r="AE183">
        <v>21</v>
      </c>
      <c r="AF183">
        <v>2</v>
      </c>
      <c r="AG183">
        <v>5</v>
      </c>
      <c r="AH183">
        <v>0</v>
      </c>
      <c r="AI183" t="inlineStr">
        <is>
          <t>False</t>
        </is>
      </c>
      <c r="AJ183" s="2" t="str">
        <f>HYPERLINK("https://keepa.com/#!product/1-B016FYQ2D8", "https://keepa.com/#!product/1-B016FYQ2D8")</f>
      </c>
      <c r="AK183" s="2" t="str">
        <f>HYPERLINK("https://camelcamelcamel.com/search?sq=B016FYQ2D8", "https://camelcamelcamel.com/search?sq=B016FYQ2D8")</f>
      </c>
      <c r="AL183" t="inlineStr">
        <is>
          <t/>
        </is>
      </c>
      <c r="AM183" s="10">
        <v>45417.11111111111</v>
      </c>
      <c r="AN183" t="inlineStr">
        <is>
          <t>Tresemme Shampoo 28oz 2-In-1 Cleanse And Replenish (2 Pack)</t>
        </is>
      </c>
      <c r="AO183" t="inlineStr">
        <is>
          <t>300</t>
        </is>
      </c>
      <c r="AP183" t="inlineStr">
        <is>
          <t>TAKE ALL</t>
        </is>
      </c>
    </row>
    <row r="184">
      <c r="A184" t="inlineStr">
        <is>
          <t>B016MZZXBM</t>
        </is>
      </c>
      <c r="B184" t="inlineStr">
        <is>
          <t>False</t>
        </is>
      </c>
      <c r="C184" t="inlineStr">
        <is>
          <t>B016MZZXBM</t>
        </is>
      </c>
      <c r="D184" t="inlineStr">
        <is>
          <t>Progressive International</t>
        </is>
      </c>
      <c r="E184" t="inlineStr">
        <is>
          <t>False</t>
        </is>
      </c>
      <c r="F184" t="inlineStr">
        <is>
          <t>Prepworks by Progressive Bread ProKeeper, PKS-800 Adjustable Air Vented Bread Storage Container, Expandable Bread Holder</t>
        </is>
      </c>
      <c r="G184">
        <v>1</v>
      </c>
      <c r="H184" s="2" t="str">
        <f>HYPERLINK("https://www.amazon.com/dp/B016MZZXBM", "https://www.amazon.com/dp/B016MZZXBM")</f>
      </c>
      <c r="I184" s="3">
        <v>153</v>
      </c>
      <c r="J184" s="12">
        <v>-12.97</v>
      </c>
      <c r="K184" s="13">
        <v>-0.6487999999999999</v>
      </c>
      <c r="L184" s="13">
        <v>-0.5829</v>
      </c>
      <c r="M184" t="inlineStr">
        <is>
          <t>True</t>
        </is>
      </c>
      <c r="N184" t="inlineStr">
        <is>
          <t>Kitchen &amp; Dining</t>
        </is>
      </c>
      <c r="O184" s="6">
        <v>44035</v>
      </c>
      <c r="P184" s="6">
        <v>83601</v>
      </c>
      <c r="Q184" s="6">
        <v>30508</v>
      </c>
      <c r="R184" s="6">
        <v>108</v>
      </c>
      <c r="S184" s="7">
        <v>22.25</v>
      </c>
      <c r="T184" s="7">
        <v>19.99</v>
      </c>
      <c r="U184">
        <v>34.09</v>
      </c>
      <c r="V184" s="8">
        <v>0</v>
      </c>
      <c r="W184" s="7">
        <v>0</v>
      </c>
      <c r="X184" s="7">
        <v>0</v>
      </c>
      <c r="Y184">
        <v>2.01</v>
      </c>
      <c r="Z184" s="9">
        <v>0.01</v>
      </c>
      <c r="AB184">
        <v>0</v>
      </c>
      <c r="AC184">
        <v>0</v>
      </c>
      <c r="AD184">
        <v>5</v>
      </c>
      <c r="AE184">
        <v>3</v>
      </c>
      <c r="AF184">
        <v>1</v>
      </c>
      <c r="AG184">
        <v>1</v>
      </c>
      <c r="AH184">
        <v>0</v>
      </c>
      <c r="AI184" t="inlineStr">
        <is>
          <t>False</t>
        </is>
      </c>
      <c r="AJ184" s="2" t="str">
        <f>HYPERLINK("https://keepa.com/#!product/1-B016MZZXBM", "https://keepa.com/#!product/1-B016MZZXBM")</f>
      </c>
      <c r="AK184" s="2" t="str">
        <f>HYPERLINK("https://camelcamelcamel.com/search?sq=B016MZZXBM", "https://camelcamelcamel.com/search?sq=B016MZZXBM")</f>
      </c>
      <c r="AL184" t="inlineStr">
        <is>
          <t/>
        </is>
      </c>
      <c r="AM184" s="10">
        <v>45417.11111111111</v>
      </c>
      <c r="AN184" t="inlineStr">
        <is>
          <t>Prepworks by Progressive Bread ProKeeper, PKS-800 Adjustable Air Vented Bread Storage Container, Expandable Bread Holder</t>
        </is>
      </c>
      <c r="AO184" t="inlineStr">
        <is>
          <t>600</t>
        </is>
      </c>
      <c r="AP184" t="inlineStr">
        <is>
          <t>TAKE ALL</t>
        </is>
      </c>
    </row>
    <row r="185">
      <c r="A185" t="inlineStr">
        <is>
          <t>B016P09VFS</t>
        </is>
      </c>
      <c r="B185" t="inlineStr">
        <is>
          <t>False</t>
        </is>
      </c>
      <c r="C185" t="inlineStr">
        <is>
          <t>B016P09VFS</t>
        </is>
      </c>
      <c r="D185" t="inlineStr">
        <is>
          <t>KontrolFreek</t>
        </is>
      </c>
      <c r="E185" t="inlineStr">
        <is>
          <t>False</t>
        </is>
      </c>
      <c r="F185" t="inlineStr">
        <is>
          <t>KontrolFreek FPS Freek Galaxy Purple for PlayStation 4 (PS4) and PlayStation 5 (PS5) | Performance Thumbsticks | 1 High-Rise, 1 Mid-Rise | Purple</t>
        </is>
      </c>
      <c r="G185">
        <v>1</v>
      </c>
      <c r="H185" s="2" t="str">
        <f>HYPERLINK("https://www.amazon.com/dp/B016P09VFS", "https://www.amazon.com/dp/B016P09VFS")</f>
      </c>
      <c r="I185" s="3">
        <v>3512</v>
      </c>
      <c r="J185" s="12">
        <v>-0.06</v>
      </c>
      <c r="K185" s="13">
        <v>-0.0034999999999999996</v>
      </c>
      <c r="L185" s="13">
        <v>-0.0067</v>
      </c>
      <c r="M185" t="inlineStr">
        <is>
          <t>True</t>
        </is>
      </c>
      <c r="N185" t="inlineStr">
        <is>
          <t>Video Games</t>
        </is>
      </c>
      <c r="O185" s="6">
        <v>123</v>
      </c>
      <c r="P185" s="6">
        <v>54</v>
      </c>
      <c r="Q185" s="6">
        <v>20</v>
      </c>
      <c r="R185" s="6">
        <v>231</v>
      </c>
      <c r="S185" s="7">
        <v>9</v>
      </c>
      <c r="T185" s="7">
        <v>16.99</v>
      </c>
      <c r="U185">
        <v>16.91</v>
      </c>
      <c r="V185" s="8">
        <v>0</v>
      </c>
      <c r="W185" s="7">
        <v>0</v>
      </c>
      <c r="X185" s="7">
        <v>0</v>
      </c>
      <c r="Y185">
        <v>0.02</v>
      </c>
      <c r="Z185" s="8">
        <v>0</v>
      </c>
      <c r="AB185">
        <v>0</v>
      </c>
      <c r="AC185">
        <v>0</v>
      </c>
      <c r="AD185">
        <v>4</v>
      </c>
      <c r="AE185">
        <v>2</v>
      </c>
      <c r="AF185">
        <v>2</v>
      </c>
      <c r="AG185">
        <v>2</v>
      </c>
      <c r="AH185">
        <v>0</v>
      </c>
      <c r="AI185" t="inlineStr">
        <is>
          <t>False</t>
        </is>
      </c>
      <c r="AJ185" s="2" t="str">
        <f>HYPERLINK("https://keepa.com/#!product/1-B016P09VFS", "https://keepa.com/#!product/1-B016P09VFS")</f>
      </c>
      <c r="AK185" s="2" t="str">
        <f>HYPERLINK("https://camelcamelcamel.com/search?sq=B016P09VFS", "https://camelcamelcamel.com/search?sq=B016P09VFS")</f>
      </c>
      <c r="AL185" t="inlineStr">
        <is>
          <t/>
        </is>
      </c>
      <c r="AM185" s="10">
        <v>45417.11111111111</v>
      </c>
      <c r="AN185" t="inlineStr">
        <is>
          <t>KontrolFreek FPS Freek Galaxy Purple for PlayStation 4 (PS4) and PlayStation 5 (PS5) | Performance Thumbsticks | 1 High-Rise, 1 Mid-Rise | Purple</t>
        </is>
      </c>
      <c r="AO185" t="inlineStr">
        <is>
          <t>100</t>
        </is>
      </c>
      <c r="AP185" t="inlineStr">
        <is>
          <t>TAKE ALL</t>
        </is>
      </c>
    </row>
    <row r="186">
      <c r="A186" t="inlineStr">
        <is>
          <t>B016P0BVH4</t>
        </is>
      </c>
      <c r="B186" t="inlineStr">
        <is>
          <t>False</t>
        </is>
      </c>
      <c r="C186" t="inlineStr">
        <is>
          <t>B016P0BVH4</t>
        </is>
      </c>
      <c r="D186" t="inlineStr">
        <is>
          <t>KontrolFreek</t>
        </is>
      </c>
      <c r="E186" t="inlineStr">
        <is>
          <t>False</t>
        </is>
      </c>
      <c r="F186" t="inlineStr">
        <is>
          <t>KontrolFreek FPS Freek Galaxy Purple for Xbox One and Xbox Series X Controller | 2 Performance Thumbsticks | 1 High-Rise, 1 Mid-Rise | Purple</t>
        </is>
      </c>
      <c r="G186">
        <v>1</v>
      </c>
      <c r="H186" s="2" t="str">
        <f>HYPERLINK("https://www.amazon.com/dp/B016P0BVH4", "https://www.amazon.com/dp/B016P0BVH4")</f>
      </c>
      <c r="I186" s="3">
        <v>6157</v>
      </c>
      <c r="J186" s="11">
        <v>0.44</v>
      </c>
      <c r="K186" s="5">
        <v>0.0259</v>
      </c>
      <c r="L186" s="5">
        <v>0.0518</v>
      </c>
      <c r="M186" t="inlineStr">
        <is>
          <t>True</t>
        </is>
      </c>
      <c r="N186" t="inlineStr">
        <is>
          <t>Electronics</t>
        </is>
      </c>
      <c r="O186" s="6">
        <v>426</v>
      </c>
      <c r="P186" s="6">
        <v>544</v>
      </c>
      <c r="Q186" s="6">
        <v>116</v>
      </c>
      <c r="R186" s="6">
        <v>180</v>
      </c>
      <c r="S186" s="7">
        <v>8.5</v>
      </c>
      <c r="T186" s="7">
        <v>16.99</v>
      </c>
      <c r="U186">
        <v>17.47</v>
      </c>
      <c r="V186" s="8">
        <v>0</v>
      </c>
      <c r="W186" s="7">
        <v>0</v>
      </c>
      <c r="X186" s="7">
        <v>0</v>
      </c>
      <c r="Y186">
        <v>0.02</v>
      </c>
      <c r="Z186" s="9">
        <v>0.01</v>
      </c>
      <c r="AB186">
        <v>0</v>
      </c>
      <c r="AC186">
        <v>0</v>
      </c>
      <c r="AD186">
        <v>2</v>
      </c>
      <c r="AE186">
        <v>1</v>
      </c>
      <c r="AF186">
        <v>1</v>
      </c>
      <c r="AG186">
        <v>1</v>
      </c>
      <c r="AH186">
        <v>0</v>
      </c>
      <c r="AI186" t="inlineStr">
        <is>
          <t>False</t>
        </is>
      </c>
      <c r="AJ186" s="2" t="str">
        <f>HYPERLINK("https://keepa.com/#!product/1-B016P0BVH4", "https://keepa.com/#!product/1-B016P0BVH4")</f>
      </c>
      <c r="AK186" s="2" t="str">
        <f>HYPERLINK("https://camelcamelcamel.com/search?sq=B016P0BVH4", "https://camelcamelcamel.com/search?sq=B016P0BVH4")</f>
      </c>
      <c r="AL186" t="inlineStr">
        <is>
          <t/>
        </is>
      </c>
      <c r="AM186" s="10">
        <v>45417.11111111111</v>
      </c>
      <c r="AN186" t="inlineStr">
        <is>
          <t>KontrolFreek FPS Freek Galaxy Purple for Xbox One and Xbox Series X Controller | 2 Performance Thumbsticks | 1 High-Rise, 1 Mid-Rise | Purple</t>
        </is>
      </c>
      <c r="AO186" t="inlineStr">
        <is>
          <t>1000</t>
        </is>
      </c>
      <c r="AP186" t="inlineStr">
        <is>
          <t>500</t>
        </is>
      </c>
    </row>
    <row r="187">
      <c r="A187" t="inlineStr">
        <is>
          <t>B0176Q0CQW</t>
        </is>
      </c>
      <c r="B187" t="inlineStr">
        <is>
          <t>False</t>
        </is>
      </c>
      <c r="C187" t="inlineStr">
        <is>
          <t>B0176Q0CQW</t>
        </is>
      </c>
      <c r="D187" t="inlineStr">
        <is>
          <t>Rachael Ray Nutrish</t>
        </is>
      </c>
      <c r="E187" t="inlineStr">
        <is>
          <t>False</t>
        </is>
      </c>
      <c r="F187" t="inlineStr">
        <is>
          <t>Rachael Ray Nutrish Premium Natural Wet Dog Food, Savory Favorites Variety Pack, 8 Ounce Tub (Pack of 6)</t>
        </is>
      </c>
      <c r="G187">
        <v>1</v>
      </c>
      <c r="H187" s="2" t="str">
        <f>HYPERLINK("https://www.amazon.com/dp/B0176Q0CQW", "https://www.amazon.com/dp/B0176Q0CQW")</f>
      </c>
      <c r="I187" s="3">
        <v>11097</v>
      </c>
      <c r="J187" s="12">
        <v>-8.8</v>
      </c>
      <c r="K187" s="13">
        <v>-0.8381000000000001</v>
      </c>
      <c r="L187" s="13">
        <v>-1.0057</v>
      </c>
      <c r="M187" t="inlineStr">
        <is>
          <t>True</t>
        </is>
      </c>
      <c r="N187" t="inlineStr">
        <is>
          <t>Pet Supplies</t>
        </is>
      </c>
      <c r="O187" s="6">
        <v>606</v>
      </c>
      <c r="P187" s="6">
        <v>421</v>
      </c>
      <c r="Q187" s="6">
        <v>342</v>
      </c>
      <c r="R187" s="6">
        <v>298</v>
      </c>
      <c r="S187" s="7">
        <v>8.75</v>
      </c>
      <c r="T187" s="7">
        <v>10.5</v>
      </c>
      <c r="U187">
        <v>11.36</v>
      </c>
      <c r="V187" s="8">
        <v>0</v>
      </c>
      <c r="W187" s="7">
        <v>0</v>
      </c>
      <c r="X187" s="7">
        <v>0</v>
      </c>
      <c r="Y187">
        <v>8.42</v>
      </c>
      <c r="Z187" s="9">
        <v>0.22</v>
      </c>
      <c r="AB187">
        <v>0</v>
      </c>
      <c r="AC187">
        <v>0</v>
      </c>
      <c r="AD187">
        <v>14</v>
      </c>
      <c r="AE187">
        <v>2</v>
      </c>
      <c r="AF187">
        <v>12</v>
      </c>
      <c r="AG187">
        <v>2</v>
      </c>
      <c r="AH187">
        <v>2</v>
      </c>
      <c r="AI187" t="inlineStr">
        <is>
          <t>False</t>
        </is>
      </c>
      <c r="AJ187" s="2" t="str">
        <f>HYPERLINK("https://keepa.com/#!product/1-B0176Q0CQW", "https://keepa.com/#!product/1-B0176Q0CQW")</f>
      </c>
      <c r="AK187" s="2" t="str">
        <f>HYPERLINK("https://camelcamelcamel.com/search?sq=B0176Q0CQW", "https://camelcamelcamel.com/search?sq=B0176Q0CQW")</f>
      </c>
      <c r="AL187" t="inlineStr">
        <is>
          <t/>
        </is>
      </c>
      <c r="AM187" s="10">
        <v>45417.11111111111</v>
      </c>
      <c r="AN187" t="inlineStr">
        <is>
          <t>Rachael Ray Nutrish Premium Natural Wet Dog Food, Savory Favorites Variety Pack, 8 Ounce Tub (Pack of 6)</t>
        </is>
      </c>
      <c r="AO187" t="inlineStr">
        <is>
          <t>5000</t>
        </is>
      </c>
      <c r="AP187" t="inlineStr">
        <is>
          <t>1000</t>
        </is>
      </c>
    </row>
    <row r="188">
      <c r="A188" t="inlineStr">
        <is>
          <t>B0193G18VQ</t>
        </is>
      </c>
      <c r="B188" t="inlineStr">
        <is>
          <t>False</t>
        </is>
      </c>
      <c r="C188" t="inlineStr">
        <is>
          <t>B0193G18VQ</t>
        </is>
      </c>
      <c r="D188" t="inlineStr">
        <is>
          <t>Pantene</t>
        </is>
      </c>
      <c r="E188" t="inlineStr">
        <is>
          <t>False</t>
        </is>
      </c>
      <c r="F188" t="inlineStr">
        <is>
          <t>Pantene Moisture Renewal 3 Minute Miracle Deep Conditioner, 6 Fluid Ounce</t>
        </is>
      </c>
      <c r="G188">
        <v>1</v>
      </c>
      <c r="H188" s="2" t="str">
        <f>HYPERLINK("https://www.amazon.com/dp/B0193G18VQ", "https://www.amazon.com/dp/B0193G18VQ")</f>
      </c>
      <c r="I188" s="3">
        <v>487</v>
      </c>
      <c r="J188" s="12">
        <v>-1.12</v>
      </c>
      <c r="K188" s="13">
        <v>-0.1208</v>
      </c>
      <c r="L188" s="13">
        <v>-0.1723</v>
      </c>
      <c r="M188" t="inlineStr">
        <is>
          <t>True</t>
        </is>
      </c>
      <c r="N188" t="inlineStr">
        <is>
          <t>Beauty &amp; Personal Care</t>
        </is>
      </c>
      <c r="O188" s="6">
        <v>31711</v>
      </c>
      <c r="P188" s="6">
        <v>26845</v>
      </c>
      <c r="Q188" s="6">
        <v>6820</v>
      </c>
      <c r="R188" s="6">
        <v>162</v>
      </c>
      <c r="S188" s="7">
        <v>6.5</v>
      </c>
      <c r="T188" s="7">
        <v>9.27</v>
      </c>
      <c r="U188">
        <v>8.27</v>
      </c>
      <c r="V188" s="8">
        <v>0</v>
      </c>
      <c r="W188" s="7">
        <v>0</v>
      </c>
      <c r="X188" s="7">
        <v>0</v>
      </c>
      <c r="Y188">
        <v>0.44</v>
      </c>
      <c r="Z188" s="9">
        <v>0.04</v>
      </c>
      <c r="AB188">
        <v>0</v>
      </c>
      <c r="AC188">
        <v>0</v>
      </c>
      <c r="AD188">
        <v>7</v>
      </c>
      <c r="AE188">
        <v>5</v>
      </c>
      <c r="AF188">
        <v>2</v>
      </c>
      <c r="AG188">
        <v>1</v>
      </c>
      <c r="AH188">
        <v>5</v>
      </c>
      <c r="AI188" t="inlineStr">
        <is>
          <t>False</t>
        </is>
      </c>
      <c r="AJ188" s="2" t="str">
        <f>HYPERLINK("https://keepa.com/#!product/1-B0193G18VQ", "https://keepa.com/#!product/1-B0193G18VQ")</f>
      </c>
      <c r="AK188" s="2" t="str">
        <f>HYPERLINK("https://camelcamelcamel.com/search?sq=B0193G18VQ", "https://camelcamelcamel.com/search?sq=B0193G18VQ")</f>
      </c>
      <c r="AL188" t="inlineStr">
        <is>
          <t/>
        </is>
      </c>
      <c r="AM188" s="10">
        <v>45417.11111111111</v>
      </c>
      <c r="AN188" t="inlineStr">
        <is>
          <t>Pantene Moisture Renewal 3 Minute Miracle Deep Conditioner, 6 Fluid Ounce</t>
        </is>
      </c>
      <c r="AO188" t="inlineStr">
        <is>
          <t>350</t>
        </is>
      </c>
      <c r="AP188" t="inlineStr">
        <is>
          <t>TAKE ALL</t>
        </is>
      </c>
    </row>
    <row r="189">
      <c r="A189" t="inlineStr">
        <is>
          <t>B019ET2AJG</t>
        </is>
      </c>
      <c r="B189" t="inlineStr">
        <is>
          <t>False</t>
        </is>
      </c>
      <c r="C189" t="inlineStr">
        <is>
          <t>B019ET2AJG</t>
        </is>
      </c>
      <c r="D189" t="inlineStr">
        <is>
          <t>ORGANIC INDIA</t>
        </is>
      </c>
      <c r="E189" t="inlineStr">
        <is>
          <t>False</t>
        </is>
      </c>
      <c r="F189" t="inlineStr">
        <is>
          <t>ORGANIC INDIA Turmeric Curcumin Herbal Supplement - Joint Mobility &amp; Immune System Support, Healthy Inflammatory Response, Whole Root Supplement, Trikatu, USDA Certified Organic - 180 Capsules</t>
        </is>
      </c>
      <c r="G189">
        <v>1</v>
      </c>
      <c r="H189" s="2" t="str">
        <f>HYPERLINK("https://www.amazon.com/dp/B019ET2AJG", "https://www.amazon.com/dp/B019ET2AJG")</f>
      </c>
      <c r="I189" s="3">
        <v>2246</v>
      </c>
      <c r="J189" s="4">
        <v>6.67</v>
      </c>
      <c r="K189" s="5">
        <v>0.1906</v>
      </c>
      <c r="L189" s="15">
        <v>0.37060000000000004</v>
      </c>
      <c r="M189" t="inlineStr">
        <is>
          <t>True</t>
        </is>
      </c>
      <c r="N189" t="inlineStr">
        <is>
          <t>Health &amp; Household</t>
        </is>
      </c>
      <c r="O189" s="6">
        <v>11493</v>
      </c>
      <c r="P189" s="6">
        <v>10411</v>
      </c>
      <c r="Q189" s="6">
        <v>8144</v>
      </c>
      <c r="R189" s="6">
        <v>194</v>
      </c>
      <c r="S189" s="7">
        <v>18</v>
      </c>
      <c r="T189" s="7">
        <v>34.99</v>
      </c>
      <c r="U189">
        <v>34.33</v>
      </c>
      <c r="V189" s="8">
        <v>0</v>
      </c>
      <c r="W189" s="7">
        <v>0</v>
      </c>
      <c r="X189" s="7">
        <v>0</v>
      </c>
      <c r="Y189">
        <v>0.66</v>
      </c>
      <c r="Z189" s="9">
        <v>0.01</v>
      </c>
      <c r="AB189">
        <v>0</v>
      </c>
      <c r="AC189">
        <v>0</v>
      </c>
      <c r="AD189">
        <v>3</v>
      </c>
      <c r="AE189">
        <v>1</v>
      </c>
      <c r="AF189">
        <v>2</v>
      </c>
      <c r="AG189">
        <v>1</v>
      </c>
      <c r="AH189">
        <v>2</v>
      </c>
      <c r="AI189" t="inlineStr">
        <is>
          <t>False</t>
        </is>
      </c>
      <c r="AJ189" s="2" t="str">
        <f>HYPERLINK("https://keepa.com/#!product/1-B019ET2AJG", "https://keepa.com/#!product/1-B019ET2AJG")</f>
      </c>
      <c r="AK189" s="2" t="str">
        <f>HYPERLINK("https://camelcamelcamel.com/search?sq=B019ET2AJG", "https://camelcamelcamel.com/search?sq=B019ET2AJG")</f>
      </c>
      <c r="AL189" t="inlineStr">
        <is>
          <t/>
        </is>
      </c>
      <c r="AM189" s="10">
        <v>45417.11111111111</v>
      </c>
      <c r="AN189" t="inlineStr">
        <is>
          <t>ORGANIC INDIA Turmeric Curcumin Herbal Supplement - Joint Mobility &amp; Immune Support, Healthy Inflammatory Response, Whole Root Supplement, Trikatu, USDA Certified Organic, Non-GMO - 180 Capsules</t>
        </is>
      </c>
      <c r="AO189" t="inlineStr">
        <is>
          <t>250</t>
        </is>
      </c>
      <c r="AP189" t="inlineStr">
        <is>
          <t>TAKE ALL</t>
        </is>
      </c>
    </row>
    <row r="190">
      <c r="A190" t="inlineStr">
        <is>
          <t>B019J5BA50</t>
        </is>
      </c>
      <c r="B190" t="inlineStr">
        <is>
          <t>False</t>
        </is>
      </c>
      <c r="C190" t="inlineStr">
        <is>
          <t>B019J5BA50</t>
        </is>
      </c>
      <c r="D190" t="inlineStr">
        <is>
          <t>ONE</t>
        </is>
      </c>
      <c r="E190" t="inlineStr">
        <is>
          <t>False</t>
        </is>
      </c>
      <c r="F190" t="inlineStr">
        <is>
          <t>ONE Protein Bars, Almond Bliss, Gluten Free Protein Bars with 20g Protein and only 1g Sugar, Guilt-Free Snacking for High Protein Diets, 2.12 oz (12 Pack)</t>
        </is>
      </c>
      <c r="G190">
        <v>1</v>
      </c>
      <c r="H190" s="2" t="str">
        <f>HYPERLINK("https://www.amazon.com/dp/B019J5BA50", "https://www.amazon.com/dp/B019J5BA50")</f>
      </c>
      <c r="I190" s="3">
        <v>29787</v>
      </c>
      <c r="J190" s="4">
        <v>13.56</v>
      </c>
      <c r="K190" s="15">
        <v>0.33759999999999996</v>
      </c>
      <c r="L190" s="15">
        <v>0.904</v>
      </c>
      <c r="M190" t="inlineStr">
        <is>
          <t>True</t>
        </is>
      </c>
      <c r="N190" t="inlineStr">
        <is>
          <t>Health &amp; Household</t>
        </is>
      </c>
      <c r="O190" s="6">
        <v>466</v>
      </c>
      <c r="P190" s="6">
        <v>519</v>
      </c>
      <c r="Q190" s="6">
        <v>137</v>
      </c>
      <c r="R190" s="6">
        <v>252</v>
      </c>
      <c r="S190" s="7">
        <v>15</v>
      </c>
      <c r="T190" s="7">
        <v>40.17</v>
      </c>
      <c r="U190">
        <v>29.97</v>
      </c>
      <c r="V190" s="8">
        <v>0</v>
      </c>
      <c r="W190" s="7">
        <v>0</v>
      </c>
      <c r="X190" s="7">
        <v>0</v>
      </c>
      <c r="Y190">
        <v>1.74</v>
      </c>
      <c r="Z190" s="9">
        <v>1</v>
      </c>
      <c r="AB190">
        <v>0</v>
      </c>
      <c r="AC190">
        <v>0</v>
      </c>
      <c r="AD190">
        <v>5</v>
      </c>
      <c r="AE190">
        <v>1</v>
      </c>
      <c r="AF190">
        <v>4</v>
      </c>
      <c r="AG190">
        <v>1</v>
      </c>
      <c r="AH190">
        <v>17</v>
      </c>
      <c r="AI190" t="inlineStr">
        <is>
          <t>False</t>
        </is>
      </c>
      <c r="AJ190" s="2" t="str">
        <f>HYPERLINK("https://keepa.com/#!product/1-B019J5BA50", "https://keepa.com/#!product/1-B019J5BA50")</f>
      </c>
      <c r="AK190" s="2" t="str">
        <f>HYPERLINK("https://camelcamelcamel.com/search?sq=B019J5BA50", "https://camelcamelcamel.com/search?sq=B019J5BA50")</f>
      </c>
      <c r="AL190" t="inlineStr">
        <is>
          <t/>
        </is>
      </c>
      <c r="AM190" s="10">
        <v>45417.11111111111</v>
      </c>
      <c r="AN190" t="inlineStr">
        <is>
          <t>ONE Protein Bars, Almond Bliss, Gluten Free Protein Bars with 20g Protein and only 1g Sugar, Guilt-Free Snacking for High Protein Diets, 2.12 oz (12 Pack)</t>
        </is>
      </c>
      <c r="AO190" t="inlineStr">
        <is>
          <t>1000</t>
        </is>
      </c>
      <c r="AP190" t="inlineStr">
        <is>
          <t>TAKE ALL</t>
        </is>
      </c>
    </row>
    <row r="191">
      <c r="A191" t="inlineStr">
        <is>
          <t>B01AMNV9GI</t>
        </is>
      </c>
      <c r="B191" t="inlineStr">
        <is>
          <t>False</t>
        </is>
      </c>
      <c r="C191" t="inlineStr">
        <is>
          <t>B01AMNV9GI</t>
        </is>
      </c>
      <c r="D191" t="inlineStr">
        <is>
          <t>Supply Giant</t>
        </is>
      </c>
      <c r="E191" t="inlineStr">
        <is>
          <t>False</t>
        </is>
      </c>
      <c r="F191" t="inlineStr">
        <is>
          <t>Pexflow Starter Kit for 1/2-In Pex with Crimper &amp; Cutter Tools - Set includes Brass Elbow &amp; Coupling Fittings, Cinch Clamps, Half Clamps, and 2 Rolls of 1/2-In X 100ft PEX Tubing</t>
        </is>
      </c>
      <c r="G191">
        <v>1</v>
      </c>
      <c r="H191" s="2" t="str">
        <f>HYPERLINK("https://www.amazon.com/dp/B01AMNV9GI", "https://www.amazon.com/dp/B01AMNV9GI")</f>
      </c>
      <c r="I191" s="14">
        <v>5</v>
      </c>
      <c r="J191" s="12">
        <v>-23.14</v>
      </c>
      <c r="K191" s="13">
        <v>-0.2763</v>
      </c>
      <c r="L191" s="13">
        <v>-0.2722</v>
      </c>
      <c r="M191" t="inlineStr">
        <is>
          <t>True</t>
        </is>
      </c>
      <c r="N191" t="inlineStr">
        <is>
          <t>Tools &amp; Home Improvement</t>
        </is>
      </c>
      <c r="O191" s="6">
        <v>422233</v>
      </c>
      <c r="P191" s="6">
        <v>411039</v>
      </c>
      <c r="Q191" s="6">
        <v>139360</v>
      </c>
      <c r="R191" s="6">
        <v>13</v>
      </c>
      <c r="S191" s="7">
        <v>85</v>
      </c>
      <c r="T191" s="7">
        <v>83.74</v>
      </c>
      <c r="U191">
        <v>122.8</v>
      </c>
      <c r="V191" s="8">
        <v>0</v>
      </c>
      <c r="W191" s="7">
        <v>0</v>
      </c>
      <c r="X191" s="7">
        <v>0</v>
      </c>
      <c r="Y191">
        <v>9.91</v>
      </c>
      <c r="Z191" s="9">
        <v>1</v>
      </c>
      <c r="AB191">
        <v>0</v>
      </c>
      <c r="AC191">
        <v>0</v>
      </c>
      <c r="AD191">
        <v>5</v>
      </c>
      <c r="AE191">
        <v>3</v>
      </c>
      <c r="AF191">
        <v>2</v>
      </c>
      <c r="AG191">
        <v>1</v>
      </c>
      <c r="AH191">
        <v>7</v>
      </c>
      <c r="AI191" t="inlineStr">
        <is>
          <t>False</t>
        </is>
      </c>
      <c r="AJ191" s="2" t="str">
        <f>HYPERLINK("https://keepa.com/#!product/1-B01AMNV9GI", "https://keepa.com/#!product/1-B01AMNV9GI")</f>
      </c>
      <c r="AK191" s="2" t="str">
        <f>HYPERLINK("https://camelcamelcamel.com/search?sq=B01AMNV9GI", "https://camelcamelcamel.com/search?sq=B01AMNV9GI")</f>
      </c>
      <c r="AL191" t="inlineStr">
        <is>
          <t/>
        </is>
      </c>
      <c r="AM191" s="10">
        <v>45417.11111111111</v>
      </c>
      <c r="AN191" t="inlineStr">
        <is>
          <t>Pexflow Starter Kit for 1/2-In Pex with Crimper &amp; Cutter Tools - Set includes Brass Elbow &amp; Coupling Fittings, Cinch Clamps, Half Clamps, and 2 Rolls of 1/2-In X 100ft PEX Tubing</t>
        </is>
      </c>
      <c r="AO191" t="inlineStr">
        <is>
          <t>26</t>
        </is>
      </c>
      <c r="AP191" t="inlineStr">
        <is>
          <t>TAKE ALL</t>
        </is>
      </c>
    </row>
    <row r="192">
      <c r="A192" t="inlineStr">
        <is>
          <t>B01B21JM7M</t>
        </is>
      </c>
      <c r="B192" t="inlineStr">
        <is>
          <t>False</t>
        </is>
      </c>
      <c r="C192" t="inlineStr">
        <is>
          <t>B01B21JM7M</t>
        </is>
      </c>
      <c r="D192" t="inlineStr">
        <is>
          <t>Nutrition Now</t>
        </is>
      </c>
      <c r="E192" t="inlineStr">
        <is>
          <t>False</t>
        </is>
      </c>
      <c r="F192" t="inlineStr">
        <is>
          <t>Nutrition Now PB 8 Probiotic Immune System and Digestive Support* Dietary Supplement, 60 Count</t>
        </is>
      </c>
      <c r="G192">
        <v>1</v>
      </c>
      <c r="H192" s="2" t="str">
        <f>HYPERLINK("https://www.amazon.com/dp/B01B21JM7M", "https://www.amazon.com/dp/B01B21JM7M")</f>
      </c>
      <c r="I192" s="3">
        <v>138</v>
      </c>
      <c r="J192" s="11">
        <v>0.27</v>
      </c>
      <c r="K192" s="5">
        <v>0.027000000000000003</v>
      </c>
      <c r="L192" s="5">
        <v>0.045</v>
      </c>
      <c r="M192" t="inlineStr">
        <is>
          <t>True</t>
        </is>
      </c>
      <c r="N192" t="inlineStr">
        <is>
          <t>Health &amp; Household</t>
        </is>
      </c>
      <c r="O192" s="6">
        <v>84355</v>
      </c>
      <c r="P192" s="6">
        <v>83420</v>
      </c>
      <c r="Q192" s="6">
        <v>50989</v>
      </c>
      <c r="R192" s="6">
        <v>128</v>
      </c>
      <c r="S192" s="7">
        <v>6</v>
      </c>
      <c r="T192" s="7">
        <v>9.99</v>
      </c>
      <c r="U192">
        <v>13.37</v>
      </c>
      <c r="V192" s="8">
        <v>0</v>
      </c>
      <c r="W192" s="7">
        <v>0</v>
      </c>
      <c r="X192" s="7">
        <v>0</v>
      </c>
      <c r="Y192">
        <v>0.13</v>
      </c>
      <c r="Z192" s="9">
        <v>0.36</v>
      </c>
      <c r="AB192">
        <v>0</v>
      </c>
      <c r="AC192">
        <v>0</v>
      </c>
      <c r="AD192">
        <v>19</v>
      </c>
      <c r="AE192">
        <v>5</v>
      </c>
      <c r="AF192">
        <v>14</v>
      </c>
      <c r="AG192">
        <v>1</v>
      </c>
      <c r="AH192">
        <v>2</v>
      </c>
      <c r="AI192" t="inlineStr">
        <is>
          <t>False</t>
        </is>
      </c>
      <c r="AJ192" s="2" t="str">
        <f>HYPERLINK("https://keepa.com/#!product/1-B01B21JM7M", "https://keepa.com/#!product/1-B01B21JM7M")</f>
      </c>
      <c r="AK192" s="2" t="str">
        <f>HYPERLINK("https://camelcamelcamel.com/search?sq=B01B21JM7M", "https://camelcamelcamel.com/search?sq=B01B21JM7M")</f>
      </c>
      <c r="AL192" t="inlineStr">
        <is>
          <t/>
        </is>
      </c>
      <c r="AM192" s="10">
        <v>45417.11111111111</v>
      </c>
      <c r="AN192" t="inlineStr">
        <is>
          <t>Nutrition Now PB 8 Probiotic Immune System and Digestive</t>
        </is>
      </c>
      <c r="AO192" t="inlineStr">
        <is>
          <t>500</t>
        </is>
      </c>
      <c r="AP192" t="inlineStr">
        <is>
          <t>250</t>
        </is>
      </c>
    </row>
    <row r="193">
      <c r="A193" t="inlineStr">
        <is>
          <t>B01C3LW2KO</t>
        </is>
      </c>
      <c r="B193" t="inlineStr">
        <is>
          <t>False</t>
        </is>
      </c>
      <c r="C193" t="inlineStr">
        <is>
          <t>B01C3LW2KO</t>
        </is>
      </c>
      <c r="D193" t="inlineStr">
        <is>
          <t>Carhartt</t>
        </is>
      </c>
      <c r="E193" t="inlineStr">
        <is>
          <t>False</t>
        </is>
      </c>
      <c r="F193" t="inlineStr">
        <is>
          <t>Carhartt Men's Knit Cuffed Beanie, Black/White, One Size</t>
        </is>
      </c>
      <c r="G193">
        <v>1</v>
      </c>
      <c r="H193" s="2" t="str">
        <f>HYPERLINK("https://www.amazon.com/dp/B01C3LW2KO", "https://www.amazon.com/dp/B01C3LW2KO")</f>
      </c>
      <c r="I193" s="3">
        <v>9646</v>
      </c>
      <c r="J193" s="11">
        <v>0.41</v>
      </c>
      <c r="K193" s="5">
        <v>0.0256</v>
      </c>
      <c r="L193" s="5">
        <v>0.0432</v>
      </c>
      <c r="M193" t="inlineStr">
        <is>
          <t>True</t>
        </is>
      </c>
      <c r="N193" t="inlineStr">
        <is>
          <t>Clothing, Shoes &amp; Jewelry</t>
        </is>
      </c>
      <c r="O193" s="6">
        <v>1144</v>
      </c>
      <c r="P193" s="6">
        <v>423</v>
      </c>
      <c r="Q193" s="6">
        <v>4</v>
      </c>
      <c r="R193" s="6">
        <v>214</v>
      </c>
      <c r="S193" s="7">
        <v>9.5</v>
      </c>
      <c r="T193" s="7">
        <v>15.99</v>
      </c>
      <c r="U193">
        <v>17.14</v>
      </c>
      <c r="V193" s="8">
        <v>0</v>
      </c>
      <c r="W193" s="7">
        <v>0</v>
      </c>
      <c r="X193" s="7">
        <v>0</v>
      </c>
      <c r="Y193">
        <v>0.18</v>
      </c>
      <c r="Z193" s="9">
        <v>1</v>
      </c>
      <c r="AB193">
        <v>0</v>
      </c>
      <c r="AC193">
        <v>0</v>
      </c>
      <c r="AD193">
        <v>14</v>
      </c>
      <c r="AE193">
        <v>4</v>
      </c>
      <c r="AF193">
        <v>10</v>
      </c>
      <c r="AG193">
        <v>1</v>
      </c>
      <c r="AH193">
        <v>40</v>
      </c>
      <c r="AI193" t="inlineStr">
        <is>
          <t>False</t>
        </is>
      </c>
      <c r="AJ193" s="2" t="str">
        <f>HYPERLINK("https://keepa.com/#!product/1-B01C3LW2KO", "https://keepa.com/#!product/1-B01C3LW2KO")</f>
      </c>
      <c r="AK193" s="2" t="str">
        <f>HYPERLINK("https://camelcamelcamel.com/search?sq=B01C3LW2KO", "https://camelcamelcamel.com/search?sq=B01C3LW2KO")</f>
      </c>
      <c r="AL193" t="inlineStr">
        <is>
          <t/>
        </is>
      </c>
      <c r="AM193" s="10">
        <v>45417.11111111111</v>
      </c>
      <c r="AN193" t="inlineStr">
        <is>
          <t>Carhartt Men's Knit Cuffed Beanie</t>
        </is>
      </c>
      <c r="AO193" t="inlineStr">
        <is>
          <t>2400</t>
        </is>
      </c>
      <c r="AP193" t="inlineStr">
        <is>
          <t>TAKE ALL</t>
        </is>
      </c>
    </row>
    <row r="194">
      <c r="A194" t="inlineStr">
        <is>
          <t>B01C3LW5JC</t>
        </is>
      </c>
      <c r="B194" t="inlineStr">
        <is>
          <t>False</t>
        </is>
      </c>
      <c r="C194" t="inlineStr">
        <is>
          <t>B01C3LW5JC</t>
        </is>
      </c>
      <c r="D194" t="inlineStr">
        <is>
          <t>Carhartt</t>
        </is>
      </c>
      <c r="E194" t="inlineStr">
        <is>
          <t>False</t>
        </is>
      </c>
      <c r="F194" t="inlineStr">
        <is>
          <t>Carhartt Men's Knit Cuffed Beanie, Dark Brown/Sandstone, One Size</t>
        </is>
      </c>
      <c r="G194">
        <v>1</v>
      </c>
      <c r="H194" s="2" t="str">
        <f>HYPERLINK("https://www.amazon.com/dp/B01C3LW5JC", "https://www.amazon.com/dp/B01C3LW5JC")</f>
      </c>
      <c r="I194" s="3">
        <v>9646</v>
      </c>
      <c r="J194" s="11">
        <v>3.32</v>
      </c>
      <c r="K194" s="5">
        <v>0.1661</v>
      </c>
      <c r="L194" s="15">
        <v>0.34950000000000003</v>
      </c>
      <c r="M194" t="inlineStr">
        <is>
          <t>True</t>
        </is>
      </c>
      <c r="N194" t="inlineStr">
        <is>
          <t>Clothing, Shoes &amp; Jewelry</t>
        </is>
      </c>
      <c r="O194" s="6">
        <v>1144</v>
      </c>
      <c r="P194" s="6">
        <v>459</v>
      </c>
      <c r="Q194" s="6">
        <v>4</v>
      </c>
      <c r="R194" s="6">
        <v>198</v>
      </c>
      <c r="S194" s="7">
        <v>9.5</v>
      </c>
      <c r="T194" s="7">
        <v>19.99</v>
      </c>
      <c r="U194">
        <v>19.99</v>
      </c>
      <c r="V194" s="8">
        <v>0</v>
      </c>
      <c r="W194" s="7">
        <v>0</v>
      </c>
      <c r="X194" s="7">
        <v>0</v>
      </c>
      <c r="Y194">
        <v>0.2</v>
      </c>
      <c r="Z194" s="9">
        <v>1</v>
      </c>
      <c r="AB194">
        <v>0</v>
      </c>
      <c r="AC194">
        <v>0</v>
      </c>
      <c r="AD194">
        <v>13</v>
      </c>
      <c r="AE194">
        <v>4</v>
      </c>
      <c r="AF194">
        <v>9</v>
      </c>
      <c r="AG194">
        <v>2</v>
      </c>
      <c r="AH194">
        <v>40</v>
      </c>
      <c r="AI194" t="inlineStr">
        <is>
          <t>False</t>
        </is>
      </c>
      <c r="AJ194" s="2" t="str">
        <f>HYPERLINK("https://keepa.com/#!product/1-B01C3LW5JC", "https://keepa.com/#!product/1-B01C3LW5JC")</f>
      </c>
      <c r="AK194" s="2" t="str">
        <f>HYPERLINK("https://camelcamelcamel.com/search?sq=B01C3LW5JC", "https://camelcamelcamel.com/search?sq=B01C3LW5JC")</f>
      </c>
      <c r="AL194" t="inlineStr">
        <is>
          <t/>
        </is>
      </c>
      <c r="AM194" s="10">
        <v>45417.11111111111</v>
      </c>
      <c r="AN194" t="inlineStr">
        <is>
          <t>Carhartt Men's Knit Cuffed Beanie</t>
        </is>
      </c>
      <c r="AO194" t="inlineStr">
        <is>
          <t>1000</t>
        </is>
      </c>
      <c r="AP194" t="inlineStr">
        <is>
          <t>TAKE ALL</t>
        </is>
      </c>
    </row>
    <row r="195">
      <c r="A195" t="inlineStr">
        <is>
          <t>B01C5D5VQ2</t>
        </is>
      </c>
      <c r="B195" t="inlineStr">
        <is>
          <t>False</t>
        </is>
      </c>
      <c r="C195" t="inlineStr">
        <is>
          <t>B01C5D5VQ2</t>
        </is>
      </c>
      <c r="D195" t="inlineStr">
        <is>
          <t>FLEXIMOUNTS</t>
        </is>
      </c>
      <c r="E195" t="inlineStr">
        <is>
          <t>False</t>
        </is>
      </c>
      <c r="F195" t="inlineStr">
        <is>
          <t>FLEXIMOUNTS 3x6 Overhead Garage Storage Adjustable Ceiling Storage Rack 72" Length x 36" Width x 40" Height (White)</t>
        </is>
      </c>
      <c r="G195">
        <v>1</v>
      </c>
      <c r="H195" s="2" t="str">
        <f>HYPERLINK("https://www.amazon.com/dp/B01C5D5VQ2", "https://www.amazon.com/dp/B01C5D5VQ2")</f>
      </c>
      <c r="I195" s="3">
        <v>1668</v>
      </c>
      <c r="J195" s="4">
        <v>23.89</v>
      </c>
      <c r="K195" s="5">
        <v>0.1493</v>
      </c>
      <c r="L195" s="5">
        <v>0.2811</v>
      </c>
      <c r="M195" t="inlineStr">
        <is>
          <t>True</t>
        </is>
      </c>
      <c r="N195" t="inlineStr">
        <is>
          <t>Tools &amp; Home Improvement</t>
        </is>
      </c>
      <c r="O195" s="6">
        <v>4928</v>
      </c>
      <c r="P195" s="6">
        <v>7778</v>
      </c>
      <c r="Q195" s="6">
        <v>2230</v>
      </c>
      <c r="R195" s="6">
        <v>217</v>
      </c>
      <c r="S195" s="7">
        <v>85</v>
      </c>
      <c r="T195" s="7">
        <v>159.99</v>
      </c>
      <c r="U195">
        <v>146.72</v>
      </c>
      <c r="V195" s="8">
        <v>0</v>
      </c>
      <c r="W195" s="7">
        <v>0</v>
      </c>
      <c r="X195" s="7">
        <v>0</v>
      </c>
      <c r="Y195">
        <v>45.9</v>
      </c>
      <c r="Z195" s="8">
        <v>0</v>
      </c>
      <c r="AB195">
        <v>0</v>
      </c>
      <c r="AC195">
        <v>0</v>
      </c>
      <c r="AD195">
        <v>5</v>
      </c>
      <c r="AE195">
        <v>1</v>
      </c>
      <c r="AF195">
        <v>1</v>
      </c>
      <c r="AG195">
        <v>0</v>
      </c>
      <c r="AH195">
        <v>6</v>
      </c>
      <c r="AI195" t="inlineStr">
        <is>
          <t>False</t>
        </is>
      </c>
      <c r="AJ195" s="2" t="str">
        <f>HYPERLINK("https://keepa.com/#!product/1-B01C5D5VQ2", "https://keepa.com/#!product/1-B01C5D5VQ2")</f>
      </c>
      <c r="AK195" s="2" t="str">
        <f>HYPERLINK("https://camelcamelcamel.com/search?sq=B01C5D5VQ2", "https://camelcamelcamel.com/search?sq=B01C5D5VQ2")</f>
      </c>
      <c r="AL195" t="inlineStr">
        <is>
          <t/>
        </is>
      </c>
      <c r="AM195" s="10">
        <v>45417.11111111111</v>
      </c>
      <c r="AN195" t="inlineStr">
        <is>
          <t>FLEXIMOUNTS 3x6 Overhead Garage Storage Adjustable Ceiling Storage Rack 72" Length x 36" Width x 40" Height (White)</t>
        </is>
      </c>
      <c r="AO195" t="inlineStr">
        <is>
          <t>120</t>
        </is>
      </c>
      <c r="AP195" t="inlineStr">
        <is>
          <t>60</t>
        </is>
      </c>
    </row>
    <row r="196">
      <c r="A196" t="inlineStr">
        <is>
          <t>B01CI57V2O</t>
        </is>
      </c>
      <c r="B196" t="inlineStr">
        <is>
          <t>False</t>
        </is>
      </c>
      <c r="C196" t="inlineStr">
        <is>
          <t>B01CI57V2O</t>
        </is>
      </c>
      <c r="D196" t="inlineStr">
        <is>
          <t>Orgain</t>
        </is>
      </c>
      <c r="E196" t="inlineStr">
        <is>
          <t>False</t>
        </is>
      </c>
      <c r="F196" t="inlineStr">
        <is>
          <t>Orgain Clean Protein Shake, Grass Fed Dairy, Creamy Chocolate Fudge - 20g Whey Protein, Meal Replacement, Ready to Drink, Gluten Free, Soy Free, Kosher, 11 Fl Oz (Pack of 12) (Packaging May Vary)</t>
        </is>
      </c>
      <c r="G196">
        <v>1</v>
      </c>
      <c r="H196" s="2" t="str">
        <f>HYPERLINK("https://www.amazon.com/dp/B01CI57V2O", "https://www.amazon.com/dp/B01CI57V2O")</f>
      </c>
      <c r="I196" s="3">
        <v>7260</v>
      </c>
      <c r="J196" s="4">
        <v>4.05</v>
      </c>
      <c r="K196" s="5">
        <v>0.1278</v>
      </c>
      <c r="L196" s="15">
        <v>0.3</v>
      </c>
      <c r="M196" t="inlineStr">
        <is>
          <t>True</t>
        </is>
      </c>
      <c r="N196" t="inlineStr">
        <is>
          <t>Grocery &amp; Gourmet Food</t>
        </is>
      </c>
      <c r="O196" s="6">
        <v>515</v>
      </c>
      <c r="P196" s="6">
        <v>655</v>
      </c>
      <c r="Q196" s="6">
        <v>378</v>
      </c>
      <c r="R196" s="6">
        <v>287</v>
      </c>
      <c r="S196" s="7">
        <v>13.5</v>
      </c>
      <c r="T196" s="7">
        <v>31.68</v>
      </c>
      <c r="U196">
        <v>31.1</v>
      </c>
      <c r="V196" s="8">
        <v>0</v>
      </c>
      <c r="W196" s="7">
        <v>0</v>
      </c>
      <c r="X196" s="7">
        <v>0</v>
      </c>
      <c r="Y196">
        <v>9.96</v>
      </c>
      <c r="Z196" s="9">
        <v>1</v>
      </c>
      <c r="AB196">
        <v>0</v>
      </c>
      <c r="AC196">
        <v>0</v>
      </c>
      <c r="AD196">
        <v>4</v>
      </c>
      <c r="AE196">
        <v>1</v>
      </c>
      <c r="AF196">
        <v>3</v>
      </c>
      <c r="AG196">
        <v>1</v>
      </c>
      <c r="AH196">
        <v>4</v>
      </c>
      <c r="AI196" t="inlineStr">
        <is>
          <t>False</t>
        </is>
      </c>
      <c r="AJ196" s="2" t="str">
        <f>HYPERLINK("https://keepa.com/#!product/1-B01CI57V2O", "https://keepa.com/#!product/1-B01CI57V2O")</f>
      </c>
      <c r="AK196" s="2" t="str">
        <f>HYPERLINK("https://camelcamelcamel.com/search?sq=B01CI57V2O", "https://camelcamelcamel.com/search?sq=B01CI57V2O")</f>
      </c>
      <c r="AL196" t="inlineStr">
        <is>
          <t/>
        </is>
      </c>
      <c r="AM196" s="10">
        <v>45417.11111111111</v>
      </c>
      <c r="AN196" t="inlineStr">
        <is>
          <t>Orgain Clean Protein Shake, Grass Fed Dairy, Creamy Chocolate Fudge - 20g Whey Protein, Meal Replacement, Ready to Drink, Gluten Free, Soy Free, Kosher, 11 Fl Oz (Pack of 12) (Packaging May Vary)</t>
        </is>
      </c>
      <c r="AO196" t="inlineStr">
        <is>
          <t>4000</t>
        </is>
      </c>
      <c r="AP196" t="inlineStr">
        <is>
          <t>1000</t>
        </is>
      </c>
    </row>
    <row r="197">
      <c r="A197" t="inlineStr">
        <is>
          <t>B01CMDX4QO</t>
        </is>
      </c>
      <c r="B197" t="inlineStr">
        <is>
          <t>False</t>
        </is>
      </c>
      <c r="C197" t="inlineStr">
        <is>
          <t>B01CMDX4QO</t>
        </is>
      </c>
      <c r="D197" t="inlineStr">
        <is>
          <t>Boiron</t>
        </is>
      </c>
      <c r="E197" t="inlineStr">
        <is>
          <t>False</t>
        </is>
      </c>
      <c r="F197" t="inlineStr">
        <is>
          <t>Boiron Histaminum Hydrochloricum 30C Homeopathic Medicine For Indoor Or Outdoor Allergy Relief, Hay Fever, And Hives - (Pack of 3, Total 240 pellets)</t>
        </is>
      </c>
      <c r="G197">
        <v>1</v>
      </c>
      <c r="H197" s="2" t="str">
        <f>HYPERLINK("https://www.amazon.com/dp/B01CMDX4QO", "https://www.amazon.com/dp/B01CMDX4QO")</f>
      </c>
      <c r="I197" s="3">
        <v>5667</v>
      </c>
      <c r="J197" s="11">
        <v>0.57</v>
      </c>
      <c r="K197" s="5">
        <v>0.0412</v>
      </c>
      <c r="L197" s="5">
        <v>0.076</v>
      </c>
      <c r="M197" t="inlineStr">
        <is>
          <t>True</t>
        </is>
      </c>
      <c r="N197" t="inlineStr">
        <is>
          <t>Health &amp; Household</t>
        </is>
      </c>
      <c r="O197" s="6">
        <v>4634</v>
      </c>
      <c r="P197" s="6">
        <v>6874</v>
      </c>
      <c r="Q197" s="6">
        <v>3851</v>
      </c>
      <c r="R197" s="6">
        <v>250</v>
      </c>
      <c r="S197" s="7">
        <v>7.5</v>
      </c>
      <c r="T197" s="7">
        <v>13.84</v>
      </c>
      <c r="U197">
        <v>14.78</v>
      </c>
      <c r="V197" s="8">
        <v>0</v>
      </c>
      <c r="W197" s="7">
        <v>0</v>
      </c>
      <c r="X197" s="7">
        <v>0</v>
      </c>
      <c r="Y197">
        <v>0.07</v>
      </c>
      <c r="Z197" s="9">
        <v>1</v>
      </c>
      <c r="AB197">
        <v>0</v>
      </c>
      <c r="AC197">
        <v>0</v>
      </c>
      <c r="AD197">
        <v>13</v>
      </c>
      <c r="AE197">
        <v>3</v>
      </c>
      <c r="AF197">
        <v>10</v>
      </c>
      <c r="AG197">
        <v>2</v>
      </c>
      <c r="AH197">
        <v>9</v>
      </c>
      <c r="AI197" t="inlineStr">
        <is>
          <t>False</t>
        </is>
      </c>
      <c r="AJ197" s="2" t="str">
        <f>HYPERLINK("https://keepa.com/#!product/1-B01CMDX4QO", "https://keepa.com/#!product/1-B01CMDX4QO")</f>
      </c>
      <c r="AK197" s="2" t="str">
        <f>HYPERLINK("https://camelcamelcamel.com/search?sq=B01CMDX4QO", "https://camelcamelcamel.com/search?sq=B01CMDX4QO")</f>
      </c>
      <c r="AL197" t="inlineStr">
        <is>
          <t/>
        </is>
      </c>
      <c r="AM197" s="10">
        <v>45417.11111111111</v>
      </c>
      <c r="AN197" t="inlineStr">
        <is>
          <t>Boiron Histaminum Hydrochloricum 30C Homeopathic Medicine For Indoor Or Outdoor Allergy Relief, Hay Fever, And Hives - (Pack of 3, Total 240 pellets)</t>
        </is>
      </c>
      <c r="AO197" t="inlineStr">
        <is>
          <t>1200</t>
        </is>
      </c>
      <c r="AP197" t="inlineStr">
        <is>
          <t>TAKE ALL</t>
        </is>
      </c>
    </row>
    <row r="198">
      <c r="A198" t="inlineStr">
        <is>
          <t>B01D1B71E2</t>
        </is>
      </c>
      <c r="B198" t="inlineStr">
        <is>
          <t>False</t>
        </is>
      </c>
      <c r="C198" t="inlineStr">
        <is>
          <t>B01D1B71E2</t>
        </is>
      </c>
      <c r="D198" t="inlineStr">
        <is>
          <t>Cuisinart</t>
        </is>
      </c>
      <c r="E198" t="inlineStr">
        <is>
          <t>True</t>
        </is>
      </c>
      <c r="F198" t="inlineStr">
        <is>
          <t>Cuisinart CSS-33 Magnetic Grilling Spice Set, Silver</t>
        </is>
      </c>
      <c r="G198">
        <v>1</v>
      </c>
      <c r="H198" s="2" t="str">
        <f>HYPERLINK("https://www.amazon.com/dp/B01D1B71E2", "https://www.amazon.com/dp/B01D1B71E2")</f>
      </c>
      <c r="I198" s="14">
        <v>5</v>
      </c>
      <c r="J198" s="4">
        <v>4.49</v>
      </c>
      <c r="K198" s="5">
        <v>0.1727</v>
      </c>
      <c r="L198" s="15">
        <v>0.37420000000000003</v>
      </c>
      <c r="M198" t="inlineStr">
        <is>
          <t>True</t>
        </is>
      </c>
      <c r="N198" t="inlineStr">
        <is>
          <t>Kitchen &amp; Dining</t>
        </is>
      </c>
      <c r="O198" s="6">
        <v>277507</v>
      </c>
      <c r="P198" s="6">
        <v>201489</v>
      </c>
      <c r="Q198" s="6">
        <v>81296</v>
      </c>
      <c r="R198" s="6">
        <v>35</v>
      </c>
      <c r="S198" s="7">
        <v>12</v>
      </c>
      <c r="T198" s="7">
        <v>26</v>
      </c>
      <c r="U198">
        <v>25.33</v>
      </c>
      <c r="V198" s="8">
        <v>0</v>
      </c>
      <c r="W198" s="7">
        <v>0</v>
      </c>
      <c r="X198" s="7">
        <v>0</v>
      </c>
      <c r="Y198">
        <v>1.74</v>
      </c>
      <c r="Z198" s="9">
        <v>1</v>
      </c>
      <c r="AB198">
        <v>0</v>
      </c>
      <c r="AC198">
        <v>0</v>
      </c>
      <c r="AD198">
        <v>2</v>
      </c>
      <c r="AE198">
        <v>1</v>
      </c>
      <c r="AF198">
        <v>1</v>
      </c>
      <c r="AG198">
        <v>1</v>
      </c>
      <c r="AH198">
        <v>0</v>
      </c>
      <c r="AI198" t="inlineStr">
        <is>
          <t>False</t>
        </is>
      </c>
      <c r="AJ198" s="2" t="str">
        <f>HYPERLINK("https://keepa.com/#!product/1-B01D1B71E2", "https://keepa.com/#!product/1-B01D1B71E2")</f>
      </c>
      <c r="AK198" s="2" t="str">
        <f>HYPERLINK("https://camelcamelcamel.com/search?sq=B01D1B71E2", "https://camelcamelcamel.com/search?sq=B01D1B71E2")</f>
      </c>
      <c r="AL198" t="inlineStr">
        <is>
          <t/>
        </is>
      </c>
      <c r="AM198" s="10">
        <v>45417.11111111111</v>
      </c>
      <c r="AN198" t="inlineStr">
        <is>
          <t>Cuisinart CSS-33 Magnetic Grilling Spice Set, Silver</t>
        </is>
      </c>
      <c r="AO198" t="inlineStr">
        <is>
          <t>600</t>
        </is>
      </c>
      <c r="AP198" t="inlineStr">
        <is>
          <t>TAKE ALL</t>
        </is>
      </c>
    </row>
    <row r="199">
      <c r="A199" t="inlineStr">
        <is>
          <t>B01D2T3NYA</t>
        </is>
      </c>
      <c r="B199" t="inlineStr">
        <is>
          <t>False</t>
        </is>
      </c>
      <c r="C199" t="inlineStr">
        <is>
          <t>B01D2T3NYA</t>
        </is>
      </c>
      <c r="D199" t="inlineStr">
        <is>
          <t>MRS. MEYER'S CLEAN DAY</t>
        </is>
      </c>
      <c r="E199" t="inlineStr">
        <is>
          <t>False</t>
        </is>
      </c>
      <c r="F199" t="inlineStr">
        <is>
          <t>Mrs. Meyer's Baking Soda Cleaner, Hard Water Stain Remover and Tough on Other Household Cleaning Needs, No Rinse Necessary, Lemon Verbena Scent, 12 Fl Oz Bottle</t>
        </is>
      </c>
      <c r="G199">
        <v>1</v>
      </c>
      <c r="H199" s="2" t="str">
        <f>HYPERLINK("https://www.amazon.com/dp/B01D2T3NYA", "https://www.amazon.com/dp/B01D2T3NYA")</f>
      </c>
      <c r="I199" s="3">
        <v>3048</v>
      </c>
      <c r="J199" s="11">
        <v>0.59</v>
      </c>
      <c r="K199" s="5">
        <v>0.0452</v>
      </c>
      <c r="L199" s="5">
        <v>0.1073</v>
      </c>
      <c r="M199" t="inlineStr">
        <is>
          <t>True</t>
        </is>
      </c>
      <c r="N199" t="inlineStr">
        <is>
          <t>Health &amp; Household</t>
        </is>
      </c>
      <c r="O199" s="6">
        <v>8689</v>
      </c>
      <c r="P199" s="6">
        <v>22793</v>
      </c>
      <c r="Q199" s="6">
        <v>7894</v>
      </c>
      <c r="R199" s="6">
        <v>169</v>
      </c>
      <c r="S199" s="7">
        <v>5.5</v>
      </c>
      <c r="T199" s="7">
        <v>13.06</v>
      </c>
      <c r="U199">
        <v>12.86</v>
      </c>
      <c r="V199" s="8">
        <v>0</v>
      </c>
      <c r="W199" s="7">
        <v>0</v>
      </c>
      <c r="X199" s="7">
        <v>0</v>
      </c>
      <c r="Y199">
        <v>1.12</v>
      </c>
      <c r="Z199" s="9">
        <v>0.08</v>
      </c>
      <c r="AB199">
        <v>0</v>
      </c>
      <c r="AC199">
        <v>0</v>
      </c>
      <c r="AD199">
        <v>13</v>
      </c>
      <c r="AE199">
        <v>4</v>
      </c>
      <c r="AF199">
        <v>9</v>
      </c>
      <c r="AG199">
        <v>3</v>
      </c>
      <c r="AH199">
        <v>4</v>
      </c>
      <c r="AI199" t="inlineStr">
        <is>
          <t>False</t>
        </is>
      </c>
      <c r="AJ199" s="2" t="str">
        <f>HYPERLINK("https://keepa.com/#!product/1-B01D2T3NYA", "https://keepa.com/#!product/1-B01D2T3NYA")</f>
      </c>
      <c r="AK199" s="2" t="str">
        <f>HYPERLINK("https://camelcamelcamel.com/search?sq=B01D2T3NYA", "https://camelcamelcamel.com/search?sq=B01D2T3NYA")</f>
      </c>
      <c r="AL199" t="inlineStr">
        <is>
          <t/>
        </is>
      </c>
      <c r="AM199" s="10">
        <v>45417.11111111111</v>
      </c>
      <c r="AN199" t="inlineStr">
        <is>
          <t>Mrs. Meyer's Baking Soda Cleaner, Hard Water Stain Remover and Tough on Other Household Cleaning Needs, No Rinse Necessary, Lemon Verbena Scent, 12 Fl Oz Bottle</t>
        </is>
      </c>
      <c r="AO199" t="inlineStr">
        <is>
          <t>1644</t>
        </is>
      </c>
      <c r="AP199" t="inlineStr">
        <is>
          <t>TAKE ALL</t>
        </is>
      </c>
    </row>
    <row r="200">
      <c r="A200" t="inlineStr">
        <is>
          <t>B01DLPUWJ4</t>
        </is>
      </c>
      <c r="B200" t="inlineStr">
        <is>
          <t>False</t>
        </is>
      </c>
      <c r="C200" t="inlineStr">
        <is>
          <t>B01DLPUWJ4</t>
        </is>
      </c>
      <c r="D200" t="inlineStr">
        <is>
          <t>BLACK+DECKER</t>
        </is>
      </c>
      <c r="E200" t="inlineStr">
        <is>
          <t>False</t>
        </is>
      </c>
      <c r="F200" t="inlineStr">
        <is>
          <t>BLACK+DECKER Air Conditioner, 14,000 BTU Air Conditioner Portable for Room and Heater up to 700 Sq. Ft. with Remote Control, White</t>
        </is>
      </c>
      <c r="G200">
        <v>1</v>
      </c>
      <c r="H200" s="2" t="str">
        <f>HYPERLINK("https://www.amazon.com/dp/B01DLPUWJ4", "https://www.amazon.com/dp/B01DLPUWJ4")</f>
      </c>
      <c r="I200" s="3">
        <v>9243</v>
      </c>
      <c r="J200" s="4">
        <v>36.87</v>
      </c>
      <c r="K200" s="5">
        <v>0.07519999999999999</v>
      </c>
      <c r="L200" s="5">
        <v>0.11699999999999999</v>
      </c>
      <c r="M200" t="inlineStr">
        <is>
          <t>True</t>
        </is>
      </c>
      <c r="N200" t="inlineStr">
        <is>
          <t>Home &amp; Kitchen</t>
        </is>
      </c>
      <c r="O200" s="6">
        <v>1042</v>
      </c>
      <c r="P200" s="6">
        <v>29720</v>
      </c>
      <c r="Q200" s="6">
        <v>491</v>
      </c>
      <c r="R200" s="6">
        <v>253</v>
      </c>
      <c r="S200" s="7">
        <v>315</v>
      </c>
      <c r="T200" s="7">
        <v>489.99</v>
      </c>
      <c r="U200">
        <v>559.07</v>
      </c>
      <c r="V200" s="8">
        <v>0</v>
      </c>
      <c r="W200" s="7">
        <v>0</v>
      </c>
      <c r="X200" s="7">
        <v>0</v>
      </c>
      <c r="Y200">
        <v>79.65</v>
      </c>
      <c r="Z200" s="9">
        <v>0.72</v>
      </c>
      <c r="AB200">
        <v>0</v>
      </c>
      <c r="AC200">
        <v>0</v>
      </c>
      <c r="AD200">
        <v>3</v>
      </c>
      <c r="AE200">
        <v>1</v>
      </c>
      <c r="AF200">
        <v>2</v>
      </c>
      <c r="AG200">
        <v>1</v>
      </c>
      <c r="AH200">
        <v>6</v>
      </c>
      <c r="AI200" t="inlineStr">
        <is>
          <t>True</t>
        </is>
      </c>
      <c r="AJ200" s="2" t="str">
        <f>HYPERLINK("https://keepa.com/#!product/1-B01DLPUWJ4", "https://keepa.com/#!product/1-B01DLPUWJ4")</f>
      </c>
      <c r="AK200" s="2" t="str">
        <f>HYPERLINK("https://camelcamelcamel.com/search?sq=B01DLPUWJ4", "https://camelcamelcamel.com/search?sq=B01DLPUWJ4")</f>
      </c>
      <c r="AL200" t="inlineStr">
        <is>
          <t/>
        </is>
      </c>
      <c r="AM200" s="10">
        <v>45417.11111111111</v>
      </c>
      <c r="AN200" t="inlineStr">
        <is>
          <t>BLACK+DECKER BPACT14HWT Remote Control Portable Air Conditioner, 14,000 BTU +HEAT, White</t>
        </is>
      </c>
      <c r="AO200" t="inlineStr">
        <is>
          <t>36</t>
        </is>
      </c>
      <c r="AP200" t="inlineStr">
        <is>
          <t>TAKE ALL</t>
        </is>
      </c>
    </row>
    <row r="201">
      <c r="A201" t="inlineStr">
        <is>
          <t>B01DMDYW5U</t>
        </is>
      </c>
      <c r="B201" t="inlineStr">
        <is>
          <t>False</t>
        </is>
      </c>
      <c r="C201" t="inlineStr">
        <is>
          <t>B01DMDYW5U</t>
        </is>
      </c>
      <c r="D201" t="inlineStr">
        <is>
          <t>U Brands</t>
        </is>
      </c>
      <c r="E201" t="inlineStr">
        <is>
          <t>False</t>
        </is>
      </c>
      <c r="F201" t="inlineStr">
        <is>
          <t>U Brands Hanging File Desk Organizer, Wire Metal, Copper/Rose Gold - 854U02-06</t>
        </is>
      </c>
      <c r="G201">
        <v>1</v>
      </c>
      <c r="H201" s="2" t="str">
        <f>HYPERLINK("https://www.amazon.com/dp/B01DMDYW5U", "https://www.amazon.com/dp/B01DMDYW5U")</f>
      </c>
      <c r="I201" s="3">
        <v>794</v>
      </c>
      <c r="J201" s="12">
        <v>-3.79</v>
      </c>
      <c r="K201" s="13">
        <v>-0.2164</v>
      </c>
      <c r="L201" s="13">
        <v>-0.39890000000000003</v>
      </c>
      <c r="M201" t="inlineStr">
        <is>
          <t>True</t>
        </is>
      </c>
      <c r="N201" t="inlineStr">
        <is>
          <t>Office Products</t>
        </is>
      </c>
      <c r="O201" s="6">
        <v>7447</v>
      </c>
      <c r="P201" s="6">
        <v>10631</v>
      </c>
      <c r="Q201" s="6">
        <v>5857</v>
      </c>
      <c r="R201" s="6">
        <v>241</v>
      </c>
      <c r="S201" s="7">
        <v>9.5</v>
      </c>
      <c r="T201" s="7">
        <v>17.51</v>
      </c>
      <c r="U201">
        <v>18.62</v>
      </c>
      <c r="V201" s="8">
        <v>0</v>
      </c>
      <c r="W201" s="7">
        <v>0</v>
      </c>
      <c r="X201" s="7">
        <v>0</v>
      </c>
      <c r="Y201">
        <v>1.39</v>
      </c>
      <c r="Z201" s="9">
        <v>1</v>
      </c>
      <c r="AB201">
        <v>0</v>
      </c>
      <c r="AC201">
        <v>0</v>
      </c>
      <c r="AD201">
        <v>5</v>
      </c>
      <c r="AE201">
        <v>5</v>
      </c>
      <c r="AF201">
        <v>0</v>
      </c>
      <c r="AG201">
        <v>4</v>
      </c>
      <c r="AH201">
        <v>3</v>
      </c>
      <c r="AI201" t="inlineStr">
        <is>
          <t>False</t>
        </is>
      </c>
      <c r="AJ201" s="2" t="str">
        <f>HYPERLINK("https://keepa.com/#!product/1-B01DMDYW5U", "https://keepa.com/#!product/1-B01DMDYW5U")</f>
      </c>
      <c r="AK201" s="2" t="str">
        <f>HYPERLINK("https://camelcamelcamel.com/search?sq=B01DMDYW5U", "https://camelcamelcamel.com/search?sq=B01DMDYW5U")</f>
      </c>
      <c r="AL201" t="inlineStr">
        <is>
          <t/>
        </is>
      </c>
      <c r="AM201" s="10">
        <v>45417.11111111111</v>
      </c>
      <c r="AN201" t="inlineStr">
        <is>
          <t>U Brands Hanging File Desk Organizer, Wire Metal, Copper/Rose Gold - 854U02-06</t>
        </is>
      </c>
      <c r="AO201" t="inlineStr">
        <is>
          <t>600</t>
        </is>
      </c>
      <c r="AP201" t="inlineStr">
        <is>
          <t>TAKE ALL</t>
        </is>
      </c>
    </row>
    <row r="202">
      <c r="A202" t="inlineStr">
        <is>
          <t>B01E9YOMKQ</t>
        </is>
      </c>
      <c r="B202" t="inlineStr">
        <is>
          <t>False</t>
        </is>
      </c>
      <c r="C202" t="inlineStr">
        <is>
          <t>B01E9YOMKQ</t>
        </is>
      </c>
      <c r="D202" t="inlineStr">
        <is>
          <t>Elmer's</t>
        </is>
      </c>
      <c r="E202" t="inlineStr">
        <is>
          <t>False</t>
        </is>
      </c>
      <c r="F202" t="inlineStr">
        <is>
          <t>Elmer's All Purpose School Glue Sticks, Washable, 22 Grams, 30 Count</t>
        </is>
      </c>
      <c r="G202">
        <v>1</v>
      </c>
      <c r="H202" s="2" t="str">
        <f>HYPERLINK("https://www.amazon.com/dp/B01E9YOMKQ", "https://www.amazon.com/dp/B01E9YOMKQ")</f>
      </c>
      <c r="I202" s="3">
        <v>1084</v>
      </c>
      <c r="J202" s="12">
        <v>-0.58</v>
      </c>
      <c r="K202" s="13">
        <v>-0.0326</v>
      </c>
      <c r="L202" s="13">
        <v>-0.0644</v>
      </c>
      <c r="M202" t="inlineStr">
        <is>
          <t>True</t>
        </is>
      </c>
      <c r="N202" t="inlineStr">
        <is>
          <t>Arts, Crafts &amp; Sewing</t>
        </is>
      </c>
      <c r="O202" s="6">
        <v>3405</v>
      </c>
      <c r="P202" s="6">
        <v>4095</v>
      </c>
      <c r="Q202" s="6">
        <v>1350</v>
      </c>
      <c r="R202" s="6">
        <v>241</v>
      </c>
      <c r="S202" s="7">
        <v>9</v>
      </c>
      <c r="T202" s="7">
        <v>17.79</v>
      </c>
      <c r="U202">
        <v>23.77</v>
      </c>
      <c r="V202" s="8">
        <v>0</v>
      </c>
      <c r="W202" s="7">
        <v>0</v>
      </c>
      <c r="X202" s="7">
        <v>0</v>
      </c>
      <c r="Y202">
        <v>2.93</v>
      </c>
      <c r="Z202" s="9">
        <v>0.47</v>
      </c>
      <c r="AB202">
        <v>0</v>
      </c>
      <c r="AC202">
        <v>0</v>
      </c>
      <c r="AD202">
        <v>46</v>
      </c>
      <c r="AE202">
        <v>4</v>
      </c>
      <c r="AF202">
        <v>39</v>
      </c>
      <c r="AG202">
        <v>1</v>
      </c>
      <c r="AH202">
        <v>2</v>
      </c>
      <c r="AI202" t="inlineStr">
        <is>
          <t>False</t>
        </is>
      </c>
      <c r="AJ202" s="2" t="str">
        <f>HYPERLINK("https://keepa.com/#!product/1-B01E9YOMKQ", "https://keepa.com/#!product/1-B01E9YOMKQ")</f>
      </c>
      <c r="AK202" s="2" t="str">
        <f>HYPERLINK("https://camelcamelcamel.com/search?sq=B01E9YOMKQ", "https://camelcamelcamel.com/search?sq=B01E9YOMKQ")</f>
      </c>
      <c r="AL202" t="inlineStr">
        <is>
          <t/>
        </is>
      </c>
      <c r="AM202" s="10">
        <v>45417.11111111111</v>
      </c>
      <c r="AN202" t="inlineStr">
        <is>
          <t>Elmer's All Purpose School Glue Sticks, Washable, 22 Grams, 30 Count</t>
        </is>
      </c>
      <c r="AO202" t="inlineStr">
        <is>
          <t>360</t>
        </is>
      </c>
      <c r="AP202" t="inlineStr">
        <is>
          <t>TAKE ALL</t>
        </is>
      </c>
    </row>
    <row r="203">
      <c r="A203" t="inlineStr">
        <is>
          <t>B01EMZCF60</t>
        </is>
      </c>
      <c r="B203" t="inlineStr">
        <is>
          <t>False</t>
        </is>
      </c>
      <c r="C203" t="inlineStr">
        <is>
          <t>B01EMZCF60</t>
        </is>
      </c>
      <c r="D203" t="inlineStr">
        <is>
          <t>Tylenol</t>
        </is>
      </c>
      <c r="E203" t="inlineStr">
        <is>
          <t>False</t>
        </is>
      </c>
      <c r="F203" t="inlineStr">
        <is>
          <t>Tylenol Regular Strength Liquid Gels with 325 mg Acetaminophen, Pain Reliever &amp; Fever Reducer, 90 ct</t>
        </is>
      </c>
      <c r="G203">
        <v>1</v>
      </c>
      <c r="H203" s="2" t="str">
        <f>HYPERLINK("https://www.amazon.com/dp/B01EMZCF60", "https://www.amazon.com/dp/B01EMZCF60")</f>
      </c>
      <c r="I203" s="16">
        <v>31</v>
      </c>
      <c r="M203" t="inlineStr">
        <is>
          <t>True</t>
        </is>
      </c>
      <c r="N203" t="inlineStr">
        <is>
          <t>Health &amp; Household</t>
        </is>
      </c>
      <c r="O203" s="6">
        <v>188618</v>
      </c>
      <c r="P203" s="6">
        <v>70114</v>
      </c>
      <c r="Q203" s="6">
        <v>21382</v>
      </c>
      <c r="R203" s="6">
        <v>124</v>
      </c>
      <c r="S203" s="7">
        <v>9.75</v>
      </c>
      <c r="U203">
        <v>18.9</v>
      </c>
      <c r="X203" s="7">
        <v>0</v>
      </c>
      <c r="Y203">
        <v>0.4</v>
      </c>
      <c r="Z203" s="8">
        <v>0</v>
      </c>
      <c r="AB203">
        <v>0</v>
      </c>
      <c r="AC203">
        <v>0</v>
      </c>
      <c r="AD203">
        <v>0</v>
      </c>
      <c r="AE203">
        <v>0</v>
      </c>
      <c r="AF203">
        <v>0</v>
      </c>
      <c r="AG203">
        <v>0</v>
      </c>
      <c r="AH203">
        <v>0</v>
      </c>
      <c r="AI203" t="inlineStr">
        <is>
          <t>False</t>
        </is>
      </c>
      <c r="AJ203" s="2" t="str">
        <f>HYPERLINK("https://keepa.com/#!product/1-B01EMZCF60", "https://keepa.com/#!product/1-B01EMZCF60")</f>
      </c>
      <c r="AK203" s="2" t="str">
        <f>HYPERLINK("https://camelcamelcamel.com/search?sq=B01EMZCF60", "https://camelcamelcamel.com/search?sq=B01EMZCF60")</f>
      </c>
      <c r="AL203" t="inlineStr">
        <is>
          <t/>
        </is>
      </c>
      <c r="AM203" s="10">
        <v>45417.11111111111</v>
      </c>
      <c r="AN203" t="inlineStr">
        <is>
          <t>Tylenol Regular Strength Liquid Gels with 325 mg Acetaminophen, Pain Reliever &amp; Fever Reducer, 90 ct</t>
        </is>
      </c>
      <c r="AO203" t="inlineStr">
        <is>
          <t>1500</t>
        </is>
      </c>
      <c r="AP203" t="inlineStr">
        <is>
          <t>TAKE ALL</t>
        </is>
      </c>
    </row>
    <row r="204">
      <c r="A204" t="inlineStr">
        <is>
          <t>B01ENMEXO4</t>
        </is>
      </c>
      <c r="B204" t="inlineStr">
        <is>
          <t>False</t>
        </is>
      </c>
      <c r="C204" t="inlineStr">
        <is>
          <t>B01ENMEXO4</t>
        </is>
      </c>
      <c r="D204" t="inlineStr">
        <is>
          <t>humanN</t>
        </is>
      </c>
      <c r="E204" t="inlineStr">
        <is>
          <t>False</t>
        </is>
      </c>
      <c r="F204" t="inlineStr">
        <is>
          <t>HumanN SuperBeets Beetroot Powder - Nitric Oxide Boost for Blood Pressure, Circulation &amp; Heart Health Support - Non-GMO Superfood Supplement - Black Cherry Flavor, 30 Servings</t>
        </is>
      </c>
      <c r="G204">
        <v>1</v>
      </c>
      <c r="H204" s="2" t="str">
        <f>HYPERLINK("https://www.amazon.com/dp/B01ENMEXO4", "https://www.amazon.com/dp/B01ENMEXO4")</f>
      </c>
      <c r="I204" s="3">
        <v>11776</v>
      </c>
      <c r="J204" s="4">
        <v>9.09</v>
      </c>
      <c r="K204" s="5">
        <v>0.2395</v>
      </c>
      <c r="L204" s="15">
        <v>0.4722</v>
      </c>
      <c r="M204" t="inlineStr">
        <is>
          <t>True</t>
        </is>
      </c>
      <c r="N204" t="inlineStr">
        <is>
          <t>Health &amp; Household</t>
        </is>
      </c>
      <c r="O204" s="6">
        <v>1942</v>
      </c>
      <c r="P204" s="6">
        <v>1660</v>
      </c>
      <c r="Q204" s="6">
        <v>1038</v>
      </c>
      <c r="R204" s="6">
        <v>304</v>
      </c>
      <c r="S204" s="7">
        <v>19.25</v>
      </c>
      <c r="T204" s="7">
        <v>37.95</v>
      </c>
      <c r="U204">
        <v>36.12</v>
      </c>
      <c r="V204" s="8">
        <v>0</v>
      </c>
      <c r="W204" s="7">
        <v>0</v>
      </c>
      <c r="X204" s="7">
        <v>0</v>
      </c>
      <c r="Y204">
        <v>0.45</v>
      </c>
      <c r="Z204" s="9">
        <v>0.16</v>
      </c>
      <c r="AB204">
        <v>0</v>
      </c>
      <c r="AC204">
        <v>0</v>
      </c>
      <c r="AD204">
        <v>5</v>
      </c>
      <c r="AE204">
        <v>4</v>
      </c>
      <c r="AF204">
        <v>1</v>
      </c>
      <c r="AG204">
        <v>3</v>
      </c>
      <c r="AH204">
        <v>3</v>
      </c>
      <c r="AI204" t="inlineStr">
        <is>
          <t>False</t>
        </is>
      </c>
      <c r="AJ204" s="2" t="str">
        <f>HYPERLINK("https://keepa.com/#!product/1-B01ENMEXO4", "https://keepa.com/#!product/1-B01ENMEXO4")</f>
      </c>
      <c r="AK204" s="2" t="str">
        <f>HYPERLINK("https://camelcamelcamel.com/search?sq=B01ENMEXO4", "https://camelcamelcamel.com/search?sq=B01ENMEXO4")</f>
      </c>
      <c r="AL204" t="inlineStr">
        <is>
          <t/>
        </is>
      </c>
      <c r="AM204" s="10">
        <v>45417.11111111111</v>
      </c>
      <c r="AN204" t="inlineStr">
        <is>
          <t>HumanN SuperBeets - Beet Root Powder - Nitric Oxide Boost for Blood Pressure, Circulation &amp; Heart Health Support - Non-GMO Superfood Supplement - Natural Black Cherry Flavor, 30 Servings</t>
        </is>
      </c>
      <c r="AO204" t="inlineStr">
        <is>
          <t>1000</t>
        </is>
      </c>
      <c r="AP204" t="inlineStr">
        <is>
          <t>TAKE ALL</t>
        </is>
      </c>
    </row>
    <row r="205">
      <c r="A205" t="inlineStr">
        <is>
          <t>B01EYCGORW</t>
        </is>
      </c>
      <c r="B205" t="inlineStr">
        <is>
          <t>False</t>
        </is>
      </c>
      <c r="C205" t="inlineStr">
        <is>
          <t>B01EYCGORW</t>
        </is>
      </c>
      <c r="D205" t="inlineStr">
        <is>
          <t>Crayola</t>
        </is>
      </c>
      <c r="E205" t="inlineStr">
        <is>
          <t>True</t>
        </is>
      </c>
      <c r="F205" t="inlineStr">
        <is>
          <t>Crayola Trolls Light Up Tracing Pad, Tracing Light Box for Kids, Sketching &amp; Drawing Kit, Trolls Toys for Girls &amp; Boys, Ages 6+</t>
        </is>
      </c>
      <c r="G205">
        <v>1</v>
      </c>
      <c r="H205" s="2" t="str">
        <f>HYPERLINK("https://www.amazon.com/dp/B01EYCGORW", "https://www.amazon.com/dp/B01EYCGORW")</f>
      </c>
      <c r="I205" s="3">
        <v>137</v>
      </c>
      <c r="J205" s="4">
        <v>5.15</v>
      </c>
      <c r="K205" s="5">
        <v>0.1561</v>
      </c>
      <c r="L205" s="15">
        <v>0.3121</v>
      </c>
      <c r="M205" t="inlineStr">
        <is>
          <t>True</t>
        </is>
      </c>
      <c r="N205" t="inlineStr">
        <is>
          <t>Toys &amp; Games</t>
        </is>
      </c>
      <c r="O205" s="6">
        <v>61717</v>
      </c>
      <c r="P205" s="6">
        <v>59829</v>
      </c>
      <c r="Q205" s="6">
        <v>29313</v>
      </c>
      <c r="R205" s="6">
        <v>138</v>
      </c>
      <c r="S205" s="7">
        <v>16.5</v>
      </c>
      <c r="T205" s="7">
        <v>32.99</v>
      </c>
      <c r="U205">
        <v>32.7</v>
      </c>
      <c r="V205" s="8">
        <v>0</v>
      </c>
      <c r="W205" s="7">
        <v>0</v>
      </c>
      <c r="X205" s="7">
        <v>0</v>
      </c>
      <c r="Y205">
        <v>1.76</v>
      </c>
      <c r="Z205" s="9">
        <v>1</v>
      </c>
      <c r="AB205">
        <v>0</v>
      </c>
      <c r="AC205">
        <v>0</v>
      </c>
      <c r="AD205">
        <v>4</v>
      </c>
      <c r="AE205">
        <v>4</v>
      </c>
      <c r="AF205">
        <v>0</v>
      </c>
      <c r="AG205">
        <v>4</v>
      </c>
      <c r="AH205">
        <v>0</v>
      </c>
      <c r="AI205" t="inlineStr">
        <is>
          <t>False</t>
        </is>
      </c>
      <c r="AJ205" s="2" t="str">
        <f>HYPERLINK("https://keepa.com/#!product/1-B01EYCGORW", "https://keepa.com/#!product/1-B01EYCGORW")</f>
      </c>
      <c r="AK205" s="2" t="str">
        <f>HYPERLINK("https://camelcamelcamel.com/search?sq=B01EYCGORW", "https://camelcamelcamel.com/search?sq=B01EYCGORW")</f>
      </c>
      <c r="AL205" t="inlineStr">
        <is>
          <t/>
        </is>
      </c>
      <c r="AM205" s="10">
        <v>45417.11111111111</v>
      </c>
      <c r="AN205" t="inlineStr">
        <is>
          <t>Crayola Trolls Light Up Tracing Pad, Tracing Light Box for Kids, Sketching &amp; Drawing Kit, Trolls Toys for Girls &amp; Boys, Ages 6+</t>
        </is>
      </c>
      <c r="AO205" t="inlineStr">
        <is>
          <t>2384</t>
        </is>
      </c>
      <c r="AP205" t="inlineStr">
        <is>
          <t>500</t>
        </is>
      </c>
    </row>
    <row r="206">
      <c r="A206" t="inlineStr">
        <is>
          <t>B01F9DT5GM</t>
        </is>
      </c>
      <c r="B206" t="inlineStr">
        <is>
          <t>False</t>
        </is>
      </c>
      <c r="C206" t="inlineStr">
        <is>
          <t>B01F9DT5GM</t>
        </is>
      </c>
      <c r="D206" t="inlineStr">
        <is>
          <t>Beano</t>
        </is>
      </c>
      <c r="E206" t="inlineStr">
        <is>
          <t>False</t>
        </is>
      </c>
      <c r="F206" t="inlineStr">
        <is>
          <t>Beano Food Enzyme Dietary Supplement | Help Digest Gas-Causing Foods | 150 Tablets</t>
        </is>
      </c>
      <c r="G206">
        <v>1</v>
      </c>
      <c r="H206" s="2" t="str">
        <f>HYPERLINK("https://www.amazon.com/dp/B01F9DT5GM", "https://www.amazon.com/dp/B01F9DT5GM")</f>
      </c>
      <c r="I206" s="3">
        <v>16604</v>
      </c>
      <c r="J206" s="11">
        <v>2.13</v>
      </c>
      <c r="K206" s="5">
        <v>0.12210000000000001</v>
      </c>
      <c r="L206" s="5">
        <v>0.23670000000000002</v>
      </c>
      <c r="M206" t="inlineStr">
        <is>
          <t>True</t>
        </is>
      </c>
      <c r="N206" t="inlineStr">
        <is>
          <t>Health &amp; Household</t>
        </is>
      </c>
      <c r="O206" s="6">
        <v>1208</v>
      </c>
      <c r="P206" s="6">
        <v>1123</v>
      </c>
      <c r="Q206" s="6">
        <v>865</v>
      </c>
      <c r="R206" s="6">
        <v>284</v>
      </c>
      <c r="S206" s="7">
        <v>9</v>
      </c>
      <c r="T206" s="7">
        <v>17.44</v>
      </c>
      <c r="U206">
        <v>17.33</v>
      </c>
      <c r="V206" s="8">
        <v>0</v>
      </c>
      <c r="W206" s="7">
        <v>0</v>
      </c>
      <c r="X206" s="7">
        <v>0</v>
      </c>
      <c r="Y206">
        <v>0.04</v>
      </c>
      <c r="Z206" s="9">
        <v>1</v>
      </c>
      <c r="AB206">
        <v>0</v>
      </c>
      <c r="AC206">
        <v>0</v>
      </c>
      <c r="AD206">
        <v>6</v>
      </c>
      <c r="AE206">
        <v>3</v>
      </c>
      <c r="AF206">
        <v>3</v>
      </c>
      <c r="AG206">
        <v>2</v>
      </c>
      <c r="AH206">
        <v>9</v>
      </c>
      <c r="AI206" t="inlineStr">
        <is>
          <t>False</t>
        </is>
      </c>
      <c r="AJ206" s="2" t="str">
        <f>HYPERLINK("https://keepa.com/#!product/1-B01F9DT5GM", "https://keepa.com/#!product/1-B01F9DT5GM")</f>
      </c>
      <c r="AK206" s="2" t="str">
        <f>HYPERLINK("https://camelcamelcamel.com/search?sq=B01F9DT5GM", "https://camelcamelcamel.com/search?sq=B01F9DT5GM")</f>
      </c>
      <c r="AL206" t="inlineStr">
        <is>
          <t/>
        </is>
      </c>
      <c r="AM206" s="10">
        <v>45417.11111111111</v>
      </c>
      <c r="AN206" t="inlineStr">
        <is>
          <t>Beano Food Enzyme Dietary Supplement | Help Digest Gas-Causing Foods | 150 Tablets</t>
        </is>
      </c>
      <c r="AO206" t="inlineStr">
        <is>
          <t>1800</t>
        </is>
      </c>
      <c r="AP206" t="inlineStr">
        <is>
          <t>600</t>
        </is>
      </c>
    </row>
    <row r="207">
      <c r="A207" t="inlineStr">
        <is>
          <t>B01FEJ8NWI</t>
        </is>
      </c>
      <c r="B207" t="inlineStr">
        <is>
          <t>False</t>
        </is>
      </c>
      <c r="C207" t="inlineStr">
        <is>
          <t>B01FEJ8NWI</t>
        </is>
      </c>
      <c r="D207" t="inlineStr">
        <is>
          <t>Peet's Coffee</t>
        </is>
      </c>
      <c r="E207" t="inlineStr">
        <is>
          <t>False</t>
        </is>
      </c>
      <c r="F207" t="inlineStr">
        <is>
          <t>Peet's Coffee, Major Dickason's Blend, Dark Roast, Whole Bean 32oz (2 Pack)</t>
        </is>
      </c>
      <c r="G207">
        <v>2</v>
      </c>
      <c r="H207" s="2" t="str">
        <f>HYPERLINK("https://www.amazon.com/dp/B01FEJ8NWI", "https://www.amazon.com/dp/B01FEJ8NWI")</f>
      </c>
      <c r="I207" s="3">
        <v>9154</v>
      </c>
      <c r="J207" s="12">
        <v>-15.1</v>
      </c>
      <c r="K207" s="13">
        <v>-0.30210000000000004</v>
      </c>
      <c r="L207" s="13">
        <v>-0.302</v>
      </c>
      <c r="M207" t="inlineStr">
        <is>
          <t>True</t>
        </is>
      </c>
      <c r="N207" t="inlineStr">
        <is>
          <t>Grocery &amp; Gourmet Food</t>
        </is>
      </c>
      <c r="O207" s="6">
        <v>300</v>
      </c>
      <c r="P207" s="6">
        <v>5774</v>
      </c>
      <c r="Q207" s="6">
        <v>153</v>
      </c>
      <c r="R207" s="6">
        <v>223</v>
      </c>
      <c r="S207" s="7">
        <v>25</v>
      </c>
      <c r="T207" s="7">
        <v>49.99</v>
      </c>
      <c r="U207">
        <v>46.28</v>
      </c>
      <c r="V207" s="8">
        <v>0</v>
      </c>
      <c r="W207" s="7">
        <v>0</v>
      </c>
      <c r="X207" s="7">
        <v>0</v>
      </c>
      <c r="Y207">
        <v>4.1</v>
      </c>
      <c r="Z207" s="8">
        <v>0</v>
      </c>
      <c r="AB207">
        <v>0</v>
      </c>
      <c r="AC207">
        <v>0</v>
      </c>
      <c r="AD207">
        <v>26</v>
      </c>
      <c r="AE207">
        <v>1</v>
      </c>
      <c r="AF207">
        <v>25</v>
      </c>
      <c r="AG207">
        <v>1</v>
      </c>
      <c r="AH207">
        <v>38</v>
      </c>
      <c r="AI207" t="inlineStr">
        <is>
          <t>False</t>
        </is>
      </c>
      <c r="AJ207" s="2" t="str">
        <f>HYPERLINK("https://keepa.com/#!product/1-B01FEJ8NWI", "https://keepa.com/#!product/1-B01FEJ8NWI")</f>
      </c>
      <c r="AK207" s="2" t="str">
        <f>HYPERLINK("https://camelcamelcamel.com/search?sq=B01FEJ8NWI", "https://camelcamelcamel.com/search?sq=B01FEJ8NWI")</f>
      </c>
      <c r="AL207" t="inlineStr">
        <is>
          <t/>
        </is>
      </c>
      <c r="AM207" s="10">
        <v>45417.11111111111</v>
      </c>
      <c r="AN207" t="inlineStr">
        <is>
          <t>Peet's Coffee, Major Dickason's Blend, Dark Roast, Whole Bean 32oz (2 Pack)</t>
        </is>
      </c>
      <c r="AO207" t="inlineStr">
        <is>
          <t>3200</t>
        </is>
      </c>
      <c r="AP207" t="inlineStr">
        <is>
          <t>TAKE ALL</t>
        </is>
      </c>
    </row>
    <row r="208">
      <c r="A208" t="inlineStr">
        <is>
          <t>B01FY80XRW</t>
        </is>
      </c>
      <c r="B208" t="inlineStr">
        <is>
          <t>False</t>
        </is>
      </c>
      <c r="C208" t="inlineStr">
        <is>
          <t>B01FY80XRW</t>
        </is>
      </c>
      <c r="D208" t="inlineStr">
        <is>
          <t>Betancourt Nutrition</t>
        </is>
      </c>
      <c r="E208" t="inlineStr">
        <is>
          <t>False</t>
        </is>
      </c>
      <c r="F208" t="inlineStr">
        <is>
          <t>Betancourt Nutrition B-Nox Androrush Pre Workout with Creatine Blend | BCAAs &amp; Beta Alanine | Nitric Oxide &amp; Energy Boost | 35 Servings (Grape)</t>
        </is>
      </c>
      <c r="G208">
        <v>1</v>
      </c>
      <c r="H208" s="2" t="str">
        <f>HYPERLINK("https://www.amazon.com/dp/B01FY80XRW", "https://www.amazon.com/dp/B01FY80XRW")</f>
      </c>
      <c r="I208" s="3">
        <v>1415</v>
      </c>
      <c r="J208" s="4">
        <v>4.34</v>
      </c>
      <c r="K208" s="5">
        <v>0.1264</v>
      </c>
      <c r="L208" s="5">
        <v>0.2255</v>
      </c>
      <c r="M208" t="inlineStr">
        <is>
          <t>True</t>
        </is>
      </c>
      <c r="N208" t="inlineStr">
        <is>
          <t>Health &amp; Household</t>
        </is>
      </c>
      <c r="O208" s="6">
        <v>17072</v>
      </c>
      <c r="P208" s="6">
        <v>18423</v>
      </c>
      <c r="Q208" s="6">
        <v>14441</v>
      </c>
      <c r="R208" s="6">
        <v>122</v>
      </c>
      <c r="S208" s="7">
        <v>19.25</v>
      </c>
      <c r="T208" s="7">
        <v>34.34</v>
      </c>
      <c r="U208">
        <v>34.93</v>
      </c>
      <c r="V208" s="8">
        <v>0</v>
      </c>
      <c r="W208" s="7">
        <v>0</v>
      </c>
      <c r="X208" s="7">
        <v>0</v>
      </c>
      <c r="Y208">
        <v>1.68</v>
      </c>
      <c r="Z208" s="8">
        <v>0</v>
      </c>
      <c r="AB208">
        <v>0</v>
      </c>
      <c r="AC208">
        <v>0</v>
      </c>
      <c r="AD208">
        <v>4</v>
      </c>
      <c r="AE208">
        <v>4</v>
      </c>
      <c r="AF208">
        <v>0</v>
      </c>
      <c r="AG208">
        <v>4</v>
      </c>
      <c r="AH208">
        <v>4</v>
      </c>
      <c r="AI208" t="inlineStr">
        <is>
          <t>False</t>
        </is>
      </c>
      <c r="AJ208" s="2" t="str">
        <f>HYPERLINK("https://keepa.com/#!product/1-B01FY80XRW", "https://keepa.com/#!product/1-B01FY80XRW")</f>
      </c>
      <c r="AK208" s="2" t="str">
        <f>HYPERLINK("https://camelcamelcamel.com/search?sq=B01FY80XRW", "https://camelcamelcamel.com/search?sq=B01FY80XRW")</f>
      </c>
      <c r="AL208" t="inlineStr">
        <is>
          <t/>
        </is>
      </c>
      <c r="AM208" s="10">
        <v>45417.11111111111</v>
      </c>
      <c r="AN208" t="inlineStr">
        <is>
          <t>Betancourt Nutrition B-Nox Androrush Pre Workout with Creatine Blend | BCAAs &amp; Beta Alanine | Nitric Oxide &amp; Energy Boost | 35 Servings (Grape)</t>
        </is>
      </c>
      <c r="AO208" t="inlineStr">
        <is>
          <t>600</t>
        </is>
      </c>
      <c r="AP208" t="inlineStr">
        <is>
          <t>TAKE ALL</t>
        </is>
      </c>
    </row>
    <row r="209">
      <c r="A209" t="inlineStr">
        <is>
          <t>B01GF55MJW</t>
        </is>
      </c>
      <c r="B209" t="inlineStr">
        <is>
          <t>False</t>
        </is>
      </c>
      <c r="C209" t="inlineStr">
        <is>
          <t>B01GF55MJW</t>
        </is>
      </c>
      <c r="D209" t="inlineStr">
        <is>
          <t>SWANN-MORTON</t>
        </is>
      </c>
      <c r="E209" t="inlineStr">
        <is>
          <t>False</t>
        </is>
      </c>
      <c r="F209" t="inlineStr">
        <is>
          <t>Swann-Morton® #14 Sterile Surgical Blades, Stainless Steel [Individually Packed, Box of 100]</t>
        </is>
      </c>
      <c r="G209">
        <v>1</v>
      </c>
      <c r="H209" s="2" t="str">
        <f>HYPERLINK("https://www.amazon.com/dp/B01GF55MJW", "https://www.amazon.com/dp/B01GF55MJW")</f>
      </c>
      <c r="I209" s="3">
        <v>172</v>
      </c>
      <c r="J209" s="4">
        <v>8.78</v>
      </c>
      <c r="K209" s="5">
        <v>0.2152</v>
      </c>
      <c r="L209" s="15">
        <v>0.39909999999999995</v>
      </c>
      <c r="M209" t="inlineStr">
        <is>
          <t>True</t>
        </is>
      </c>
      <c r="N209" t="inlineStr">
        <is>
          <t>Industrial &amp; Scientific</t>
        </is>
      </c>
      <c r="O209" s="6">
        <v>21390</v>
      </c>
      <c r="P209" s="6">
        <v>21000</v>
      </c>
      <c r="Q209" s="6">
        <v>8436</v>
      </c>
      <c r="R209" s="6">
        <v>153</v>
      </c>
      <c r="S209" s="7">
        <v>22</v>
      </c>
      <c r="T209" s="7">
        <v>40.8</v>
      </c>
      <c r="U209">
        <v>40.88</v>
      </c>
      <c r="V209" s="8">
        <v>0</v>
      </c>
      <c r="W209" s="7">
        <v>0</v>
      </c>
      <c r="X209" s="7">
        <v>0</v>
      </c>
      <c r="Y209">
        <v>0.29</v>
      </c>
      <c r="Z209" s="8">
        <v>0</v>
      </c>
      <c r="AB209">
        <v>0</v>
      </c>
      <c r="AC209">
        <v>0</v>
      </c>
      <c r="AD209">
        <v>11</v>
      </c>
      <c r="AE209">
        <v>9</v>
      </c>
      <c r="AF209">
        <v>1</v>
      </c>
      <c r="AG209">
        <v>9</v>
      </c>
      <c r="AH209">
        <v>0</v>
      </c>
      <c r="AI209" t="inlineStr">
        <is>
          <t>False</t>
        </is>
      </c>
      <c r="AJ209" s="2" t="str">
        <f>HYPERLINK("https://keepa.com/#!product/1-B01GF55MJW", "https://keepa.com/#!product/1-B01GF55MJW")</f>
      </c>
      <c r="AK209" s="2" t="str">
        <f>HYPERLINK("https://camelcamelcamel.com/search?sq=B01GF55MJW", "https://camelcamelcamel.com/search?sq=B01GF55MJW")</f>
      </c>
      <c r="AL209" t="inlineStr">
        <is>
          <t/>
        </is>
      </c>
      <c r="AM209" s="10">
        <v>45417.11111111111</v>
      </c>
      <c r="AN209" t="inlineStr">
        <is>
          <t>Swann-MortonÂ® #14 Sterile Surgical Blades, Stainless Steel [Individually Packed, Box of 100]</t>
        </is>
      </c>
      <c r="AO209" t="inlineStr">
        <is>
          <t>250</t>
        </is>
      </c>
      <c r="AP209" t="inlineStr">
        <is>
          <t>TAKE ALL</t>
        </is>
      </c>
    </row>
    <row r="210">
      <c r="A210" t="inlineStr">
        <is>
          <t>B01HTJTMF8</t>
        </is>
      </c>
      <c r="B210" t="inlineStr">
        <is>
          <t>False</t>
        </is>
      </c>
      <c r="C210" t="inlineStr">
        <is>
          <t>B01HTJTMF8</t>
        </is>
      </c>
      <c r="D210" t="inlineStr">
        <is>
          <t>DOVE MEN + CARE</t>
        </is>
      </c>
      <c r="E210" t="inlineStr">
        <is>
          <t>False</t>
        </is>
      </c>
      <c r="F210" t="inlineStr">
        <is>
          <t>Dove Men + Care Antiperspirant Deodorant, 72hr Sweat &amp; Odor Protection, Vitamin E, Triple Moisturizer, 4 Pack</t>
        </is>
      </c>
      <c r="G210">
        <v>4</v>
      </c>
      <c r="H210" s="2" t="str">
        <f>HYPERLINK("https://www.amazon.com/dp/B01HTJTMF8", "https://www.amazon.com/dp/B01HTJTMF8")</f>
      </c>
      <c r="I210" s="3">
        <v>24717</v>
      </c>
      <c r="J210" s="12">
        <v>-12.67</v>
      </c>
      <c r="K210" s="13">
        <v>-0.4533</v>
      </c>
      <c r="L210" s="13">
        <v>-0.40869999999999995</v>
      </c>
      <c r="M210" t="inlineStr">
        <is>
          <t>True</t>
        </is>
      </c>
      <c r="N210" t="inlineStr">
        <is>
          <t>Beauty &amp; Personal Care</t>
        </is>
      </c>
      <c r="O210" s="6">
        <v>343</v>
      </c>
      <c r="P210" s="6">
        <v>193</v>
      </c>
      <c r="Q210" s="6">
        <v>89</v>
      </c>
      <c r="R210" s="6">
        <v>276</v>
      </c>
      <c r="S210" s="7">
        <v>7.75</v>
      </c>
      <c r="T210" s="7">
        <v>27.95</v>
      </c>
      <c r="U210">
        <v>17.22</v>
      </c>
      <c r="V210" s="8">
        <v>0</v>
      </c>
      <c r="W210" s="7">
        <v>0</v>
      </c>
      <c r="X210" s="7">
        <v>0</v>
      </c>
      <c r="Y210">
        <v>1.26</v>
      </c>
      <c r="Z210" s="9">
        <v>1</v>
      </c>
      <c r="AB210">
        <v>0</v>
      </c>
      <c r="AC210">
        <v>0</v>
      </c>
      <c r="AD210">
        <v>2</v>
      </c>
      <c r="AE210">
        <v>1</v>
      </c>
      <c r="AF210">
        <v>1</v>
      </c>
      <c r="AG210">
        <v>1</v>
      </c>
      <c r="AH210">
        <v>3</v>
      </c>
      <c r="AI210" t="inlineStr">
        <is>
          <t>False</t>
        </is>
      </c>
      <c r="AJ210" s="2" t="str">
        <f>HYPERLINK("https://keepa.com/#!product/1-B01HTJTMF8", "https://keepa.com/#!product/1-B01HTJTMF8")</f>
      </c>
      <c r="AK210" s="2" t="str">
        <f>HYPERLINK("https://camelcamelcamel.com/search?sq=B01HTJTMF8", "https://camelcamelcamel.com/search?sq=B01HTJTMF8")</f>
      </c>
      <c r="AL210" t="inlineStr">
        <is>
          <t/>
        </is>
      </c>
      <c r="AM210" s="10">
        <v>45417.11111111111</v>
      </c>
      <c r="AN210" t="inlineStr">
        <is>
          <t>Dove Men + Care Antiperspirant Deodorant, 72hr Sweat &amp; Odor Protection, Vitamin E, Triple Moisturizer, 4 Pack</t>
        </is>
      </c>
      <c r="AO210" t="inlineStr">
        <is>
          <t>1200</t>
        </is>
      </c>
      <c r="AP210" t="inlineStr">
        <is>
          <t>600</t>
        </is>
      </c>
    </row>
    <row r="211">
      <c r="A211" t="inlineStr">
        <is>
          <t>B01IA96U4W</t>
        </is>
      </c>
      <c r="B211" t="inlineStr">
        <is>
          <t>False</t>
        </is>
      </c>
      <c r="C211" t="inlineStr">
        <is>
          <t>B01IA96U4W</t>
        </is>
      </c>
      <c r="D211" t="inlineStr">
        <is>
          <t>Dove</t>
        </is>
      </c>
      <c r="E211" t="inlineStr">
        <is>
          <t>True</t>
        </is>
      </c>
      <c r="F211" t="inlineStr">
        <is>
          <t>Dove Anti-Perspirant Deodorant Invisible Solid Fresh 2.60 oz (Pack of 4)</t>
        </is>
      </c>
      <c r="G211">
        <v>4</v>
      </c>
      <c r="H211" s="2" t="str">
        <f>HYPERLINK("https://www.amazon.com/dp/B01IA96U4W", "https://www.amazon.com/dp/B01IA96U4W")</f>
      </c>
      <c r="I211" s="3">
        <v>1525</v>
      </c>
      <c r="J211" s="12">
        <v>-49.22</v>
      </c>
      <c r="K211" s="13">
        <v>-2.9124</v>
      </c>
      <c r="L211" s="13">
        <v>-0.8342</v>
      </c>
      <c r="M211" t="inlineStr">
        <is>
          <t>True</t>
        </is>
      </c>
      <c r="N211" t="inlineStr">
        <is>
          <t>Beauty &amp; Personal Care</t>
        </is>
      </c>
      <c r="O211" s="6">
        <v>12154</v>
      </c>
      <c r="P211" s="6">
        <v>7850</v>
      </c>
      <c r="Q211" s="6">
        <v>5495</v>
      </c>
      <c r="R211" s="6">
        <v>289</v>
      </c>
      <c r="S211" s="7">
        <v>14.75</v>
      </c>
      <c r="T211" s="7">
        <v>16.9</v>
      </c>
      <c r="U211">
        <v>21.6</v>
      </c>
      <c r="V211" s="8">
        <v>0</v>
      </c>
      <c r="W211" s="7">
        <v>0</v>
      </c>
      <c r="X211" s="7">
        <v>0</v>
      </c>
      <c r="Y211">
        <v>0.97</v>
      </c>
      <c r="Z211" s="8">
        <v>0</v>
      </c>
      <c r="AB211">
        <v>0</v>
      </c>
      <c r="AC211">
        <v>0</v>
      </c>
      <c r="AD211">
        <v>16</v>
      </c>
      <c r="AE211">
        <v>7</v>
      </c>
      <c r="AF211">
        <v>9</v>
      </c>
      <c r="AG211">
        <v>4</v>
      </c>
      <c r="AH211">
        <v>26</v>
      </c>
      <c r="AI211" t="inlineStr">
        <is>
          <t>False</t>
        </is>
      </c>
      <c r="AJ211" s="2" t="str">
        <f>HYPERLINK("https://keepa.com/#!product/1-B01IA96U4W", "https://keepa.com/#!product/1-B01IA96U4W")</f>
      </c>
      <c r="AK211" s="2" t="str">
        <f>HYPERLINK("https://camelcamelcamel.com/search?sq=B01IA96U4W", "https://camelcamelcamel.com/search?sq=B01IA96U4W")</f>
      </c>
      <c r="AL211" t="inlineStr">
        <is>
          <t/>
        </is>
      </c>
      <c r="AM211" s="10">
        <v>45417.11111111111</v>
      </c>
      <c r="AN211" t="inlineStr">
        <is>
          <t>Dove Anti-Perspirant Deodorant Invisible Solid Fresh 2.60 oz (Pack of</t>
        </is>
      </c>
      <c r="AO211" t="inlineStr">
        <is>
          <t>500</t>
        </is>
      </c>
      <c r="AP211" t="inlineStr">
        <is>
          <t>250</t>
        </is>
      </c>
    </row>
    <row r="212">
      <c r="A212" t="inlineStr">
        <is>
          <t>B01IADXJQU</t>
        </is>
      </c>
      <c r="B212" t="inlineStr">
        <is>
          <t>False</t>
        </is>
      </c>
      <c r="C212" t="inlineStr">
        <is>
          <t>B01IADXJQU</t>
        </is>
      </c>
      <c r="D212" t="inlineStr">
        <is>
          <t>Dove</t>
        </is>
      </c>
      <c r="E212" t="inlineStr">
        <is>
          <t>True</t>
        </is>
      </c>
      <c r="F212" t="inlineStr">
        <is>
          <t>Dove Men + Care Deodorant Stick, Extra Fresh 3 oz (Pack of 10)</t>
        </is>
      </c>
      <c r="G212">
        <v>10</v>
      </c>
      <c r="H212" s="2" t="str">
        <f>HYPERLINK("https://www.amazon.com/dp/B01IADXJQU", "https://www.amazon.com/dp/B01IADXJQU")</f>
      </c>
      <c r="I212" s="3">
        <v>785</v>
      </c>
      <c r="J212" s="12">
        <v>-405.95</v>
      </c>
      <c r="K212" s="13">
        <v>-6.74</v>
      </c>
      <c r="L212" s="13">
        <v>-0.9020999999999999</v>
      </c>
      <c r="M212" t="inlineStr">
        <is>
          <t>True</t>
        </is>
      </c>
      <c r="N212" t="inlineStr">
        <is>
          <t>Beauty &amp; Personal Care</t>
        </is>
      </c>
      <c r="O212" s="6">
        <v>21647</v>
      </c>
      <c r="P212" s="6">
        <v>19749</v>
      </c>
      <c r="Q212" s="6">
        <v>13301</v>
      </c>
      <c r="R212" s="6">
        <v>197</v>
      </c>
      <c r="S212" s="7">
        <v>45</v>
      </c>
      <c r="T212" s="7">
        <v>60.23</v>
      </c>
      <c r="U212">
        <v>67.06</v>
      </c>
      <c r="V212" s="8">
        <v>0</v>
      </c>
      <c r="W212" s="7">
        <v>0</v>
      </c>
      <c r="X212" s="7">
        <v>0</v>
      </c>
      <c r="Y212">
        <v>3.16</v>
      </c>
      <c r="Z212" s="8">
        <v>0</v>
      </c>
      <c r="AB212">
        <v>0</v>
      </c>
      <c r="AC212">
        <v>0</v>
      </c>
      <c r="AD212">
        <v>11</v>
      </c>
      <c r="AE212">
        <v>2</v>
      </c>
      <c r="AF212">
        <v>9</v>
      </c>
      <c r="AG212">
        <v>1</v>
      </c>
      <c r="AH212">
        <v>10</v>
      </c>
      <c r="AI212" t="inlineStr">
        <is>
          <t>False</t>
        </is>
      </c>
      <c r="AJ212" s="2" t="str">
        <f>HYPERLINK("https://keepa.com/#!product/1-B01IADXJQU", "https://keepa.com/#!product/1-B01IADXJQU")</f>
      </c>
      <c r="AK212" s="2" t="str">
        <f>HYPERLINK("https://camelcamelcamel.com/search?sq=B01IADXJQU", "https://camelcamelcamel.com/search?sq=B01IADXJQU")</f>
      </c>
      <c r="AL212" t="inlineStr">
        <is>
          <t/>
        </is>
      </c>
      <c r="AM212" s="10">
        <v>45417.11111111111</v>
      </c>
      <c r="AN212" t="inlineStr">
        <is>
          <t>Dove Men + Care Deodorant Stick, Extra Fresh 3 oz (Pack of 10)</t>
        </is>
      </c>
      <c r="AO212" t="inlineStr">
        <is>
          <t>400</t>
        </is>
      </c>
      <c r="AP212" t="inlineStr">
        <is>
          <t>200</t>
        </is>
      </c>
    </row>
    <row r="213">
      <c r="A213" t="inlineStr">
        <is>
          <t>B01IADYB2Q</t>
        </is>
      </c>
      <c r="B213" t="inlineStr">
        <is>
          <t>False</t>
        </is>
      </c>
      <c r="C213" t="inlineStr">
        <is>
          <t>B01IADYB2Q</t>
        </is>
      </c>
      <c r="D213" t="inlineStr">
        <is>
          <t>Crest</t>
        </is>
      </c>
      <c r="E213" t="inlineStr">
        <is>
          <t>False</t>
        </is>
      </c>
      <c r="F213" t="inlineStr">
        <is>
          <t>Crest Toothpaste Gel Cool Mint 6.40 oz (Pack of 3)</t>
        </is>
      </c>
      <c r="G213">
        <v>3</v>
      </c>
      <c r="H213" s="2" t="str">
        <f>HYPERLINK("https://www.amazon.com/dp/B01IADYB2Q", "https://www.amazon.com/dp/B01IADYB2Q")</f>
      </c>
      <c r="I213" s="3">
        <v>823</v>
      </c>
      <c r="J213" s="12">
        <v>-35.03</v>
      </c>
      <c r="K213" s="13">
        <v>-1.9153</v>
      </c>
      <c r="L213" s="13">
        <v>-0.7784</v>
      </c>
      <c r="M213" t="inlineStr">
        <is>
          <t>True</t>
        </is>
      </c>
      <c r="N213" t="inlineStr">
        <is>
          <t>Health &amp; Household</t>
        </is>
      </c>
      <c r="O213" s="6">
        <v>26110</v>
      </c>
      <c r="P213" s="6">
        <v>39091</v>
      </c>
      <c r="Q213" s="6">
        <v>7495</v>
      </c>
      <c r="R213" s="6">
        <v>67</v>
      </c>
      <c r="S213" s="7">
        <v>15</v>
      </c>
      <c r="T213" s="7">
        <v>18.29</v>
      </c>
      <c r="U213">
        <v>19.77</v>
      </c>
      <c r="V213" s="8">
        <v>0</v>
      </c>
      <c r="W213" s="7">
        <v>0</v>
      </c>
      <c r="X213" s="7">
        <v>0</v>
      </c>
      <c r="Y213">
        <v>1.72</v>
      </c>
      <c r="Z213" s="8">
        <v>0</v>
      </c>
      <c r="AB213">
        <v>0</v>
      </c>
      <c r="AC213">
        <v>0</v>
      </c>
      <c r="AD213">
        <v>34</v>
      </c>
      <c r="AE213">
        <v>28</v>
      </c>
      <c r="AF213">
        <v>6</v>
      </c>
      <c r="AG213">
        <v>13</v>
      </c>
      <c r="AH213">
        <v>3</v>
      </c>
      <c r="AI213" t="inlineStr">
        <is>
          <t>False</t>
        </is>
      </c>
      <c r="AJ213" s="2" t="str">
        <f>HYPERLINK("https://keepa.com/#!product/1-B01IADYB2Q", "https://keepa.com/#!product/1-B01IADYB2Q")</f>
      </c>
      <c r="AK213" s="2" t="str">
        <f>HYPERLINK("https://camelcamelcamel.com/search?sq=B01IADYB2Q", "https://camelcamelcamel.com/search?sq=B01IADYB2Q")</f>
      </c>
      <c r="AL213" t="inlineStr">
        <is>
          <t/>
        </is>
      </c>
      <c r="AM213" s="10">
        <v>45417.11111111111</v>
      </c>
      <c r="AN213" t="inlineStr">
        <is>
          <t>Crest Toothpaste Gel Cool Mint 6.40 oz (Pack of 3)</t>
        </is>
      </c>
      <c r="AO213" t="inlineStr">
        <is>
          <t>300</t>
        </is>
      </c>
      <c r="AP213" t="inlineStr">
        <is>
          <t>TAKE ALL</t>
        </is>
      </c>
    </row>
    <row r="214">
      <c r="A214" t="inlineStr">
        <is>
          <t>B01IPIL5JS</t>
        </is>
      </c>
      <c r="B214" t="inlineStr">
        <is>
          <t>False</t>
        </is>
      </c>
      <c r="C214" t="inlineStr">
        <is>
          <t>B01IPIL5JS</t>
        </is>
      </c>
      <c r="D214" t="inlineStr">
        <is>
          <t>Ziploc</t>
        </is>
      </c>
      <c r="E214" t="inlineStr">
        <is>
          <t>False</t>
        </is>
      </c>
      <c r="F214" t="inlineStr">
        <is>
          <t>Ziploc Variety Pack – 54 Freezer Quart Bags – 38 Freezer Gallon Bags – 125 Sandwich Bags – 52 Storage Gallon Bags</t>
        </is>
      </c>
      <c r="G214">
        <v>1</v>
      </c>
      <c r="H214" s="2" t="str">
        <f>HYPERLINK("https://www.amazon.com/dp/B01IPIL5JS", "https://www.amazon.com/dp/B01IPIL5JS")</f>
      </c>
      <c r="I214" s="3">
        <v>4240</v>
      </c>
      <c r="J214" s="11">
        <v>3.09</v>
      </c>
      <c r="K214" s="5">
        <v>0.1057</v>
      </c>
      <c r="L214" s="5">
        <v>0.22469999999999998</v>
      </c>
      <c r="M214" t="inlineStr">
        <is>
          <t>True</t>
        </is>
      </c>
      <c r="N214" t="inlineStr">
        <is>
          <t>Health &amp; Household</t>
        </is>
      </c>
      <c r="O214" s="6">
        <v>6291</v>
      </c>
      <c r="P214" s="6">
        <v>6892</v>
      </c>
      <c r="Q214" s="6">
        <v>4104</v>
      </c>
      <c r="R214" s="6">
        <v>286</v>
      </c>
      <c r="S214" s="7">
        <v>13.75</v>
      </c>
      <c r="T214" s="7">
        <v>29.23</v>
      </c>
      <c r="U214">
        <v>30.58</v>
      </c>
      <c r="V214" s="8">
        <v>0</v>
      </c>
      <c r="W214" s="7">
        <v>0</v>
      </c>
      <c r="X214" s="7">
        <v>0</v>
      </c>
      <c r="Y214">
        <v>4.14</v>
      </c>
      <c r="Z214" s="8">
        <v>0</v>
      </c>
      <c r="AB214">
        <v>0</v>
      </c>
      <c r="AC214">
        <v>0</v>
      </c>
      <c r="AD214">
        <v>27</v>
      </c>
      <c r="AE214">
        <v>17</v>
      </c>
      <c r="AF214">
        <v>10</v>
      </c>
      <c r="AG214">
        <v>9</v>
      </c>
      <c r="AH214">
        <v>0</v>
      </c>
      <c r="AI214" t="inlineStr">
        <is>
          <t>False</t>
        </is>
      </c>
      <c r="AJ214" s="2" t="str">
        <f>HYPERLINK("https://keepa.com/#!product/1-B01IPIL5JS", "https://keepa.com/#!product/1-B01IPIL5JS")</f>
      </c>
      <c r="AK214" s="2" t="str">
        <f>HYPERLINK("https://camelcamelcamel.com/search?sq=B01IPIL5JS", "https://camelcamelcamel.com/search?sq=B01IPIL5JS")</f>
      </c>
      <c r="AL214" t="inlineStr">
        <is>
          <t/>
        </is>
      </c>
      <c r="AM214" s="10">
        <v>45417.11111111111</v>
      </c>
      <c r="AN214" t="inlineStr">
        <is>
          <t>Ziploc Variety Pack â€“ 54 Freezer Quart Bags â€“ 38 Freezer Gallon Bags â€“ 125 Sandwich Bags â€“ 52 Storage Gallon Bags</t>
        </is>
      </c>
      <c r="AO214" t="inlineStr">
        <is>
          <t>682</t>
        </is>
      </c>
      <c r="AP214" t="inlineStr">
        <is>
          <t>TAKE ALL</t>
        </is>
      </c>
    </row>
    <row r="215">
      <c r="A215" t="inlineStr">
        <is>
          <t>B01IW245EY</t>
        </is>
      </c>
      <c r="B215" t="inlineStr">
        <is>
          <t>False</t>
        </is>
      </c>
      <c r="C215" t="inlineStr">
        <is>
          <t>B01IW245EY</t>
        </is>
      </c>
      <c r="D215" t="inlineStr">
        <is>
          <t>Nutricost</t>
        </is>
      </c>
      <c r="E215" t="inlineStr">
        <is>
          <t>False</t>
        </is>
      </c>
      <c r="F215" t="inlineStr">
        <is>
          <t>Nutricost Micronized Creatine Monohydrate 3,000mg 500 Capsules, 125 Servings, 750mg of Creatine Monohydrate Per Capsule</t>
        </is>
      </c>
      <c r="G215">
        <v>1</v>
      </c>
      <c r="H215" s="2" t="str">
        <f>HYPERLINK("https://www.amazon.com/dp/B01IW245EY", "https://www.amazon.com/dp/B01IW245EY")</f>
      </c>
      <c r="I215" s="3">
        <v>7136</v>
      </c>
      <c r="J215" s="11">
        <v>1.79</v>
      </c>
      <c r="K215" s="5">
        <v>0.0638</v>
      </c>
      <c r="L215" s="5">
        <v>0.10529999999999999</v>
      </c>
      <c r="M215" t="inlineStr">
        <is>
          <t>True</t>
        </is>
      </c>
      <c r="N215" t="inlineStr">
        <is>
          <t>Health &amp; Household</t>
        </is>
      </c>
      <c r="O215" s="6">
        <v>3590</v>
      </c>
      <c r="P215" s="6">
        <v>3777</v>
      </c>
      <c r="Q215" s="6">
        <v>2017</v>
      </c>
      <c r="R215" s="6">
        <v>266</v>
      </c>
      <c r="S215" s="7">
        <v>17</v>
      </c>
      <c r="T215" s="7">
        <v>28.04</v>
      </c>
      <c r="U215">
        <v>30.3</v>
      </c>
      <c r="V215" s="8">
        <v>0</v>
      </c>
      <c r="W215" s="7">
        <v>0</v>
      </c>
      <c r="X215" s="7">
        <v>0</v>
      </c>
      <c r="Y215">
        <v>1.15</v>
      </c>
      <c r="Z215" s="8">
        <v>0</v>
      </c>
      <c r="AB215">
        <v>0</v>
      </c>
      <c r="AC215">
        <v>0</v>
      </c>
      <c r="AD215">
        <v>5</v>
      </c>
      <c r="AE215">
        <v>3</v>
      </c>
      <c r="AF215">
        <v>2</v>
      </c>
      <c r="AG215">
        <v>2</v>
      </c>
      <c r="AH215">
        <v>2</v>
      </c>
      <c r="AI215" t="inlineStr">
        <is>
          <t>False</t>
        </is>
      </c>
      <c r="AJ215" s="2" t="str">
        <f>HYPERLINK("https://keepa.com/#!product/1-B01IW245EY", "https://keepa.com/#!product/1-B01IW245EY")</f>
      </c>
      <c r="AK215" s="2" t="str">
        <f>HYPERLINK("https://camelcamelcamel.com/search?sq=B01IW245EY", "https://camelcamelcamel.com/search?sq=B01IW245EY")</f>
      </c>
      <c r="AL215" t="inlineStr">
        <is>
          <t/>
        </is>
      </c>
      <c r="AM215" s="10">
        <v>45417.11111111111</v>
      </c>
      <c r="AN215" t="inlineStr">
        <is>
          <t>Nutricost Micronized Creatine Monohydrate 3,000mg 500 Capsules, 125 Servings, 750mg of Creatine Monohydrate Per Capsule</t>
        </is>
      </c>
      <c r="AO215" t="inlineStr">
        <is>
          <t>2000</t>
        </is>
      </c>
      <c r="AP215" t="inlineStr">
        <is>
          <t>1000</t>
        </is>
      </c>
    </row>
    <row r="216">
      <c r="A216" t="inlineStr">
        <is>
          <t>B01K7VHHBG</t>
        </is>
      </c>
      <c r="B216" t="inlineStr">
        <is>
          <t>False</t>
        </is>
      </c>
      <c r="C216" t="inlineStr">
        <is>
          <t>B01K7VHHBG</t>
        </is>
      </c>
      <c r="D216" t="inlineStr">
        <is>
          <t>Fisher-Price</t>
        </is>
      </c>
      <c r="E216" t="inlineStr">
        <is>
          <t>False</t>
        </is>
      </c>
      <c r="F216" t="inlineStr">
        <is>
          <t>Fisher-Price Portable Bassinet and Play Space On-the-Go Baby Dome with Developmental Toys and Canopy, Windmill</t>
        </is>
      </c>
      <c r="G216">
        <v>1</v>
      </c>
      <c r="H216" s="2" t="str">
        <f>HYPERLINK("https://www.amazon.com/dp/B01K7VHHBG", "https://www.amazon.com/dp/B01K7VHHBG")</f>
      </c>
      <c r="I216" s="3">
        <v>6947</v>
      </c>
      <c r="J216" s="4">
        <v>7.51</v>
      </c>
      <c r="K216" s="5">
        <v>0.1174</v>
      </c>
      <c r="L216" s="5">
        <v>0.2731</v>
      </c>
      <c r="M216" t="inlineStr">
        <is>
          <t>True</t>
        </is>
      </c>
      <c r="N216" t="inlineStr">
        <is>
          <t>Baby</t>
        </is>
      </c>
      <c r="O216" s="6">
        <v>638</v>
      </c>
      <c r="P216" s="6">
        <v>832</v>
      </c>
      <c r="Q216" s="6">
        <v>450</v>
      </c>
      <c r="R216" s="6">
        <v>280</v>
      </c>
      <c r="S216" s="7">
        <v>27.5</v>
      </c>
      <c r="T216" s="7">
        <v>63.99</v>
      </c>
      <c r="U216">
        <v>0</v>
      </c>
      <c r="V216" s="8">
        <v>0</v>
      </c>
      <c r="W216" s="7">
        <v>0</v>
      </c>
      <c r="X216" s="7">
        <v>0</v>
      </c>
      <c r="Y216">
        <v>13.47</v>
      </c>
      <c r="Z216" s="8">
        <v>0</v>
      </c>
      <c r="AB216">
        <v>0</v>
      </c>
      <c r="AC216">
        <v>0</v>
      </c>
      <c r="AD216">
        <v>19</v>
      </c>
      <c r="AE216">
        <v>12</v>
      </c>
      <c r="AF216">
        <v>3</v>
      </c>
      <c r="AG216">
        <v>7</v>
      </c>
      <c r="AH216">
        <v>6</v>
      </c>
      <c r="AI216" t="inlineStr">
        <is>
          <t>False</t>
        </is>
      </c>
      <c r="AJ216" s="2" t="str">
        <f>HYPERLINK("https://keepa.com/#!product/1-B01K7VHHBG", "https://keepa.com/#!product/1-B01K7VHHBG")</f>
      </c>
      <c r="AK216" s="2" t="str">
        <f>HYPERLINK("https://camelcamelcamel.com/search?sq=B01K7VHHBG", "https://camelcamelcamel.com/search?sq=B01K7VHHBG")</f>
      </c>
      <c r="AL216" t="inlineStr">
        <is>
          <t/>
        </is>
      </c>
      <c r="AM216" s="10">
        <v>45417.11111111111</v>
      </c>
      <c r="AN216" t="inlineStr">
        <is>
          <t>Fisher-Price Portable Bassinet and Play Space On-the-Go Baby Dome with Developmental Toys and Canopy, Windmill</t>
        </is>
      </c>
      <c r="AO216" t="inlineStr">
        <is>
          <t>2000</t>
        </is>
      </c>
      <c r="AP216" t="inlineStr">
        <is>
          <t>500</t>
        </is>
      </c>
    </row>
    <row r="217">
      <c r="A217" t="inlineStr">
        <is>
          <t>B01KOPMA0I</t>
        </is>
      </c>
      <c r="B217" t="inlineStr">
        <is>
          <t>False</t>
        </is>
      </c>
      <c r="C217" t="inlineStr">
        <is>
          <t>B01KOPMA0I</t>
        </is>
      </c>
      <c r="D217" t="inlineStr">
        <is>
          <t>SUPOOBE</t>
        </is>
      </c>
      <c r="E217" t="inlineStr">
        <is>
          <t>False</t>
        </is>
      </c>
      <c r="F217" t="inlineStr">
        <is>
          <t>Blue Harbor Fish Co. Wild Albacore Solid White Tuna in Water No Salt Added - 4.6 oz Can (Pack of 12)</t>
        </is>
      </c>
      <c r="G217">
        <v>1</v>
      </c>
      <c r="H217" s="2" t="str">
        <f>HYPERLINK("https://www.amazon.com/dp/B01KOPMA0I", "https://www.amazon.com/dp/B01KOPMA0I")</f>
      </c>
      <c r="I217" s="3">
        <v>413</v>
      </c>
      <c r="J217" s="4">
        <v>15.66</v>
      </c>
      <c r="K217" s="15">
        <v>0.3557</v>
      </c>
      <c r="L217" s="15">
        <v>1.0103</v>
      </c>
      <c r="M217" t="inlineStr">
        <is>
          <t>True</t>
        </is>
      </c>
      <c r="N217" t="inlineStr">
        <is>
          <t>Grocery &amp; Gourmet Food</t>
        </is>
      </c>
      <c r="O217" s="6">
        <v>19408</v>
      </c>
      <c r="P217" s="6">
        <v>9044</v>
      </c>
      <c r="Q217" s="6">
        <v>1283</v>
      </c>
      <c r="R217" s="6">
        <v>190</v>
      </c>
      <c r="S217" s="7">
        <v>15.5</v>
      </c>
      <c r="T217" s="7">
        <v>44.02</v>
      </c>
      <c r="U217">
        <v>35.66</v>
      </c>
      <c r="V217" s="8">
        <v>0</v>
      </c>
      <c r="W217" s="7">
        <v>0</v>
      </c>
      <c r="X217" s="7">
        <v>0</v>
      </c>
      <c r="Y217">
        <v>4.54</v>
      </c>
      <c r="Z217" s="9">
        <v>0.96</v>
      </c>
      <c r="AB217">
        <v>0</v>
      </c>
      <c r="AC217">
        <v>0</v>
      </c>
      <c r="AD217">
        <v>4</v>
      </c>
      <c r="AE217">
        <v>1</v>
      </c>
      <c r="AF217">
        <v>3</v>
      </c>
      <c r="AG217">
        <v>1</v>
      </c>
      <c r="AH217">
        <v>0</v>
      </c>
      <c r="AI217" t="inlineStr">
        <is>
          <t>False</t>
        </is>
      </c>
      <c r="AJ217" s="2" t="str">
        <f>HYPERLINK("https://keepa.com/#!product/1-B01KOPMA0I", "https://keepa.com/#!product/1-B01KOPMA0I")</f>
      </c>
      <c r="AK217" s="2" t="str">
        <f>HYPERLINK("https://camelcamelcamel.com/search?sq=B01KOPMA0I", "https://camelcamelcamel.com/search?sq=B01KOPMA0I")</f>
      </c>
      <c r="AL217" t="inlineStr">
        <is>
          <t/>
        </is>
      </c>
      <c r="AM217" s="10">
        <v>45417.11111111111</v>
      </c>
      <c r="AN217" t="inlineStr">
        <is>
          <t>Blue Harbor Fish Co. Wild Albacore Solid White Tuna in Water No Salt Added - 4.6 oz Can (Pack of 12)</t>
        </is>
      </c>
      <c r="AO217" t="inlineStr">
        <is>
          <t>283</t>
        </is>
      </c>
      <c r="AP217" t="inlineStr">
        <is>
          <t>TAKE ALL</t>
        </is>
      </c>
    </row>
    <row r="218">
      <c r="A218" t="inlineStr">
        <is>
          <t>B01KZ6V00W</t>
        </is>
      </c>
      <c r="B218" t="inlineStr">
        <is>
          <t>False</t>
        </is>
      </c>
      <c r="C218" t="inlineStr">
        <is>
          <t>B01KZ6V00W</t>
        </is>
      </c>
      <c r="D218" t="inlineStr">
        <is>
          <t>Oral-B</t>
        </is>
      </c>
      <c r="E218" t="inlineStr">
        <is>
          <t>True</t>
        </is>
      </c>
      <c r="F218" t="inlineStr">
        <is>
          <t>Oral-B CrossAction All In One Soft Toothbrushes, Deep Plaque Removal, 6 Count</t>
        </is>
      </c>
      <c r="G218">
        <v>1</v>
      </c>
      <c r="H218" s="2" t="str">
        <f>HYPERLINK("https://www.amazon.com/dp/B01KZ6V00W", "https://www.amazon.com/dp/B01KZ6V00W")</f>
      </c>
      <c r="I218" s="3">
        <v>24090</v>
      </c>
      <c r="J218" s="11">
        <v>3.14</v>
      </c>
      <c r="K218" s="5">
        <v>0.175</v>
      </c>
      <c r="L218" s="15">
        <v>0.3589</v>
      </c>
      <c r="M218" t="inlineStr">
        <is>
          <t>True</t>
        </is>
      </c>
      <c r="N218" t="inlineStr">
        <is>
          <t>Health &amp; Household</t>
        </is>
      </c>
      <c r="O218" s="6">
        <v>676</v>
      </c>
      <c r="P218" s="6">
        <v>893</v>
      </c>
      <c r="Q218" s="6">
        <v>482</v>
      </c>
      <c r="R218" s="6">
        <v>289</v>
      </c>
      <c r="S218" s="7">
        <v>8.75</v>
      </c>
      <c r="T218" s="7">
        <v>17.94</v>
      </c>
      <c r="U218">
        <v>17.18</v>
      </c>
      <c r="V218" s="8">
        <v>0</v>
      </c>
      <c r="W218" s="7">
        <v>0</v>
      </c>
      <c r="X218" s="7">
        <v>0</v>
      </c>
      <c r="Y218">
        <v>0.4</v>
      </c>
      <c r="Z218" s="9">
        <v>1</v>
      </c>
      <c r="AB218">
        <v>0</v>
      </c>
      <c r="AC218">
        <v>0</v>
      </c>
      <c r="AD218">
        <v>8</v>
      </c>
      <c r="AE218">
        <v>3</v>
      </c>
      <c r="AF218">
        <v>5</v>
      </c>
      <c r="AG218">
        <v>2</v>
      </c>
      <c r="AH218">
        <v>1</v>
      </c>
      <c r="AI218" t="inlineStr">
        <is>
          <t>False</t>
        </is>
      </c>
      <c r="AJ218" s="2" t="str">
        <f>HYPERLINK("https://keepa.com/#!product/1-B01KZ6V00W", "https://keepa.com/#!product/1-B01KZ6V00W")</f>
      </c>
      <c r="AK218" s="2" t="str">
        <f>HYPERLINK("https://camelcamelcamel.com/search?sq=B01KZ6V00W", "https://camelcamelcamel.com/search?sq=B01KZ6V00W")</f>
      </c>
      <c r="AL218" t="inlineStr">
        <is>
          <t/>
        </is>
      </c>
      <c r="AM218" s="10">
        <v>45417.11111111111</v>
      </c>
      <c r="AN218" t="inlineStr">
        <is>
          <t>Oral-B CrossAction All In One Soft Toothbrushes, Deep Plaque Removal, 6 Count</t>
        </is>
      </c>
      <c r="AO218" t="inlineStr">
        <is>
          <t>720</t>
        </is>
      </c>
      <c r="AP218" t="inlineStr">
        <is>
          <t>TAKE ALL</t>
        </is>
      </c>
    </row>
    <row r="219">
      <c r="A219" t="inlineStr">
        <is>
          <t>B01LEJ5MSK</t>
        </is>
      </c>
      <c r="B219" t="inlineStr">
        <is>
          <t>False</t>
        </is>
      </c>
      <c r="C219" t="inlineStr">
        <is>
          <t>B01LEJ5MSK</t>
        </is>
      </c>
      <c r="D219" t="inlineStr">
        <is>
          <t>COSRX</t>
        </is>
      </c>
      <c r="E219" t="inlineStr">
        <is>
          <t>False</t>
        </is>
      </c>
      <c r="F219" t="inlineStr">
        <is>
          <t>COSRX Snail Mucin 92% Repair Cream, Daily Face Gel Moisturizer for Dry Skin, Acne-prone, Sensitive Skin, Not Tested on Animals, No Parabens, Korean Skincare (3.52 Fl Oz (Pack of 1))</t>
        </is>
      </c>
      <c r="G219">
        <v>1</v>
      </c>
      <c r="H219" s="2" t="str">
        <f>HYPERLINK("https://www.amazon.com/dp/B01LEJ5MSK", "https://www.amazon.com/dp/B01LEJ5MSK")</f>
      </c>
      <c r="I219" s="3">
        <v>47384</v>
      </c>
      <c r="J219" s="11">
        <v>1.93</v>
      </c>
      <c r="K219" s="5">
        <v>0.1207</v>
      </c>
      <c r="L219" s="5">
        <v>0.249</v>
      </c>
      <c r="M219" t="inlineStr">
        <is>
          <t>True</t>
        </is>
      </c>
      <c r="N219" t="inlineStr">
        <is>
          <t>Beauty &amp; Personal Care</t>
        </is>
      </c>
      <c r="O219" s="6">
        <v>84</v>
      </c>
      <c r="P219" s="6">
        <v>54</v>
      </c>
      <c r="Q219" s="6">
        <v>18</v>
      </c>
      <c r="R219" s="6">
        <v>291</v>
      </c>
      <c r="S219" s="7">
        <v>7.75</v>
      </c>
      <c r="T219" s="7">
        <v>15.99</v>
      </c>
      <c r="U219">
        <v>15.69</v>
      </c>
      <c r="V219" s="8">
        <v>0</v>
      </c>
      <c r="W219" s="7">
        <v>0</v>
      </c>
      <c r="X219" s="7">
        <v>0</v>
      </c>
      <c r="Y219">
        <v>0.37</v>
      </c>
      <c r="Z219" s="8">
        <v>0</v>
      </c>
      <c r="AB219">
        <v>0</v>
      </c>
      <c r="AC219">
        <v>0</v>
      </c>
      <c r="AD219">
        <v>19</v>
      </c>
      <c r="AE219">
        <v>13</v>
      </c>
      <c r="AF219">
        <v>6</v>
      </c>
      <c r="AG219">
        <v>3</v>
      </c>
      <c r="AH219">
        <v>0</v>
      </c>
      <c r="AI219" t="inlineStr">
        <is>
          <t>False</t>
        </is>
      </c>
      <c r="AJ219" s="2" t="str">
        <f>HYPERLINK("https://keepa.com/#!product/1-B01LEJ5MSK", "https://keepa.com/#!product/1-B01LEJ5MSK")</f>
      </c>
      <c r="AK219" s="2" t="str">
        <f>HYPERLINK("https://camelcamelcamel.com/search?sq=B01LEJ5MSK", "https://camelcamelcamel.com/search?sq=B01LEJ5MSK")</f>
      </c>
      <c r="AL219" t="inlineStr">
        <is>
          <t/>
        </is>
      </c>
      <c r="AM219" s="10">
        <v>45417.11111111111</v>
      </c>
      <c r="AN219" t="inlineStr">
        <is>
          <t>COSRX Snail Mucin 92% Repair Cream, Daily Face Gel Moisturizer for Dry Skin, Acne-prone, Sensitive Skin, Not Tested on Animals, No Parabens, Korean Skincare (3.52 Fl Oz (Pack of 1)</t>
        </is>
      </c>
      <c r="AO219" t="inlineStr">
        <is>
          <t>10000</t>
        </is>
      </c>
      <c r="AP219" t="inlineStr">
        <is>
          <t>TAKE ALL</t>
        </is>
      </c>
    </row>
    <row r="220">
      <c r="A220" t="inlineStr">
        <is>
          <t>B01LPRG13G</t>
        </is>
      </c>
      <c r="B220" t="inlineStr">
        <is>
          <t>False</t>
        </is>
      </c>
      <c r="C220" t="inlineStr">
        <is>
          <t>B01LPRG13G</t>
        </is>
      </c>
      <c r="D220" t="inlineStr">
        <is>
          <t>Mitchum</t>
        </is>
      </c>
      <c r="E220" t="inlineStr">
        <is>
          <t>False</t>
        </is>
      </c>
      <c r="F220" t="inlineStr">
        <is>
          <t>Mitchum Antiperspirant Deodorant Stick for Men, Triple Odor Defense Gel, 48 Hr Protection, Dermatologist Tested, Alcohol Free, Unscented, 3.4 oz, green</t>
        </is>
      </c>
      <c r="G220">
        <v>1</v>
      </c>
      <c r="H220" s="2" t="str">
        <f>HYPERLINK("https://www.amazon.com/dp/B01LPRG13G", "https://www.amazon.com/dp/B01LPRG13G")</f>
      </c>
      <c r="I220" s="3">
        <v>636</v>
      </c>
      <c r="J220" s="12">
        <v>-1.84</v>
      </c>
      <c r="K220" s="13">
        <v>-0.2921</v>
      </c>
      <c r="L220" s="13">
        <v>-0.4089</v>
      </c>
      <c r="M220" t="inlineStr">
        <is>
          <t>True</t>
        </is>
      </c>
      <c r="N220" t="inlineStr">
        <is>
          <t>Beauty &amp; Personal Care</t>
        </is>
      </c>
      <c r="O220" s="6">
        <v>25657</v>
      </c>
      <c r="P220" s="6">
        <v>14012</v>
      </c>
      <c r="Q220" s="6">
        <v>918</v>
      </c>
      <c r="R220" s="6">
        <v>258</v>
      </c>
      <c r="S220" s="7">
        <v>4.5</v>
      </c>
      <c r="T220" s="7">
        <v>6.3</v>
      </c>
      <c r="U220">
        <v>7</v>
      </c>
      <c r="V220" s="8">
        <v>0</v>
      </c>
      <c r="W220" s="7">
        <v>0</v>
      </c>
      <c r="X220" s="7">
        <v>0</v>
      </c>
      <c r="Y220">
        <v>0.31</v>
      </c>
      <c r="Z220" s="9">
        <v>0.21</v>
      </c>
      <c r="AB220">
        <v>0</v>
      </c>
      <c r="AC220">
        <v>0</v>
      </c>
      <c r="AD220">
        <v>24</v>
      </c>
      <c r="AE220">
        <v>10</v>
      </c>
      <c r="AF220">
        <v>14</v>
      </c>
      <c r="AG220">
        <v>8</v>
      </c>
      <c r="AH220">
        <v>3</v>
      </c>
      <c r="AI220" t="inlineStr">
        <is>
          <t>False</t>
        </is>
      </c>
      <c r="AJ220" s="2" t="str">
        <f>HYPERLINK("https://keepa.com/#!product/1-B01LPRG13G", "https://keepa.com/#!product/1-B01LPRG13G")</f>
      </c>
      <c r="AK220" s="2" t="str">
        <f>HYPERLINK("https://camelcamelcamel.com/search?sq=B01LPRG13G", "https://camelcamelcamel.com/search?sq=B01LPRG13G")</f>
      </c>
      <c r="AL220" t="inlineStr">
        <is>
          <t/>
        </is>
      </c>
      <c r="AM220" s="10">
        <v>45417.11111111111</v>
      </c>
      <c r="AN220" t="inlineStr">
        <is>
          <t>Mitchum Antiperspirant Deodorant Stick for Men, Triple Odor Defense Gel, 48 Hr Protection, Dermatologist Tested, Alcohol Free, Unscented, 3.4 oz, green</t>
        </is>
      </c>
      <c r="AO220" t="inlineStr">
        <is>
          <t>1284</t>
        </is>
      </c>
      <c r="AP220" t="inlineStr">
        <is>
          <t>TAKE ALL</t>
        </is>
      </c>
    </row>
    <row r="221">
      <c r="A221" t="inlineStr">
        <is>
          <t>B01LT4MIZU</t>
        </is>
      </c>
      <c r="B221" t="inlineStr">
        <is>
          <t>False</t>
        </is>
      </c>
      <c r="C221" t="inlineStr">
        <is>
          <t>B01LT4MIZU</t>
        </is>
      </c>
      <c r="D221" t="inlineStr">
        <is>
          <t>DEWALT</t>
        </is>
      </c>
      <c r="E221" t="inlineStr">
        <is>
          <t>True</t>
        </is>
      </c>
      <c r="F221" t="inlineStr">
        <is>
          <t>DEWALT Table Saw Stand for Jobsite, 10-Inch (DW7451)</t>
        </is>
      </c>
      <c r="G221">
        <v>1</v>
      </c>
      <c r="H221" s="2" t="str">
        <f>HYPERLINK("https://www.amazon.com/dp/B01LT4MIZU", "https://www.amazon.com/dp/B01LT4MIZU")</f>
      </c>
      <c r="I221" s="3">
        <v>572</v>
      </c>
      <c r="J221" s="12">
        <v>-4.7</v>
      </c>
      <c r="K221" s="13">
        <v>-0.09960000000000001</v>
      </c>
      <c r="L221" s="13">
        <v>-0.1446</v>
      </c>
      <c r="M221" t="inlineStr">
        <is>
          <t>True</t>
        </is>
      </c>
      <c r="N221" t="inlineStr">
        <is>
          <t>Tools &amp; Home Improvement</t>
        </is>
      </c>
      <c r="O221" s="6">
        <v>17119</v>
      </c>
      <c r="P221" s="6">
        <v>17409</v>
      </c>
      <c r="Q221" s="6">
        <v>9779</v>
      </c>
      <c r="R221" s="6">
        <v>194</v>
      </c>
      <c r="S221" s="7">
        <v>32.5</v>
      </c>
      <c r="T221" s="7">
        <v>47.17</v>
      </c>
      <c r="U221">
        <v>53.69</v>
      </c>
      <c r="V221" s="8">
        <v>0</v>
      </c>
      <c r="W221" s="7">
        <v>0</v>
      </c>
      <c r="X221" s="7">
        <v>0</v>
      </c>
      <c r="Y221">
        <v>13.7</v>
      </c>
      <c r="Z221" s="9">
        <v>0.13</v>
      </c>
      <c r="AB221">
        <v>0</v>
      </c>
      <c r="AC221">
        <v>0</v>
      </c>
      <c r="AD221">
        <v>12</v>
      </c>
      <c r="AE221">
        <v>3</v>
      </c>
      <c r="AF221">
        <v>9</v>
      </c>
      <c r="AG221">
        <v>1</v>
      </c>
      <c r="AH221">
        <v>0</v>
      </c>
      <c r="AI221" t="inlineStr">
        <is>
          <t>False</t>
        </is>
      </c>
      <c r="AJ221" s="2" t="str">
        <f>HYPERLINK("https://keepa.com/#!product/1-B01LT4MIZU", "https://keepa.com/#!product/1-B01LT4MIZU")</f>
      </c>
      <c r="AK221" s="2" t="str">
        <f>HYPERLINK("https://camelcamelcamel.com/search?sq=B01LT4MIZU", "https://camelcamelcamel.com/search?sq=B01LT4MIZU")</f>
      </c>
      <c r="AL221" t="inlineStr">
        <is>
          <t/>
        </is>
      </c>
      <c r="AM221" s="10">
        <v>45417.11111111111</v>
      </c>
      <c r="AN221" t="inlineStr">
        <is>
          <t>DEWALT Table Saw Stand for Jobsite, 10-Inch (DW7451)</t>
        </is>
      </c>
      <c r="AO221" t="inlineStr">
        <is>
          <t>500</t>
        </is>
      </c>
      <c r="AP221" t="inlineStr">
        <is>
          <t>TAKE ALL</t>
        </is>
      </c>
    </row>
    <row r="222">
      <c r="A222" t="inlineStr">
        <is>
          <t>B01LTHZTZS</t>
        </is>
      </c>
      <c r="B222" t="inlineStr">
        <is>
          <t>False</t>
        </is>
      </c>
      <c r="C222" t="inlineStr">
        <is>
          <t>B01LTHZTZS</t>
        </is>
      </c>
      <c r="D222" t="inlineStr">
        <is>
          <t>Dove</t>
        </is>
      </c>
      <c r="E222" t="inlineStr">
        <is>
          <t>True</t>
        </is>
      </c>
      <c r="F222" t="inlineStr">
        <is>
          <t>Dove Beauty Bar Gentle Skin Cleanser Moisturizing, 3.17oz, 3 Bars</t>
        </is>
      </c>
      <c r="G222">
        <v>1</v>
      </c>
      <c r="H222" s="2" t="str">
        <f>HYPERLINK("https://www.amazon.com/dp/B01LTHZTZS", "https://www.amazon.com/dp/B01LTHZTZS")</f>
      </c>
      <c r="I222" s="3">
        <v>199</v>
      </c>
      <c r="J222" s="12">
        <v>-0.13</v>
      </c>
      <c r="K222" s="13">
        <v>-0.013999999999999999</v>
      </c>
      <c r="L222" s="13">
        <v>-0.0248</v>
      </c>
      <c r="M222" t="inlineStr">
        <is>
          <t>True</t>
        </is>
      </c>
      <c r="N222" t="inlineStr">
        <is>
          <t>Beauty &amp; Personal Care</t>
        </is>
      </c>
      <c r="O222" s="6">
        <v>60233</v>
      </c>
      <c r="P222" s="6">
        <v>41942</v>
      </c>
      <c r="Q222" s="6">
        <v>17324</v>
      </c>
      <c r="R222" s="6">
        <v>189</v>
      </c>
      <c r="S222" s="7">
        <v>5.25</v>
      </c>
      <c r="T222" s="7">
        <v>9.26</v>
      </c>
      <c r="U222">
        <v>4.5</v>
      </c>
      <c r="V222" s="8">
        <v>0</v>
      </c>
      <c r="W222" s="7">
        <v>0</v>
      </c>
      <c r="X222" s="7">
        <v>0</v>
      </c>
      <c r="Y222">
        <v>0.65</v>
      </c>
      <c r="Z222" s="9">
        <v>0.34</v>
      </c>
      <c r="AB222">
        <v>0</v>
      </c>
      <c r="AC222">
        <v>0</v>
      </c>
      <c r="AD222">
        <v>7</v>
      </c>
      <c r="AE222">
        <v>5</v>
      </c>
      <c r="AF222">
        <v>2</v>
      </c>
      <c r="AG222">
        <v>0</v>
      </c>
      <c r="AH222">
        <v>3</v>
      </c>
      <c r="AI222" t="inlineStr">
        <is>
          <t>False</t>
        </is>
      </c>
      <c r="AJ222" s="2" t="str">
        <f>HYPERLINK("https://keepa.com/#!product/1-B01LTHZTZS", "https://keepa.com/#!product/1-B01LTHZTZS")</f>
      </c>
      <c r="AK222" s="2" t="str">
        <f>HYPERLINK("https://camelcamelcamel.com/search?sq=B01LTHZTZS", "https://camelcamelcamel.com/search?sq=B01LTHZTZS")</f>
      </c>
      <c r="AL222" t="inlineStr">
        <is>
          <t/>
        </is>
      </c>
      <c r="AM222" s="10">
        <v>45417.11111111111</v>
      </c>
      <c r="AN222" t="inlineStr">
        <is>
          <t>Dove Beauty Bar Gentle Skin Cleanser Moisturizing, 3.17oz, 3 Bar</t>
        </is>
      </c>
      <c r="AO222" t="inlineStr">
        <is>
          <t>300</t>
        </is>
      </c>
      <c r="AP222" t="inlineStr">
        <is>
          <t>TAKE ALL</t>
        </is>
      </c>
    </row>
    <row r="223">
      <c r="A223" t="inlineStr">
        <is>
          <t>B01LXLW6IT</t>
        </is>
      </c>
      <c r="B223" t="inlineStr">
        <is>
          <t>False</t>
        </is>
      </c>
      <c r="C223" t="inlineStr">
        <is>
          <t>B01LXLW6IT</t>
        </is>
      </c>
      <c r="D223" t="inlineStr">
        <is>
          <t>Softsoap</t>
        </is>
      </c>
      <c r="E223" t="inlineStr">
        <is>
          <t>False</t>
        </is>
      </c>
      <c r="F223" t="inlineStr">
        <is>
          <t>Softsoap Liquid Hand Soap Pump, Aquarium, 7.5 fl oz</t>
        </is>
      </c>
      <c r="G223">
        <v>1</v>
      </c>
      <c r="H223" s="2" t="str">
        <f>HYPERLINK("https://www.amazon.com/dp/B01LXLW6IT", "https://www.amazon.com/dp/B01LXLW6IT")</f>
      </c>
      <c r="I223" s="14">
        <v>5</v>
      </c>
      <c r="J223" s="11">
        <v>1.18</v>
      </c>
      <c r="K223" s="5">
        <v>0.1396</v>
      </c>
      <c r="L223" s="15">
        <v>0.3688</v>
      </c>
      <c r="M223" t="inlineStr">
        <is>
          <t>True</t>
        </is>
      </c>
      <c r="N223" t="inlineStr">
        <is>
          <t>Beauty &amp; Personal Care</t>
        </is>
      </c>
      <c r="O223" s="6">
        <v>314172</v>
      </c>
      <c r="P223" s="6">
        <v>217545</v>
      </c>
      <c r="Q223" s="6">
        <v>1060</v>
      </c>
      <c r="R223" s="6">
        <v>118</v>
      </c>
      <c r="S223" s="7">
        <v>3.2</v>
      </c>
      <c r="T223" s="7">
        <v>8.45</v>
      </c>
      <c r="U223">
        <v>1.23</v>
      </c>
      <c r="V223" s="8">
        <v>0</v>
      </c>
      <c r="W223" s="7">
        <v>0</v>
      </c>
      <c r="X223" s="7">
        <v>0</v>
      </c>
      <c r="Y223">
        <v>0.57</v>
      </c>
      <c r="Z223" s="9">
        <v>0.01</v>
      </c>
      <c r="AB223">
        <v>0</v>
      </c>
      <c r="AC223">
        <v>0</v>
      </c>
      <c r="AD223">
        <v>1</v>
      </c>
      <c r="AE223">
        <v>0</v>
      </c>
      <c r="AF223">
        <v>1</v>
      </c>
      <c r="AG223">
        <v>0</v>
      </c>
      <c r="AH223">
        <v>0</v>
      </c>
      <c r="AI223" t="inlineStr">
        <is>
          <t>False</t>
        </is>
      </c>
      <c r="AJ223" s="2" t="str">
        <f>HYPERLINK("https://keepa.com/#!product/1-B01LXLW6IT", "https://keepa.com/#!product/1-B01LXLW6IT")</f>
      </c>
      <c r="AK223" s="2" t="str">
        <f>HYPERLINK("https://camelcamelcamel.com/search?sq=B01LXLW6IT", "https://camelcamelcamel.com/search?sq=B01LXLW6IT")</f>
      </c>
      <c r="AL223" t="inlineStr">
        <is>
          <t/>
        </is>
      </c>
      <c r="AM223" s="10">
        <v>45417.11111111111</v>
      </c>
      <c r="AN223" t="inlineStr">
        <is>
          <t>Softsoap Liquid Hand Soap Pump, Aquarium, 7.5 fl oz</t>
        </is>
      </c>
      <c r="AO223" t="inlineStr">
        <is>
          <t>1320</t>
        </is>
      </c>
      <c r="AP223" t="inlineStr">
        <is>
          <t>500</t>
        </is>
      </c>
    </row>
    <row r="224">
      <c r="A224" t="inlineStr">
        <is>
          <t>B01LYWTZT2</t>
        </is>
      </c>
      <c r="B224" t="inlineStr">
        <is>
          <t>False</t>
        </is>
      </c>
      <c r="C224" t="inlineStr">
        <is>
          <t>B01LYWTZT2</t>
        </is>
      </c>
      <c r="D224" t="inlineStr">
        <is>
          <t>Too Faced</t>
        </is>
      </c>
      <c r="E224" t="inlineStr">
        <is>
          <t>False</t>
        </is>
      </c>
      <c r="F224" t="inlineStr">
        <is>
          <t>Too Faced Lip Injection Travel Size Extreme Lip Plumper</t>
        </is>
      </c>
      <c r="G224">
        <v>1</v>
      </c>
      <c r="H224" s="2" t="str">
        <f>HYPERLINK("https://www.amazon.com/dp/B01LYWTZT2", "https://www.amazon.com/dp/B01LYWTZT2")</f>
      </c>
      <c r="I224" s="14">
        <v>5</v>
      </c>
      <c r="J224" s="12">
        <v>-0.48</v>
      </c>
      <c r="K224" s="13">
        <v>-0.0509</v>
      </c>
      <c r="L224" s="13">
        <v>-0.0768</v>
      </c>
      <c r="M224" t="inlineStr">
        <is>
          <t>False</t>
        </is>
      </c>
      <c r="N224" t="inlineStr">
        <is>
          <t>Prestige Beauty</t>
        </is>
      </c>
      <c r="P224" s="6">
        <v>19591</v>
      </c>
      <c r="Q224" s="6">
        <v>8510</v>
      </c>
      <c r="R224" s="6">
        <v>155</v>
      </c>
      <c r="S224" s="7">
        <v>6.25</v>
      </c>
      <c r="T224" s="7">
        <v>9.43</v>
      </c>
      <c r="U224">
        <v>10.08</v>
      </c>
      <c r="V224" s="8">
        <v>0</v>
      </c>
      <c r="W224" s="7">
        <v>0</v>
      </c>
      <c r="X224" s="7">
        <v>0</v>
      </c>
      <c r="Y224">
        <v>0.05</v>
      </c>
      <c r="Z224" s="8">
        <v>0</v>
      </c>
      <c r="AB224">
        <v>0</v>
      </c>
      <c r="AC224">
        <v>0</v>
      </c>
      <c r="AD224">
        <v>41</v>
      </c>
      <c r="AE224">
        <v>13</v>
      </c>
      <c r="AF224">
        <v>28</v>
      </c>
      <c r="AG224">
        <v>3</v>
      </c>
      <c r="AH224">
        <v>1</v>
      </c>
      <c r="AI224" t="inlineStr">
        <is>
          <t>False</t>
        </is>
      </c>
      <c r="AJ224" s="2" t="str">
        <f>HYPERLINK("https://keepa.com/#!product/1-B01LYWTZT2", "https://keepa.com/#!product/1-B01LYWTZT2")</f>
      </c>
      <c r="AK224" s="2" t="str">
        <f>HYPERLINK("https://camelcamelcamel.com/search?sq=B01LYWTZT2", "https://camelcamelcamel.com/search?sq=B01LYWTZT2")</f>
      </c>
      <c r="AL224" t="inlineStr">
        <is>
          <t/>
        </is>
      </c>
      <c r="AM224" s="10">
        <v>45417.11111111111</v>
      </c>
      <c r="AN224" t="inlineStr">
        <is>
          <t>Too Faced Mini Lip Injection Extreme Hydrating Lip Plumper Original Clear</t>
        </is>
      </c>
      <c r="AO224" t="inlineStr">
        <is>
          <t>25000</t>
        </is>
      </c>
      <c r="AP224" t="inlineStr">
        <is>
          <t>1500</t>
        </is>
      </c>
    </row>
    <row r="225">
      <c r="A225" t="inlineStr">
        <is>
          <t>B01M2YYS2E</t>
        </is>
      </c>
      <c r="B225" t="inlineStr">
        <is>
          <t>False</t>
        </is>
      </c>
      <c r="C225" t="inlineStr">
        <is>
          <t>B01M2YYS2E</t>
        </is>
      </c>
      <c r="D225" t="inlineStr">
        <is>
          <t>NATURELO</t>
        </is>
      </c>
      <c r="E225" t="inlineStr">
        <is>
          <t>False</t>
        </is>
      </c>
      <c r="F225" t="inlineStr">
        <is>
          <t>NATURELO One Daily Multivitamin for Women - Energy Support - Whole Food Supplement to Nourish Hair, Skin, Nails - Non-GMO - No Soy - Gluten Free - 120 Capsules - 4 Month Supply</t>
        </is>
      </c>
      <c r="G225">
        <v>1</v>
      </c>
      <c r="H225" s="2" t="str">
        <f>HYPERLINK("https://www.amazon.com/dp/B01M2YYS2E", "https://www.amazon.com/dp/B01M2YYS2E")</f>
      </c>
      <c r="I225" s="3">
        <v>4093</v>
      </c>
      <c r="J225" s="11">
        <v>2.35</v>
      </c>
      <c r="K225" s="5">
        <v>0.0746</v>
      </c>
      <c r="L225" s="5">
        <v>0.11460000000000001</v>
      </c>
      <c r="M225" t="inlineStr">
        <is>
          <t>True</t>
        </is>
      </c>
      <c r="N225" t="inlineStr">
        <is>
          <t>Health &amp; Household</t>
        </is>
      </c>
      <c r="O225" s="6">
        <v>6521</v>
      </c>
      <c r="P225" s="6">
        <v>3811</v>
      </c>
      <c r="Q225" s="6">
        <v>1689</v>
      </c>
      <c r="R225" s="6">
        <v>293</v>
      </c>
      <c r="S225" s="7">
        <v>20.5</v>
      </c>
      <c r="T225" s="7">
        <v>31.49</v>
      </c>
      <c r="U225">
        <v>34.46</v>
      </c>
      <c r="V225" s="8">
        <v>0</v>
      </c>
      <c r="W225" s="7">
        <v>0</v>
      </c>
      <c r="X225" s="7">
        <v>0</v>
      </c>
      <c r="Y225">
        <v>0.33</v>
      </c>
      <c r="Z225" s="8">
        <v>0</v>
      </c>
      <c r="AB225">
        <v>0</v>
      </c>
      <c r="AC225">
        <v>0</v>
      </c>
      <c r="AD225">
        <v>3</v>
      </c>
      <c r="AE225">
        <v>2</v>
      </c>
      <c r="AF225">
        <v>1</v>
      </c>
      <c r="AG225">
        <v>1</v>
      </c>
      <c r="AH225">
        <v>2</v>
      </c>
      <c r="AI225" t="inlineStr">
        <is>
          <t>False</t>
        </is>
      </c>
      <c r="AJ225" s="2" t="str">
        <f>HYPERLINK("https://keepa.com/#!product/1-B01M2YYS2E", "https://keepa.com/#!product/1-B01M2YYS2E")</f>
      </c>
      <c r="AK225" s="2" t="str">
        <f>HYPERLINK("https://camelcamelcamel.com/search?sq=B01M2YYS2E", "https://camelcamelcamel.com/search?sq=B01M2YYS2E")</f>
      </c>
      <c r="AL225" t="inlineStr">
        <is>
          <t/>
        </is>
      </c>
      <c r="AM225" s="10">
        <v>45417.11111111111</v>
      </c>
      <c r="AN225" t="inlineStr">
        <is>
          <t>NATURELO One Daily Multivitamin for Women - Energy Support - Whole Food Supplement to Nourish Hair, Skin, Nails - Non-GMO - No Soy - Gluten Free - 120 Capsules - 4 Month Supply</t>
        </is>
      </c>
      <c r="AO225" t="inlineStr">
        <is>
          <t>3000</t>
        </is>
      </c>
      <c r="AP225" t="inlineStr">
        <is>
          <t>1500</t>
        </is>
      </c>
    </row>
    <row r="226">
      <c r="A226" t="inlineStr">
        <is>
          <t>B01MR37SKU</t>
        </is>
      </c>
      <c r="B226" t="inlineStr">
        <is>
          <t>False</t>
        </is>
      </c>
      <c r="C226" t="inlineStr">
        <is>
          <t>B01MR37SKU</t>
        </is>
      </c>
      <c r="D226" t="inlineStr">
        <is>
          <t>MEMBER´S MARK</t>
        </is>
      </c>
      <c r="E226" t="inlineStr">
        <is>
          <t>False</t>
        </is>
      </c>
      <c r="F226" t="inlineStr">
        <is>
          <t>Member's Mark ClearLAX (17.9 Ounce, 3 Pack)</t>
        </is>
      </c>
      <c r="G226">
        <v>1</v>
      </c>
      <c r="H226" s="2" t="str">
        <f>HYPERLINK("https://www.amazon.com/dp/B01MR37SKU", "https://www.amazon.com/dp/B01MR37SKU")</f>
      </c>
      <c r="I226" s="3">
        <v>690</v>
      </c>
      <c r="J226" s="4">
        <v>4.48</v>
      </c>
      <c r="K226" s="5">
        <v>0.14</v>
      </c>
      <c r="L226" s="5">
        <v>0.2938</v>
      </c>
      <c r="M226" t="inlineStr">
        <is>
          <t>True</t>
        </is>
      </c>
      <c r="N226" t="inlineStr">
        <is>
          <t>Health &amp; Household</t>
        </is>
      </c>
      <c r="O226" s="6">
        <v>29637</v>
      </c>
      <c r="P226" s="6">
        <v>55393</v>
      </c>
      <c r="Q226" s="6">
        <v>15820</v>
      </c>
      <c r="R226" s="6">
        <v>221</v>
      </c>
      <c r="S226" s="7">
        <v>15.25</v>
      </c>
      <c r="T226" s="7">
        <v>31.99</v>
      </c>
      <c r="U226">
        <v>36.21</v>
      </c>
      <c r="V226" s="8">
        <v>0</v>
      </c>
      <c r="W226" s="7">
        <v>0</v>
      </c>
      <c r="X226" s="7">
        <v>0</v>
      </c>
      <c r="Y226">
        <v>4.08</v>
      </c>
      <c r="Z226" s="8">
        <v>0</v>
      </c>
      <c r="AB226">
        <v>0</v>
      </c>
      <c r="AC226">
        <v>0</v>
      </c>
      <c r="AD226">
        <v>58</v>
      </c>
      <c r="AE226">
        <v>4</v>
      </c>
      <c r="AF226">
        <v>54</v>
      </c>
      <c r="AG226">
        <v>3</v>
      </c>
      <c r="AH226">
        <v>0</v>
      </c>
      <c r="AI226" t="inlineStr">
        <is>
          <t>False</t>
        </is>
      </c>
      <c r="AJ226" s="2" t="str">
        <f>HYPERLINK("https://keepa.com/#!product/1-B01MR37SKU", "https://keepa.com/#!product/1-B01MR37SKU")</f>
      </c>
      <c r="AK226" s="2" t="str">
        <f>HYPERLINK("https://camelcamelcamel.com/search?sq=B01MR37SKU", "https://camelcamelcamel.com/search?sq=B01MR37SKU")</f>
      </c>
      <c r="AL226" t="inlineStr">
        <is>
          <t/>
        </is>
      </c>
      <c r="AM226" s="10">
        <v>45417.11111111111</v>
      </c>
      <c r="AN226" t="inlineStr">
        <is>
          <t>Member's Mark ClearLAX (17.9 Ounce, 3 Pack)</t>
        </is>
      </c>
      <c r="AO226" t="inlineStr">
        <is>
          <t>918</t>
        </is>
      </c>
      <c r="AP226" t="inlineStr">
        <is>
          <t>TAKE ALL</t>
        </is>
      </c>
    </row>
    <row r="227">
      <c r="A227" t="inlineStr">
        <is>
          <t>B01MR53G6C</t>
        </is>
      </c>
      <c r="B227" t="inlineStr">
        <is>
          <t>False</t>
        </is>
      </c>
      <c r="C227" t="inlineStr">
        <is>
          <t>B01MR53G6C</t>
        </is>
      </c>
      <c r="D227" t="inlineStr">
        <is>
          <t>RAK</t>
        </is>
      </c>
      <c r="E227" t="inlineStr">
        <is>
          <t>False</t>
        </is>
      </c>
      <c r="F227" t="inlineStr">
        <is>
          <t>RAK Magnetic Pickup Tool Gifts for Men - Telescoping Magnet with LED Flashlight and 22 Inches Extendable Neck - Cool Gadget Gifts for Dad - LED Flashlgiht</t>
        </is>
      </c>
      <c r="G227">
        <v>1</v>
      </c>
      <c r="H227" s="2" t="str">
        <f>HYPERLINK("https://www.amazon.com/dp/B01MR53G6C", "https://www.amazon.com/dp/B01MR53G6C")</f>
      </c>
      <c r="I227" s="3">
        <v>1527</v>
      </c>
      <c r="J227" s="11">
        <v>3.84</v>
      </c>
      <c r="K227" s="5">
        <v>0.19949999999999998</v>
      </c>
      <c r="L227" s="15">
        <v>0.4518</v>
      </c>
      <c r="M227" t="inlineStr">
        <is>
          <t>True</t>
        </is>
      </c>
      <c r="N227" t="inlineStr">
        <is>
          <t>Tools &amp; Home Improvement</t>
        </is>
      </c>
      <c r="O227" s="6">
        <v>5541</v>
      </c>
      <c r="P227" s="6">
        <v>6384</v>
      </c>
      <c r="Q227" s="6">
        <v>1508</v>
      </c>
      <c r="R227" s="6">
        <v>174</v>
      </c>
      <c r="S227" s="7">
        <v>8.5</v>
      </c>
      <c r="T227" s="7">
        <v>19.25</v>
      </c>
      <c r="U227">
        <v>19.87</v>
      </c>
      <c r="V227" s="8">
        <v>0</v>
      </c>
      <c r="W227" s="7">
        <v>0</v>
      </c>
      <c r="X227" s="7">
        <v>0</v>
      </c>
      <c r="Y227">
        <v>0.35</v>
      </c>
      <c r="Z227" s="8">
        <v>0</v>
      </c>
      <c r="AB227">
        <v>0</v>
      </c>
      <c r="AC227">
        <v>0</v>
      </c>
      <c r="AD227">
        <v>3</v>
      </c>
      <c r="AE227">
        <v>1</v>
      </c>
      <c r="AF227">
        <v>1</v>
      </c>
      <c r="AG227">
        <v>1</v>
      </c>
      <c r="AH227">
        <v>0</v>
      </c>
      <c r="AI227" t="inlineStr">
        <is>
          <t>True</t>
        </is>
      </c>
      <c r="AJ227" s="2" t="str">
        <f>HYPERLINK("https://keepa.com/#!product/1-B01MR53G6C", "https://keepa.com/#!product/1-B01MR53G6C")</f>
      </c>
      <c r="AK227" s="2" t="str">
        <f>HYPERLINK("https://camelcamelcamel.com/search?sq=B01MR53G6C", "https://camelcamelcamel.com/search?sq=B01MR53G6C")</f>
      </c>
      <c r="AL227" t="inlineStr">
        <is>
          <t/>
        </is>
      </c>
      <c r="AM227" s="10">
        <v>45417.11111111111</v>
      </c>
      <c r="AN227" t="inlineStr">
        <is>
          <t>RAK Magnetic Pickup Tool Gifts for Men - Telescoping Magnet with LED Flashlight and 22 Inches Extendable Neck - Cool Gadget Gifts for Dad - LED Flashlgiht</t>
        </is>
      </c>
      <c r="AO227" t="inlineStr">
        <is>
          <t>2000</t>
        </is>
      </c>
      <c r="AP227" t="inlineStr">
        <is>
          <t>TAKE ALL</t>
        </is>
      </c>
    </row>
    <row r="228">
      <c r="A228" t="inlineStr">
        <is>
          <t>B01MRI9QJZ</t>
        </is>
      </c>
      <c r="B228" t="inlineStr">
        <is>
          <t>False</t>
        </is>
      </c>
      <c r="C228" t="inlineStr">
        <is>
          <t>B01MRI9QJZ</t>
        </is>
      </c>
      <c r="D228" t="inlineStr">
        <is>
          <t>Greenco</t>
        </is>
      </c>
      <c r="E228" t="inlineStr">
        <is>
          <t>False</t>
        </is>
      </c>
      <c r="F228" t="inlineStr">
        <is>
          <t>Greenco Set of 3 Floating “U” Shelves, Easy-to-Assemble Floating Wall Mount Shelves for Bedrooms and Living Rooms, White Finish</t>
        </is>
      </c>
      <c r="G228">
        <v>1</v>
      </c>
      <c r="H228" s="2" t="str">
        <f>HYPERLINK("https://www.amazon.com/dp/B01MRI9QJZ", "https://www.amazon.com/dp/B01MRI9QJZ")</f>
      </c>
      <c r="I228" s="3">
        <v>142</v>
      </c>
      <c r="J228" s="11">
        <v>1.27</v>
      </c>
      <c r="K228" s="5">
        <v>0.0572</v>
      </c>
      <c r="L228" s="5">
        <v>0.1588</v>
      </c>
      <c r="M228" t="inlineStr">
        <is>
          <t>True</t>
        </is>
      </c>
      <c r="N228" t="inlineStr">
        <is>
          <t>Home &amp; Kitchen</t>
        </is>
      </c>
      <c r="O228" s="6">
        <v>166497</v>
      </c>
      <c r="P228" s="6">
        <v>119718</v>
      </c>
      <c r="Q228" s="6">
        <v>65655</v>
      </c>
      <c r="R228" s="6">
        <v>181</v>
      </c>
      <c r="S228" s="7">
        <v>8</v>
      </c>
      <c r="T228" s="7">
        <v>22.2</v>
      </c>
      <c r="U228">
        <v>24.65</v>
      </c>
      <c r="V228" s="8">
        <v>0</v>
      </c>
      <c r="W228" s="7">
        <v>0</v>
      </c>
      <c r="X228" s="7">
        <v>0</v>
      </c>
      <c r="Y228">
        <v>4</v>
      </c>
      <c r="Z228" s="9">
        <v>1</v>
      </c>
      <c r="AB228">
        <v>0</v>
      </c>
      <c r="AC228">
        <v>0</v>
      </c>
      <c r="AD228">
        <v>1</v>
      </c>
      <c r="AE228">
        <v>1</v>
      </c>
      <c r="AF228">
        <v>0</v>
      </c>
      <c r="AG228">
        <v>1</v>
      </c>
      <c r="AH228">
        <v>9</v>
      </c>
      <c r="AI228" t="inlineStr">
        <is>
          <t>False</t>
        </is>
      </c>
      <c r="AJ228" s="2" t="str">
        <f>HYPERLINK("https://keepa.com/#!product/1-B01MRI9QJZ", "https://keepa.com/#!product/1-B01MRI9QJZ")</f>
      </c>
      <c r="AK228" s="2" t="str">
        <f>HYPERLINK("https://camelcamelcamel.com/search?sq=B01MRI9QJZ", "https://camelcamelcamel.com/search?sq=B01MRI9QJZ")</f>
      </c>
      <c r="AL228" t="inlineStr">
        <is>
          <t/>
        </is>
      </c>
      <c r="AM228" s="10">
        <v>45417.11111111111</v>
      </c>
      <c r="AN228" t="inlineStr">
        <is>
          <t>Greenco Set of 3 Floating â€œUâ€ Shelves, Easy-to-Assemble Floating Wall Mount Shelves for Bedrooms and Living Rooms, White Finish</t>
        </is>
      </c>
      <c r="AO228" t="inlineStr">
        <is>
          <t>1000</t>
        </is>
      </c>
      <c r="AP228" t="inlineStr">
        <is>
          <t>TAKE ALL</t>
        </is>
      </c>
    </row>
    <row r="229">
      <c r="A229" t="inlineStr">
        <is>
          <t>B01MZD6VN0</t>
        </is>
      </c>
      <c r="B229" t="inlineStr">
        <is>
          <t>False</t>
        </is>
      </c>
      <c r="C229" t="inlineStr">
        <is>
          <t>B01MZD6VN0</t>
        </is>
      </c>
      <c r="D229" t="inlineStr">
        <is>
          <t>Ascent</t>
        </is>
      </c>
      <c r="E229" t="inlineStr">
        <is>
          <t>False</t>
        </is>
      </c>
      <c r="F229" t="inlineStr">
        <is>
          <t>Ascent 100% Whey Protein Powder - Post Workout Whey Protein Isolate, Zero Artificial Flavors &amp; Sweeteners, Soy &amp; Gluten Free, 5.5g BCAA, 2.6g Leucine, Essential Amino Acids, Chocolate 4 lb</t>
        </is>
      </c>
      <c r="G229">
        <v>1</v>
      </c>
      <c r="H229" s="2" t="str">
        <f>HYPERLINK("https://www.amazon.com/dp/B01MZD6VN0", "https://www.amazon.com/dp/B01MZD6VN0")</f>
      </c>
      <c r="I229" s="3">
        <v>15986</v>
      </c>
      <c r="J229" s="4">
        <v>15.6</v>
      </c>
      <c r="K229" s="5">
        <v>0.2143</v>
      </c>
      <c r="L229" s="15">
        <v>0.4105</v>
      </c>
      <c r="M229" t="inlineStr">
        <is>
          <t>True</t>
        </is>
      </c>
      <c r="N229" t="inlineStr">
        <is>
          <t>Health &amp; Household</t>
        </is>
      </c>
      <c r="O229" s="6">
        <v>1275</v>
      </c>
      <c r="P229" s="6">
        <v>1348</v>
      </c>
      <c r="Q229" s="6">
        <v>442</v>
      </c>
      <c r="R229" s="6">
        <v>260</v>
      </c>
      <c r="S229" s="7">
        <v>38</v>
      </c>
      <c r="T229" s="7">
        <v>72.81</v>
      </c>
      <c r="U229">
        <v>73.41</v>
      </c>
      <c r="V229" s="8">
        <v>0</v>
      </c>
      <c r="W229" s="7">
        <v>0</v>
      </c>
      <c r="X229" s="7">
        <v>0</v>
      </c>
      <c r="Y229">
        <v>4.37</v>
      </c>
      <c r="Z229" s="9">
        <v>0.05</v>
      </c>
      <c r="AB229">
        <v>0</v>
      </c>
      <c r="AC229">
        <v>0</v>
      </c>
      <c r="AD229">
        <v>26</v>
      </c>
      <c r="AE229">
        <v>12</v>
      </c>
      <c r="AF229">
        <v>14</v>
      </c>
      <c r="AG229">
        <v>9</v>
      </c>
      <c r="AH229">
        <v>10</v>
      </c>
      <c r="AI229" t="inlineStr">
        <is>
          <t>False</t>
        </is>
      </c>
      <c r="AJ229" s="2" t="str">
        <f>HYPERLINK("https://keepa.com/#!product/1-B01MZD6VN0", "https://keepa.com/#!product/1-B01MZD6VN0")</f>
      </c>
      <c r="AK229" s="2" t="str">
        <f>HYPERLINK("https://camelcamelcamel.com/search?sq=B01MZD6VN0", "https://camelcamelcamel.com/search?sq=B01MZD6VN0")</f>
      </c>
      <c r="AL229" t="inlineStr">
        <is>
          <t/>
        </is>
      </c>
      <c r="AM229" s="10">
        <v>45417.11111111111</v>
      </c>
      <c r="AN229" t="inlineStr">
        <is>
          <t>Ascent 100% Whey Protein Powder - Post Workout Whey Protein Isolate, Zero Artificial Flavors &amp; Sweeteners, Soy &amp; Gluten Free, 5.5g BCAA, 2.6g Leucine, Essential Amino Acids, Chocolate 4 lb</t>
        </is>
      </c>
      <c r="AO229" t="inlineStr">
        <is>
          <t>5000</t>
        </is>
      </c>
      <c r="AP229" t="inlineStr">
        <is>
          <t>500</t>
        </is>
      </c>
    </row>
    <row r="230">
      <c r="A230" t="inlineStr">
        <is>
          <t>B01N0FOEKK</t>
        </is>
      </c>
      <c r="B230" t="inlineStr">
        <is>
          <t>False</t>
        </is>
      </c>
      <c r="C230" t="inlineStr">
        <is>
          <t>B01N0FOEKK</t>
        </is>
      </c>
      <c r="D230" t="inlineStr">
        <is>
          <t>Beurer</t>
        </is>
      </c>
      <c r="E230" t="inlineStr">
        <is>
          <t>False</t>
        </is>
      </c>
      <c r="F230" t="inlineStr">
        <is>
          <t>Beurer TL50 Daylight Lamp | UV-free Lamp with Natural Bright Sun Light | Jet Lag Lamp | Full Spectrum, 10,000 lux LED | Big Surfaced Daylight for Home &amp; Office, 3 Piece Set</t>
        </is>
      </c>
      <c r="G230">
        <v>1</v>
      </c>
      <c r="H230" s="2" t="str">
        <f>HYPERLINK("https://www.amazon.com/dp/B01N0FOEKK", "https://www.amazon.com/dp/B01N0FOEKK")</f>
      </c>
      <c r="I230" s="14">
        <v>5</v>
      </c>
      <c r="M230" t="inlineStr">
        <is>
          <t>False</t>
        </is>
      </c>
      <c r="N230" t="inlineStr">
        <is>
          <t>Projector Bulbs</t>
        </is>
      </c>
      <c r="O230" s="6">
        <v>1381</v>
      </c>
      <c r="P230" s="6">
        <v>0</v>
      </c>
      <c r="Q230" s="6">
        <v>0</v>
      </c>
      <c r="R230" s="6">
        <v>0</v>
      </c>
      <c r="S230" s="7">
        <v>49</v>
      </c>
      <c r="U230">
        <v>83.85</v>
      </c>
      <c r="X230" s="7">
        <v>0</v>
      </c>
      <c r="Y230">
        <v>2.5</v>
      </c>
      <c r="Z230" s="9">
        <v>0.36</v>
      </c>
      <c r="AB230">
        <v>0</v>
      </c>
      <c r="AC230">
        <v>0</v>
      </c>
      <c r="AD230">
        <v>0</v>
      </c>
      <c r="AE230">
        <v>0</v>
      </c>
      <c r="AF230">
        <v>0</v>
      </c>
      <c r="AG230">
        <v>0</v>
      </c>
      <c r="AH230">
        <v>0</v>
      </c>
      <c r="AI230" t="inlineStr">
        <is>
          <t>False</t>
        </is>
      </c>
      <c r="AJ230" s="2" t="str">
        <f>HYPERLINK("https://keepa.com/#!product/1-B01N0FOEKK", "https://keepa.com/#!product/1-B01N0FOEKK")</f>
      </c>
      <c r="AK230" s="2" t="str">
        <f>HYPERLINK("https://camelcamelcamel.com/search?sq=B01N0FOEKK", "https://camelcamelcamel.com/search?sq=B01N0FOEKK")</f>
      </c>
      <c r="AL230" t="inlineStr">
        <is>
          <t/>
        </is>
      </c>
      <c r="AM230" s="10">
        <v>45417.11111111111</v>
      </c>
      <c r="AN230" t="inlineStr">
        <is>
          <t>Beurer TL50 Daylight Lamp | UV-free Lamp with Natural Bright Sun Light | Jet Lag Lamp | Full Spectrum, 10,000 lux LED | Big Surfaced Daylight for Home &amp; Office, 3 Piece Set</t>
        </is>
      </c>
      <c r="AO230" t="inlineStr">
        <is>
          <t>500</t>
        </is>
      </c>
      <c r="AP230" t="inlineStr">
        <is>
          <t>TAKE ALL</t>
        </is>
      </c>
    </row>
    <row r="231">
      <c r="A231" t="inlineStr">
        <is>
          <t>B01N1ZHIQV</t>
        </is>
      </c>
      <c r="B231" t="inlineStr">
        <is>
          <t>False</t>
        </is>
      </c>
      <c r="C231" t="inlineStr">
        <is>
          <t>B01N1ZHIQV</t>
        </is>
      </c>
      <c r="D231" t="inlineStr">
        <is>
          <t>MEMBER´S MARK</t>
        </is>
      </c>
      <c r="E231" t="inlineStr">
        <is>
          <t>False</t>
        </is>
      </c>
      <c r="F231" t="inlineStr">
        <is>
          <t>Members Mark Omega 3-6-9 Dietary Supplement (325 Count)</t>
        </is>
      </c>
      <c r="G231">
        <v>1</v>
      </c>
      <c r="H231" s="2" t="str">
        <f>HYPERLINK("https://www.amazon.com/dp/B01N1ZHIQV", "https://www.amazon.com/dp/B01N1ZHIQV")</f>
      </c>
      <c r="I231" s="16">
        <v>53</v>
      </c>
      <c r="J231" s="4">
        <v>7.02</v>
      </c>
      <c r="K231" s="5">
        <v>0.2601</v>
      </c>
      <c r="L231" s="15">
        <v>0.6686</v>
      </c>
      <c r="M231" t="inlineStr">
        <is>
          <t>True</t>
        </is>
      </c>
      <c r="N231" t="inlineStr">
        <is>
          <t>Health &amp; Household</t>
        </is>
      </c>
      <c r="O231" s="6">
        <v>144736</v>
      </c>
      <c r="P231" s="6">
        <v>101447</v>
      </c>
      <c r="Q231" s="6">
        <v>58494</v>
      </c>
      <c r="R231" s="6">
        <v>270</v>
      </c>
      <c r="S231" s="7">
        <v>10.5</v>
      </c>
      <c r="T231" s="7">
        <v>26.99</v>
      </c>
      <c r="U231">
        <v>26.52</v>
      </c>
      <c r="V231" s="8">
        <v>0</v>
      </c>
      <c r="W231" s="7">
        <v>0</v>
      </c>
      <c r="X231" s="7">
        <v>0</v>
      </c>
      <c r="Y231">
        <v>1.32</v>
      </c>
      <c r="Z231" s="8">
        <v>0</v>
      </c>
      <c r="AB231">
        <v>0</v>
      </c>
      <c r="AC231">
        <v>0</v>
      </c>
      <c r="AD231">
        <v>56</v>
      </c>
      <c r="AE231">
        <v>6</v>
      </c>
      <c r="AF231">
        <v>50</v>
      </c>
      <c r="AG231">
        <v>0</v>
      </c>
      <c r="AH231">
        <v>0</v>
      </c>
      <c r="AI231" t="inlineStr">
        <is>
          <t>False</t>
        </is>
      </c>
      <c r="AJ231" s="2" t="str">
        <f>HYPERLINK("https://keepa.com/#!product/1-B01N1ZHIQV", "https://keepa.com/#!product/1-B01N1ZHIQV")</f>
      </c>
      <c r="AK231" s="2" t="str">
        <f>HYPERLINK("https://camelcamelcamel.com/search?sq=B01N1ZHIQV", "https://camelcamelcamel.com/search?sq=B01N1ZHIQV")</f>
      </c>
      <c r="AL231" t="inlineStr">
        <is>
          <t/>
        </is>
      </c>
      <c r="AM231" s="10">
        <v>45417.11111111111</v>
      </c>
      <c r="AN231" t="inlineStr">
        <is>
          <t>Members Mark Omega 3-6-9 Dietary Supplement (325 Count)</t>
        </is>
      </c>
      <c r="AO231" t="inlineStr">
        <is>
          <t>1000</t>
        </is>
      </c>
      <c r="AP231" t="inlineStr">
        <is>
          <t>TAKE ALL</t>
        </is>
      </c>
    </row>
    <row r="232">
      <c r="A232" t="inlineStr">
        <is>
          <t>B01N2KFHRS</t>
        </is>
      </c>
      <c r="B232" t="inlineStr">
        <is>
          <t>False</t>
        </is>
      </c>
      <c r="C232" t="inlineStr">
        <is>
          <t>B01N2KFHRS</t>
        </is>
      </c>
      <c r="D232" t="inlineStr">
        <is>
          <t>Peet's Coffee</t>
        </is>
      </c>
      <c r="E232" t="inlineStr">
        <is>
          <t>False</t>
        </is>
      </c>
      <c r="F232" t="inlineStr">
        <is>
          <t>Peet's Coffee, Dark Roast K-Cup Pods for Keurig Brewers - Major Dickason's Blend 75 Count (1 Box of 75 K-Cup Pods)</t>
        </is>
      </c>
      <c r="G232">
        <v>1</v>
      </c>
      <c r="H232" s="2" t="str">
        <f>HYPERLINK("https://www.amazon.com/dp/B01N2KFHRS", "https://www.amazon.com/dp/B01N2KFHRS")</f>
      </c>
      <c r="I232" s="3">
        <v>22366</v>
      </c>
      <c r="J232" s="4">
        <v>6.32</v>
      </c>
      <c r="K232" s="5">
        <v>0.158</v>
      </c>
      <c r="L232" s="15">
        <v>0.32409999999999994</v>
      </c>
      <c r="M232" t="inlineStr">
        <is>
          <t>True</t>
        </is>
      </c>
      <c r="N232" t="inlineStr">
        <is>
          <t>Grocery &amp; Gourmet Food</t>
        </is>
      </c>
      <c r="O232" s="6">
        <v>7</v>
      </c>
      <c r="P232" s="6">
        <v>29</v>
      </c>
      <c r="Q232" s="6">
        <v>7</v>
      </c>
      <c r="R232" s="6">
        <v>213</v>
      </c>
      <c r="S232" s="7">
        <v>19.5</v>
      </c>
      <c r="T232" s="7">
        <v>39.99</v>
      </c>
      <c r="U232">
        <v>39.96</v>
      </c>
      <c r="V232" s="8">
        <v>0</v>
      </c>
      <c r="W232" s="7">
        <v>0</v>
      </c>
      <c r="X232" s="7">
        <v>0</v>
      </c>
      <c r="Y232">
        <v>3.11</v>
      </c>
      <c r="Z232" s="9">
        <v>1</v>
      </c>
      <c r="AB232">
        <v>0</v>
      </c>
      <c r="AC232">
        <v>0</v>
      </c>
      <c r="AD232">
        <v>57</v>
      </c>
      <c r="AE232">
        <v>2</v>
      </c>
      <c r="AF232">
        <v>55</v>
      </c>
      <c r="AG232">
        <v>1</v>
      </c>
      <c r="AH232">
        <v>104</v>
      </c>
      <c r="AI232" t="inlineStr">
        <is>
          <t>False</t>
        </is>
      </c>
      <c r="AJ232" s="2" t="str">
        <f>HYPERLINK("https://keepa.com/#!product/1-B01N2KFHRS", "https://keepa.com/#!product/1-B01N2KFHRS")</f>
      </c>
      <c r="AK232" s="2" t="str">
        <f>HYPERLINK("https://camelcamelcamel.com/search?sq=B01N2KFHRS", "https://camelcamelcamel.com/search?sq=B01N2KFHRS")</f>
      </c>
      <c r="AL232" t="inlineStr">
        <is>
          <t/>
        </is>
      </c>
      <c r="AM232" s="10">
        <v>45417.11111111111</v>
      </c>
      <c r="AN232" t="inlineStr">
        <is>
          <t>Peet's Coffee, Dark Roast K-Cup Pods for Keurig Brewers - Major Dickason's Blend 75 Count (1 Box of 75 K-Cup Pods)</t>
        </is>
      </c>
      <c r="AO232" t="inlineStr">
        <is>
          <t>2304</t>
        </is>
      </c>
      <c r="AP232" t="inlineStr">
        <is>
          <t>1200</t>
        </is>
      </c>
    </row>
    <row r="233">
      <c r="A233" t="inlineStr">
        <is>
          <t>B01N4W8UCC</t>
        </is>
      </c>
      <c r="B233" t="inlineStr">
        <is>
          <t>False</t>
        </is>
      </c>
      <c r="C233" t="inlineStr">
        <is>
          <t>B01N4W8UCC</t>
        </is>
      </c>
      <c r="D233" t="inlineStr">
        <is>
          <t>SHARPIE</t>
        </is>
      </c>
      <c r="E233" t="inlineStr">
        <is>
          <t>False</t>
        </is>
      </c>
      <c r="F233" t="inlineStr">
        <is>
          <t>Sharpie Fine Tip Permanent Marker - Assorted Colours (Pack of 8)</t>
        </is>
      </c>
      <c r="G233">
        <v>1</v>
      </c>
      <c r="H233" s="2" t="str">
        <f>HYPERLINK("https://www.amazon.com/dp/B01N4W8UCC", "https://www.amazon.com/dp/B01N4W8UCC")</f>
      </c>
      <c r="I233" s="3">
        <v>832</v>
      </c>
      <c r="J233" s="12">
        <v>-3.91</v>
      </c>
      <c r="K233" s="13">
        <v>-0.301</v>
      </c>
      <c r="L233" s="13">
        <v>-0.34759999999999996</v>
      </c>
      <c r="M233" t="inlineStr">
        <is>
          <t>True</t>
        </is>
      </c>
      <c r="N233" t="inlineStr">
        <is>
          <t>Office Products</t>
        </is>
      </c>
      <c r="O233" s="6">
        <v>7114</v>
      </c>
      <c r="P233" s="6">
        <v>3339</v>
      </c>
      <c r="Q233" s="6">
        <v>565</v>
      </c>
      <c r="R233" s="6">
        <v>254</v>
      </c>
      <c r="S233" s="7">
        <v>11.25</v>
      </c>
      <c r="T233" s="7">
        <v>12.99</v>
      </c>
      <c r="U233">
        <v>19.02</v>
      </c>
      <c r="V233" s="8">
        <v>0</v>
      </c>
      <c r="W233" s="7">
        <v>0</v>
      </c>
      <c r="X233" s="7">
        <v>0</v>
      </c>
      <c r="Y233">
        <v>0.18</v>
      </c>
      <c r="Z233" s="8">
        <v>0</v>
      </c>
      <c r="AB233">
        <v>0</v>
      </c>
      <c r="AC233">
        <v>0</v>
      </c>
      <c r="AD233">
        <v>6</v>
      </c>
      <c r="AE233">
        <v>1</v>
      </c>
      <c r="AF233">
        <v>5</v>
      </c>
      <c r="AG233">
        <v>1</v>
      </c>
      <c r="AH233">
        <v>17</v>
      </c>
      <c r="AI233" t="inlineStr">
        <is>
          <t>True</t>
        </is>
      </c>
      <c r="AJ233" s="2" t="str">
        <f>HYPERLINK("https://keepa.com/#!product/1-B01N4W8UCC", "https://keepa.com/#!product/1-B01N4W8UCC")</f>
      </c>
      <c r="AK233" s="2" t="str">
        <f>HYPERLINK("https://camelcamelcamel.com/search?sq=B01N4W8UCC", "https://camelcamelcamel.com/search?sq=B01N4W8UCC")</f>
      </c>
      <c r="AL233" t="inlineStr">
        <is>
          <t/>
        </is>
      </c>
      <c r="AM233" s="10">
        <v>45417.11111111111</v>
      </c>
      <c r="AN233" t="inlineStr">
        <is>
          <t>Sharpie Fine Tip Permanent Marker - Assorted Colours (Pack of 8)</t>
        </is>
      </c>
      <c r="AO233" t="inlineStr">
        <is>
          <t>3888</t>
        </is>
      </c>
      <c r="AP233" t="inlineStr">
        <is>
          <t>1000</t>
        </is>
      </c>
    </row>
    <row r="234">
      <c r="A234" t="inlineStr">
        <is>
          <t>B01N5MBY3J</t>
        </is>
      </c>
      <c r="B234" t="inlineStr">
        <is>
          <t>False</t>
        </is>
      </c>
      <c r="C234" t="inlineStr">
        <is>
          <t>B01N5MBY3J</t>
        </is>
      </c>
      <c r="D234" t="inlineStr">
        <is>
          <t>Energizer</t>
        </is>
      </c>
      <c r="E234" t="inlineStr">
        <is>
          <t>True</t>
        </is>
      </c>
      <c r="F234" t="inlineStr">
        <is>
          <t>Energizer LED Camping Lantern Flashlight, Battery Powered LED Lanterns for Hurricane Supplies, Survival Kit, Camping Accessories, 500 Lumens Water Resistant Camping Light</t>
        </is>
      </c>
      <c r="G234">
        <v>1</v>
      </c>
      <c r="H234" s="2" t="str">
        <f>HYPERLINK("https://www.amazon.com/dp/B01N5MBY3J", "https://www.amazon.com/dp/B01N5MBY3J")</f>
      </c>
      <c r="I234" s="3">
        <v>127</v>
      </c>
      <c r="J234" s="12">
        <v>-0.37</v>
      </c>
      <c r="K234" s="13">
        <v>-0.0206</v>
      </c>
      <c r="L234" s="13">
        <v>-0.0379</v>
      </c>
      <c r="M234" t="inlineStr">
        <is>
          <t>True</t>
        </is>
      </c>
      <c r="N234" t="inlineStr">
        <is>
          <t>Sports &amp; Outdoors</t>
        </is>
      </c>
      <c r="O234" s="6">
        <v>49240</v>
      </c>
      <c r="P234" s="6">
        <v>36995</v>
      </c>
      <c r="Q234" s="6">
        <v>6116</v>
      </c>
      <c r="R234" s="6">
        <v>168</v>
      </c>
      <c r="S234" s="7">
        <v>9.75</v>
      </c>
      <c r="T234" s="7">
        <v>17.99</v>
      </c>
      <c r="U234">
        <v>19.41</v>
      </c>
      <c r="V234" s="8">
        <v>0</v>
      </c>
      <c r="W234" s="7">
        <v>0</v>
      </c>
      <c r="X234" s="7">
        <v>0</v>
      </c>
      <c r="Y234">
        <v>1.18</v>
      </c>
      <c r="Z234" s="9">
        <v>1</v>
      </c>
      <c r="AB234">
        <v>0</v>
      </c>
      <c r="AC234">
        <v>0</v>
      </c>
      <c r="AD234">
        <v>15</v>
      </c>
      <c r="AE234">
        <v>6</v>
      </c>
      <c r="AF234">
        <v>7</v>
      </c>
      <c r="AG234">
        <v>3</v>
      </c>
      <c r="AH234">
        <v>2</v>
      </c>
      <c r="AI234" t="inlineStr">
        <is>
          <t>False</t>
        </is>
      </c>
      <c r="AJ234" s="2" t="str">
        <f>HYPERLINK("https://keepa.com/#!product/1-B01N5MBY3J", "https://keepa.com/#!product/1-B01N5MBY3J")</f>
      </c>
      <c r="AK234" s="2" t="str">
        <f>HYPERLINK("https://camelcamelcamel.com/search?sq=B01N5MBY3J", "https://camelcamelcamel.com/search?sq=B01N5MBY3J")</f>
      </c>
      <c r="AL234" t="inlineStr">
        <is>
          <t/>
        </is>
      </c>
      <c r="AM234" s="10">
        <v>45417.11111111111</v>
      </c>
      <c r="AN234" t="inlineStr">
        <is>
          <t>Energizer LED Camping Lantern Flashlight, Battery Powered LED Lanterns for Hurricane Supplies, Survival Kit, Camping Accessories, 500 Lumens Water Resistant Camping Light</t>
        </is>
      </c>
      <c r="AO234" t="inlineStr">
        <is>
          <t>500</t>
        </is>
      </c>
      <c r="AP234" t="inlineStr">
        <is>
          <t>250</t>
        </is>
      </c>
    </row>
    <row r="235">
      <c r="A235" t="inlineStr">
        <is>
          <t>B01N6WZA8U</t>
        </is>
      </c>
      <c r="B235" t="inlineStr">
        <is>
          <t>False</t>
        </is>
      </c>
      <c r="C235" t="inlineStr">
        <is>
          <t>B01N6WZA8U</t>
        </is>
      </c>
      <c r="D235" t="inlineStr">
        <is>
          <t>Dove</t>
        </is>
      </c>
      <c r="E235" t="inlineStr">
        <is>
          <t>True</t>
        </is>
      </c>
      <c r="F235" t="inlineStr">
        <is>
          <t>Dove Fresh Revive Anti Pe Size 2.6z Dove Advance Care Go Fresh Revive Anti Perspirant 2.6z</t>
        </is>
      </c>
      <c r="G235">
        <v>12</v>
      </c>
      <c r="H235" s="2" t="str">
        <f>HYPERLINK("https://www.amazon.com/dp/B01N6WZA8U", "https://www.amazon.com/dp/B01N6WZA8U")</f>
      </c>
      <c r="I235" s="3">
        <v>1580</v>
      </c>
      <c r="J235" s="12">
        <v>-603.32</v>
      </c>
      <c r="K235" s="13">
        <v>-8.8554</v>
      </c>
      <c r="L235" s="13">
        <v>-0.9225</v>
      </c>
      <c r="M235" t="inlineStr">
        <is>
          <t>True</t>
        </is>
      </c>
      <c r="N235" t="inlineStr">
        <is>
          <t>Beauty &amp; Personal Care</t>
        </is>
      </c>
      <c r="O235" s="6">
        <v>11720</v>
      </c>
      <c r="P235" s="6">
        <v>13679</v>
      </c>
      <c r="Q235" s="6">
        <v>7480</v>
      </c>
      <c r="R235" s="6">
        <v>210</v>
      </c>
      <c r="S235" s="7">
        <v>54.5</v>
      </c>
      <c r="T235" s="7">
        <v>68.13</v>
      </c>
      <c r="U235">
        <v>77.32</v>
      </c>
      <c r="V235" s="8">
        <v>0</v>
      </c>
      <c r="W235" s="7">
        <v>0</v>
      </c>
      <c r="X235" s="7">
        <v>0</v>
      </c>
      <c r="Y235">
        <v>3.5</v>
      </c>
      <c r="Z235" s="8">
        <v>0</v>
      </c>
      <c r="AB235">
        <v>0</v>
      </c>
      <c r="AC235">
        <v>0</v>
      </c>
      <c r="AD235">
        <v>9</v>
      </c>
      <c r="AE235">
        <v>0</v>
      </c>
      <c r="AF235">
        <v>9</v>
      </c>
      <c r="AG235">
        <v>1</v>
      </c>
      <c r="AH235">
        <v>30</v>
      </c>
      <c r="AI235" t="inlineStr">
        <is>
          <t>False</t>
        </is>
      </c>
      <c r="AJ235" s="2" t="str">
        <f>HYPERLINK("https://keepa.com/#!product/1-B01N6WZA8U", "https://keepa.com/#!product/1-B01N6WZA8U")</f>
      </c>
      <c r="AK235" s="2" t="str">
        <f>HYPERLINK("https://camelcamelcamel.com/search?sq=B01N6WZA8U", "https://camelcamelcamel.com/search?sq=B01N6WZA8U")</f>
      </c>
      <c r="AL235" t="inlineStr">
        <is>
          <t/>
        </is>
      </c>
      <c r="AM235" s="10">
        <v>45417.11111111111</v>
      </c>
      <c r="AN235" t="inlineStr">
        <is>
          <t>Dove Fresh Revive Anti Pe Size 2.6z Dove Advance Care Go Fresh Revive Anti Perspirant 2.6z</t>
        </is>
      </c>
      <c r="AO235" t="inlineStr">
        <is>
          <t>400</t>
        </is>
      </c>
      <c r="AP235" t="inlineStr">
        <is>
          <t>200</t>
        </is>
      </c>
    </row>
    <row r="236">
      <c r="A236" t="inlineStr">
        <is>
          <t>B01N8ZDV26</t>
        </is>
      </c>
      <c r="B236" t="inlineStr">
        <is>
          <t>False</t>
        </is>
      </c>
      <c r="C236" t="inlineStr">
        <is>
          <t>B01N8ZDV26</t>
        </is>
      </c>
      <c r="D236" t="inlineStr">
        <is>
          <t>Isagenix</t>
        </is>
      </c>
      <c r="E236" t="inlineStr">
        <is>
          <t>False</t>
        </is>
      </c>
      <c r="F236" t="inlineStr">
        <is>
          <t>Isagenix IsaLean Shake - Nutrient-Dense Protein Powder for Ready-to-Drink Shake - Creamy French Vanilla. 14 Packets</t>
        </is>
      </c>
      <c r="G236">
        <v>1</v>
      </c>
      <c r="H236" s="2" t="str">
        <f>HYPERLINK("https://www.amazon.com/dp/B01N8ZDV26", "https://www.amazon.com/dp/B01N8ZDV26")</f>
      </c>
      <c r="I236" s="3">
        <v>162</v>
      </c>
      <c r="J236" s="4">
        <v>20.13</v>
      </c>
      <c r="K236" s="5">
        <v>0.2917</v>
      </c>
      <c r="L236" s="15">
        <v>0.6194</v>
      </c>
      <c r="M236" t="inlineStr">
        <is>
          <t>True</t>
        </is>
      </c>
      <c r="N236" t="inlineStr">
        <is>
          <t>Grocery &amp; Gourmet Food</t>
        </is>
      </c>
      <c r="O236" s="6">
        <v>38903</v>
      </c>
      <c r="P236" s="6">
        <v>44077</v>
      </c>
      <c r="Q236" s="6">
        <v>21493</v>
      </c>
      <c r="R236" s="6">
        <v>120</v>
      </c>
      <c r="S236" s="7">
        <v>32.5</v>
      </c>
      <c r="T236" s="7">
        <v>69</v>
      </c>
      <c r="U236">
        <v>62.05</v>
      </c>
      <c r="V236" s="8">
        <v>0</v>
      </c>
      <c r="W236" s="7">
        <v>0</v>
      </c>
      <c r="X236" s="7">
        <v>0</v>
      </c>
      <c r="Y236">
        <v>2.14</v>
      </c>
      <c r="Z236" s="9">
        <v>0.02</v>
      </c>
      <c r="AB236">
        <v>0</v>
      </c>
      <c r="AC236">
        <v>0</v>
      </c>
      <c r="AD236">
        <v>1</v>
      </c>
      <c r="AE236">
        <v>1</v>
      </c>
      <c r="AF236">
        <v>0</v>
      </c>
      <c r="AG236">
        <v>1</v>
      </c>
      <c r="AH236">
        <v>2</v>
      </c>
      <c r="AI236" t="inlineStr">
        <is>
          <t>False</t>
        </is>
      </c>
      <c r="AJ236" s="2" t="str">
        <f>HYPERLINK("https://keepa.com/#!product/1-B01N8ZDV26", "https://keepa.com/#!product/1-B01N8ZDV26")</f>
      </c>
      <c r="AK236" s="2" t="str">
        <f>HYPERLINK("https://camelcamelcamel.com/search?sq=B01N8ZDV26", "https://camelcamelcamel.com/search?sq=B01N8ZDV26")</f>
      </c>
      <c r="AL236" t="inlineStr">
        <is>
          <t/>
        </is>
      </c>
      <c r="AM236" s="10">
        <v>45417.11111111111</v>
      </c>
      <c r="AN236" t="inlineStr">
        <is>
          <t>Isagenix IsaLean Shake - Nutrient-Dense Protein Powder for Ready-to-Drink Shake - Creamy French Vanilla. 14 Packets</t>
        </is>
      </c>
      <c r="AO236" t="inlineStr">
        <is>
          <t>1000</t>
        </is>
      </c>
      <c r="AP236" t="inlineStr">
        <is>
          <t>250</t>
        </is>
      </c>
    </row>
    <row r="237">
      <c r="A237" t="inlineStr">
        <is>
          <t>B01NAUI4JE</t>
        </is>
      </c>
      <c r="B237" t="inlineStr">
        <is>
          <t>False</t>
        </is>
      </c>
      <c r="C237" t="inlineStr">
        <is>
          <t>B01NAUI4JE</t>
        </is>
      </c>
      <c r="D237" t="inlineStr">
        <is>
          <t>Boiron</t>
        </is>
      </c>
      <c r="E237" t="inlineStr">
        <is>
          <t>False</t>
        </is>
      </c>
      <c r="F237" t="inlineStr">
        <is>
          <t>Boiron Thuja Occidentalis 30C Wart Removal Homeopathic Medicine for Painless Removal of Warts from Plantar (Feet), Hands, and Other Bodily Warts -80 Count (Pack of 3)</t>
        </is>
      </c>
      <c r="G237">
        <v>1</v>
      </c>
      <c r="H237" s="2" t="str">
        <f>HYPERLINK("https://www.amazon.com/dp/B01NAUI4JE", "https://www.amazon.com/dp/B01NAUI4JE")</f>
      </c>
      <c r="I237" s="3">
        <v>2930</v>
      </c>
      <c r="J237" s="11">
        <v>2.67</v>
      </c>
      <c r="K237" s="5">
        <v>0.1732</v>
      </c>
      <c r="L237" s="15">
        <v>0.3956</v>
      </c>
      <c r="M237" t="inlineStr">
        <is>
          <t>True</t>
        </is>
      </c>
      <c r="N237" t="inlineStr">
        <is>
          <t>Health &amp; Household</t>
        </is>
      </c>
      <c r="O237" s="6">
        <v>9022</v>
      </c>
      <c r="P237" s="6">
        <v>9504</v>
      </c>
      <c r="Q237" s="6">
        <v>7049</v>
      </c>
      <c r="R237" s="6">
        <v>217</v>
      </c>
      <c r="S237" s="7">
        <v>6.75</v>
      </c>
      <c r="T237" s="7">
        <v>15.42</v>
      </c>
      <c r="U237">
        <v>14.82</v>
      </c>
      <c r="V237" s="8">
        <v>0</v>
      </c>
      <c r="W237" s="7">
        <v>0</v>
      </c>
      <c r="X237" s="7">
        <v>0</v>
      </c>
      <c r="Y237">
        <v>0.09</v>
      </c>
      <c r="Z237" s="9">
        <v>1</v>
      </c>
      <c r="AB237">
        <v>0</v>
      </c>
      <c r="AC237">
        <v>0</v>
      </c>
      <c r="AD237">
        <v>7</v>
      </c>
      <c r="AE237">
        <v>3</v>
      </c>
      <c r="AF237">
        <v>4</v>
      </c>
      <c r="AG237">
        <v>2</v>
      </c>
      <c r="AH237">
        <v>2</v>
      </c>
      <c r="AI237" t="inlineStr">
        <is>
          <t>False</t>
        </is>
      </c>
      <c r="AJ237" s="2" t="str">
        <f>HYPERLINK("https://keepa.com/#!product/1-B01NAUI4JE", "https://keepa.com/#!product/1-B01NAUI4JE")</f>
      </c>
      <c r="AK237" s="2" t="str">
        <f>HYPERLINK("https://camelcamelcamel.com/search?sq=B01NAUI4JE", "https://camelcamelcamel.com/search?sq=B01NAUI4JE")</f>
      </c>
      <c r="AL237" t="inlineStr">
        <is>
          <t/>
        </is>
      </c>
      <c r="AM237" s="10">
        <v>45417.11111111111</v>
      </c>
      <c r="AN237" t="inlineStr">
        <is>
          <t>Boiron Thuja Occidentalis 30C Wart Removal Homeopathic Medicine for Painless Removal of Warts from Plantar (Feet), Hands, and Other Bodily Warts -80 Count (Pack of 3)</t>
        </is>
      </c>
      <c r="AO237" t="inlineStr">
        <is>
          <t>240</t>
        </is>
      </c>
      <c r="AP237" t="inlineStr">
        <is>
          <t>TAKE ALL</t>
        </is>
      </c>
    </row>
    <row r="238">
      <c r="A238" t="inlineStr">
        <is>
          <t>B06XDN9ZVF</t>
        </is>
      </c>
      <c r="B238" t="inlineStr">
        <is>
          <t>False</t>
        </is>
      </c>
      <c r="C238" t="inlineStr">
        <is>
          <t>B06XDN9ZVF</t>
        </is>
      </c>
      <c r="D238" t="inlineStr">
        <is>
          <t>Crystal Light</t>
        </is>
      </c>
      <c r="E238" t="inlineStr">
        <is>
          <t>False</t>
        </is>
      </c>
      <c r="F238" t="inlineStr">
        <is>
          <t>Crystal Light Pure Lemonade On-The-Go Powdered Drink Mix 84 Count</t>
        </is>
      </c>
      <c r="G238">
        <v>1</v>
      </c>
      <c r="H238" s="2" t="str">
        <f>HYPERLINK("https://www.amazon.com/dp/B06XDN9ZVF", "https://www.amazon.com/dp/B06XDN9ZVF")</f>
      </c>
      <c r="I238" s="3">
        <v>1791</v>
      </c>
      <c r="J238" s="12">
        <v>-2.3</v>
      </c>
      <c r="K238" s="13">
        <v>-0.115</v>
      </c>
      <c r="L238" s="13">
        <v>-0.1643</v>
      </c>
      <c r="M238" t="inlineStr">
        <is>
          <t>True</t>
        </is>
      </c>
      <c r="N238" t="inlineStr">
        <is>
          <t>Grocery &amp; Gourmet Food</t>
        </is>
      </c>
      <c r="O238" s="6">
        <v>4649</v>
      </c>
      <c r="P238" s="6">
        <v>5568</v>
      </c>
      <c r="Q238" s="6">
        <v>3855</v>
      </c>
      <c r="R238" s="6">
        <v>217</v>
      </c>
      <c r="S238" s="7">
        <v>14</v>
      </c>
      <c r="T238" s="7">
        <v>20</v>
      </c>
      <c r="U238">
        <v>21.65</v>
      </c>
      <c r="V238" s="8">
        <v>0</v>
      </c>
      <c r="W238" s="7">
        <v>0</v>
      </c>
      <c r="X238" s="7">
        <v>0</v>
      </c>
      <c r="Y238">
        <v>1.5</v>
      </c>
      <c r="Z238" s="9">
        <v>1</v>
      </c>
      <c r="AB238">
        <v>0</v>
      </c>
      <c r="AC238">
        <v>0</v>
      </c>
      <c r="AD238">
        <v>6</v>
      </c>
      <c r="AE238">
        <v>3</v>
      </c>
      <c r="AF238">
        <v>3</v>
      </c>
      <c r="AG238">
        <v>1</v>
      </c>
      <c r="AH238">
        <v>10</v>
      </c>
      <c r="AI238" t="inlineStr">
        <is>
          <t>False</t>
        </is>
      </c>
      <c r="AJ238" s="2" t="str">
        <f>HYPERLINK("https://keepa.com/#!product/1-B06XDN9ZVF", "https://keepa.com/#!product/1-B06XDN9ZVF")</f>
      </c>
      <c r="AK238" s="2" t="str">
        <f>HYPERLINK("https://camelcamelcamel.com/search?sq=B06XDN9ZVF", "https://camelcamelcamel.com/search?sq=B06XDN9ZVF")</f>
      </c>
      <c r="AL238" t="inlineStr">
        <is>
          <t/>
        </is>
      </c>
      <c r="AM238" s="10">
        <v>45417.11111111111</v>
      </c>
      <c r="AN238" t="inlineStr">
        <is>
          <t>Crystal Light Pure Lemonade On-The-Go Powdered Drink Mix 84 Count</t>
        </is>
      </c>
      <c r="AO238" t="inlineStr">
        <is>
          <t>600</t>
        </is>
      </c>
      <c r="AP238" t="inlineStr">
        <is>
          <t>TAKE ALL</t>
        </is>
      </c>
    </row>
    <row r="239">
      <c r="A239" t="inlineStr">
        <is>
          <t>B06XHPLYZL</t>
        </is>
      </c>
      <c r="B239" t="inlineStr">
        <is>
          <t>False</t>
        </is>
      </c>
      <c r="C239" t="inlineStr">
        <is>
          <t>B06XHPLYZL</t>
        </is>
      </c>
      <c r="D239" t="inlineStr">
        <is>
          <t>Miele</t>
        </is>
      </c>
      <c r="E239" t="inlineStr">
        <is>
          <t>True</t>
        </is>
      </c>
      <c r="F239" t="inlineStr">
        <is>
          <t>Miele Compact C1 Pure Bagged Canister Vacuum with High Suction Power Designed for Hard Floors and Low-Pile Carpet, Lotus White</t>
        </is>
      </c>
      <c r="G239">
        <v>1</v>
      </c>
      <c r="H239" s="2" t="str">
        <f>HYPERLINK("https://www.amazon.com/dp/B06XHPLYZL", "https://www.amazon.com/dp/B06XHPLYZL")</f>
      </c>
      <c r="I239" s="3">
        <v>451</v>
      </c>
      <c r="J239" s="4">
        <v>94.29</v>
      </c>
      <c r="K239" s="5">
        <v>0.201</v>
      </c>
      <c r="L239" s="15">
        <v>0.3308</v>
      </c>
      <c r="M239" t="inlineStr">
        <is>
          <t>True</t>
        </is>
      </c>
      <c r="N239" t="inlineStr">
        <is>
          <t>Home &amp; Kitchen</t>
        </is>
      </c>
      <c r="O239" s="6">
        <v>60015</v>
      </c>
      <c r="P239" s="6">
        <v>53458</v>
      </c>
      <c r="Q239" s="6">
        <v>18152</v>
      </c>
      <c r="R239" s="6">
        <v>179</v>
      </c>
      <c r="S239" s="7">
        <v>285</v>
      </c>
      <c r="T239" s="7">
        <v>469</v>
      </c>
      <c r="U239">
        <v>429.78</v>
      </c>
      <c r="V239" s="8">
        <v>0</v>
      </c>
      <c r="W239" s="7">
        <v>0</v>
      </c>
      <c r="X239" s="7">
        <v>0</v>
      </c>
      <c r="Y239">
        <v>17.75</v>
      </c>
      <c r="Z239" s="9">
        <v>0.48</v>
      </c>
      <c r="AB239">
        <v>0</v>
      </c>
      <c r="AC239">
        <v>0</v>
      </c>
      <c r="AD239">
        <v>12</v>
      </c>
      <c r="AE239">
        <v>4</v>
      </c>
      <c r="AF239">
        <v>7</v>
      </c>
      <c r="AG239">
        <v>4</v>
      </c>
      <c r="AH239">
        <v>0</v>
      </c>
      <c r="AI239" t="inlineStr">
        <is>
          <t>False</t>
        </is>
      </c>
      <c r="AJ239" s="2" t="str">
        <f>HYPERLINK("https://keepa.com/#!product/1-B06XHPLYZL", "https://keepa.com/#!product/1-B06XHPLYZL")</f>
      </c>
      <c r="AK239" s="2" t="str">
        <f>HYPERLINK("https://camelcamelcamel.com/search?sq=B06XHPLYZL", "https://camelcamelcamel.com/search?sq=B06XHPLYZL")</f>
      </c>
      <c r="AL239" t="inlineStr">
        <is>
          <t/>
        </is>
      </c>
      <c r="AM239" s="10">
        <v>45417.11111111111</v>
      </c>
      <c r="AN239" t="inlineStr">
        <is>
          <t>Miele Compact C1 Pure Suction Powerline Canister Vacuum, Lotus White</t>
        </is>
      </c>
      <c r="AO239" t="inlineStr">
        <is>
          <t>133</t>
        </is>
      </c>
      <c r="AP239" t="inlineStr">
        <is>
          <t>TAKE ALL</t>
        </is>
      </c>
    </row>
    <row r="240">
      <c r="A240" t="inlineStr">
        <is>
          <t>B06XS34D8T</t>
        </is>
      </c>
      <c r="B240" t="inlineStr">
        <is>
          <t>False</t>
        </is>
      </c>
      <c r="C240" t="inlineStr">
        <is>
          <t>B06XS34D8T</t>
        </is>
      </c>
      <c r="D240" t="inlineStr">
        <is>
          <t>Preparation H</t>
        </is>
      </c>
      <c r="E240" t="inlineStr">
        <is>
          <t>False</t>
        </is>
      </c>
      <c r="F240" t="inlineStr">
        <is>
          <t>Preparation H Hemorrhoid Flushable Wipes with Witch Hazel for Skin Irritation Relief - 48 Count (Pack of 4)</t>
        </is>
      </c>
      <c r="G240">
        <v>1</v>
      </c>
      <c r="H240" s="2" t="str">
        <f>HYPERLINK("https://www.amazon.com/dp/B06XS34D8T", "https://www.amazon.com/dp/B06XS34D8T")</f>
      </c>
      <c r="I240" s="3">
        <v>15989</v>
      </c>
      <c r="J240" s="4">
        <v>5.29</v>
      </c>
      <c r="K240" s="5">
        <v>0.2305</v>
      </c>
      <c r="L240" s="15">
        <v>0.6412</v>
      </c>
      <c r="M240" t="inlineStr">
        <is>
          <t>True</t>
        </is>
      </c>
      <c r="N240" t="inlineStr">
        <is>
          <t>Health &amp; Household</t>
        </is>
      </c>
      <c r="O240" s="6">
        <v>1273</v>
      </c>
      <c r="P240" s="6">
        <v>1294</v>
      </c>
      <c r="Q240" s="6">
        <v>832</v>
      </c>
      <c r="R240" s="6">
        <v>286</v>
      </c>
      <c r="S240" s="7">
        <v>8.25</v>
      </c>
      <c r="T240" s="7">
        <v>22.95</v>
      </c>
      <c r="U240">
        <v>21.52</v>
      </c>
      <c r="V240" s="8">
        <v>0</v>
      </c>
      <c r="W240" s="7">
        <v>0</v>
      </c>
      <c r="X240" s="7">
        <v>0</v>
      </c>
      <c r="Y240">
        <v>2.05</v>
      </c>
      <c r="Z240" s="9">
        <v>1</v>
      </c>
      <c r="AB240">
        <v>0</v>
      </c>
      <c r="AC240">
        <v>0</v>
      </c>
      <c r="AD240">
        <v>9</v>
      </c>
      <c r="AE240">
        <v>4</v>
      </c>
      <c r="AF240">
        <v>5</v>
      </c>
      <c r="AG240">
        <v>3</v>
      </c>
      <c r="AH240">
        <v>6</v>
      </c>
      <c r="AI240" t="inlineStr">
        <is>
          <t>False</t>
        </is>
      </c>
      <c r="AJ240" s="2" t="str">
        <f>HYPERLINK("https://keepa.com/#!product/1-B06XS34D8T", "https://keepa.com/#!product/1-B06XS34D8T")</f>
      </c>
      <c r="AK240" s="2" t="str">
        <f>HYPERLINK("https://camelcamelcamel.com/search?sq=B06XS34D8T", "https://camelcamelcamel.com/search?sq=B06XS34D8T")</f>
      </c>
      <c r="AL240" t="inlineStr">
        <is>
          <t/>
        </is>
      </c>
      <c r="AM240" s="10">
        <v>45417.11111111111</v>
      </c>
      <c r="AN240" t="inlineStr">
        <is>
          <t>Preparation H Hemorrhoid Flushable Wipes with Witch Hazel for Skin Irritation Relief - 48 Count (Pack of 4)</t>
        </is>
      </c>
      <c r="AO240" t="inlineStr">
        <is>
          <t>1000</t>
        </is>
      </c>
      <c r="AP240" t="inlineStr">
        <is>
          <t>TAKE ALL</t>
        </is>
      </c>
    </row>
    <row r="241">
      <c r="A241" t="inlineStr">
        <is>
          <t>B06XXZQ4XS</t>
        </is>
      </c>
      <c r="B241" t="inlineStr">
        <is>
          <t>False</t>
        </is>
      </c>
      <c r="C241" t="inlineStr">
        <is>
          <t>B06XXZQ4XS</t>
        </is>
      </c>
      <c r="D241" t="inlineStr">
        <is>
          <t>Medokare</t>
        </is>
      </c>
      <c r="E241" t="inlineStr">
        <is>
          <t>False</t>
        </is>
      </c>
      <c r="F241" t="inlineStr">
        <is>
          <t>Medokare Shower Seat for Inside Shower - Bath Stool, Medical Shower Chairs for Seniors, Elderly, Handicap &amp; Disabled - Adjustable Support Shower Bench w/Handles for Bathtub</t>
        </is>
      </c>
      <c r="G241">
        <v>1</v>
      </c>
      <c r="H241" s="2" t="str">
        <f>HYPERLINK("https://www.amazon.com/dp/B06XXZQ4XS", "https://www.amazon.com/dp/B06XXZQ4XS")</f>
      </c>
      <c r="I241" s="3">
        <v>3108</v>
      </c>
      <c r="J241" s="12">
        <v>-0.77</v>
      </c>
      <c r="K241" s="13">
        <v>-0.0275</v>
      </c>
      <c r="L241" s="13">
        <v>-0.0642</v>
      </c>
      <c r="M241" t="inlineStr">
        <is>
          <t>True</t>
        </is>
      </c>
      <c r="N241" t="inlineStr">
        <is>
          <t>Health &amp; Household</t>
        </is>
      </c>
      <c r="O241" s="6">
        <v>8530</v>
      </c>
      <c r="P241" s="6">
        <v>18625</v>
      </c>
      <c r="Q241" s="6">
        <v>4563</v>
      </c>
      <c r="R241" s="6">
        <v>164</v>
      </c>
      <c r="S241" s="7">
        <v>12</v>
      </c>
      <c r="T241" s="7">
        <v>28</v>
      </c>
      <c r="U241">
        <v>32.57</v>
      </c>
      <c r="V241" s="8">
        <v>0</v>
      </c>
      <c r="W241" s="7">
        <v>0</v>
      </c>
      <c r="X241" s="7">
        <v>0</v>
      </c>
      <c r="Y241">
        <v>5.35</v>
      </c>
      <c r="Z241" s="8">
        <v>0</v>
      </c>
      <c r="AB241">
        <v>0</v>
      </c>
      <c r="AC241">
        <v>0</v>
      </c>
      <c r="AD241">
        <v>15</v>
      </c>
      <c r="AE241">
        <v>9</v>
      </c>
      <c r="AF241">
        <v>6</v>
      </c>
      <c r="AG241">
        <v>2</v>
      </c>
      <c r="AH241">
        <v>4</v>
      </c>
      <c r="AI241" t="inlineStr">
        <is>
          <t>False</t>
        </is>
      </c>
      <c r="AJ241" s="2" t="str">
        <f>HYPERLINK("https://keepa.com/#!product/1-B06XXZQ4XS", "https://keepa.com/#!product/1-B06XXZQ4XS")</f>
      </c>
      <c r="AK241" s="2" t="str">
        <f>HYPERLINK("https://camelcamelcamel.com/search?sq=B06XXZQ4XS", "https://camelcamelcamel.com/search?sq=B06XXZQ4XS")</f>
      </c>
      <c r="AL241" t="inlineStr">
        <is>
          <t/>
        </is>
      </c>
      <c r="AM241" s="10">
        <v>45417.11111111111</v>
      </c>
      <c r="AN241" t="inlineStr">
        <is>
          <t>Medokare Shower Seat for Inside Shower - Bath Stool, Medical Shower Chairs for Seniors, Elderly, Handicap &amp; Disabled - Adjustable Support Shower Bench w/Handles for Bathtub</t>
        </is>
      </c>
      <c r="AO241" t="inlineStr">
        <is>
          <t>480</t>
        </is>
      </c>
      <c r="AP241" t="inlineStr">
        <is>
          <t>280</t>
        </is>
      </c>
    </row>
    <row r="242">
      <c r="A242" t="inlineStr">
        <is>
          <t>B06XY8WWFP</t>
        </is>
      </c>
      <c r="B242" t="inlineStr">
        <is>
          <t>False</t>
        </is>
      </c>
      <c r="C242" t="inlineStr">
        <is>
          <t>B06XY8WWFP</t>
        </is>
      </c>
      <c r="D242" t="inlineStr">
        <is>
          <t>ResMed</t>
        </is>
      </c>
      <c r="E242" t="inlineStr">
        <is>
          <t>False</t>
        </is>
      </c>
      <c r="F242" t="inlineStr">
        <is>
          <t>ResMed AirFit F20 Full Face Replacement Cushion - Large</t>
        </is>
      </c>
      <c r="G242">
        <v>1</v>
      </c>
      <c r="H242" s="2" t="str">
        <f>HYPERLINK("https://www.amazon.com/dp/B06XY8WWFP", "https://www.amazon.com/dp/B06XY8WWFP")</f>
      </c>
      <c r="I242" s="3">
        <v>7465</v>
      </c>
      <c r="J242" s="4">
        <v>6.22</v>
      </c>
      <c r="K242" s="5">
        <v>0.1637</v>
      </c>
      <c r="L242" s="5">
        <v>0.2962</v>
      </c>
      <c r="M242" t="inlineStr">
        <is>
          <t>True</t>
        </is>
      </c>
      <c r="N242" t="inlineStr">
        <is>
          <t>Health &amp; Household</t>
        </is>
      </c>
      <c r="O242" s="6">
        <v>3408</v>
      </c>
      <c r="P242" s="6">
        <v>3694</v>
      </c>
      <c r="Q242" s="6">
        <v>2750</v>
      </c>
      <c r="R242" s="6">
        <v>312</v>
      </c>
      <c r="S242" s="7">
        <v>21</v>
      </c>
      <c r="T242" s="7">
        <v>37.99</v>
      </c>
      <c r="U242">
        <v>39.79</v>
      </c>
      <c r="V242" s="8">
        <v>0</v>
      </c>
      <c r="W242" s="7">
        <v>0</v>
      </c>
      <c r="X242" s="7">
        <v>0</v>
      </c>
      <c r="Y242">
        <v>0.13</v>
      </c>
      <c r="Z242" s="8">
        <v>0</v>
      </c>
      <c r="AB242">
        <v>0</v>
      </c>
      <c r="AC242">
        <v>0</v>
      </c>
      <c r="AD242">
        <v>6</v>
      </c>
      <c r="AE242">
        <v>4</v>
      </c>
      <c r="AF242">
        <v>2</v>
      </c>
      <c r="AG242">
        <v>1</v>
      </c>
      <c r="AH242">
        <v>3</v>
      </c>
      <c r="AI242" t="inlineStr">
        <is>
          <t>False</t>
        </is>
      </c>
      <c r="AJ242" s="2" t="str">
        <f>HYPERLINK("https://keepa.com/#!product/1-B06XY8WWFP", "https://keepa.com/#!product/1-B06XY8WWFP")</f>
      </c>
      <c r="AK242" s="2" t="str">
        <f>HYPERLINK("https://camelcamelcamel.com/search?sq=B06XY8WWFP", "https://camelcamelcamel.com/search?sq=B06XY8WWFP")</f>
      </c>
      <c r="AL242" t="inlineStr">
        <is>
          <t/>
        </is>
      </c>
      <c r="AM242" s="10">
        <v>45417.11111111111</v>
      </c>
      <c r="AN242" t="inlineStr">
        <is>
          <t>ResMed AirFit F20 Full Face Replacement Cushion - Large</t>
        </is>
      </c>
      <c r="AO242" t="inlineStr">
        <is>
          <t>250</t>
        </is>
      </c>
      <c r="AP242" t="inlineStr">
        <is>
          <t>TAKE ALL</t>
        </is>
      </c>
    </row>
    <row r="243">
      <c r="A243" t="inlineStr">
        <is>
          <t>B06XZCV5JV</t>
        </is>
      </c>
      <c r="B243" t="inlineStr">
        <is>
          <t>False</t>
        </is>
      </c>
      <c r="C243" t="inlineStr">
        <is>
          <t>B06XZCV5JV</t>
        </is>
      </c>
      <c r="D243" t="inlineStr">
        <is>
          <t>BULLDOG</t>
        </is>
      </c>
      <c r="E243" t="inlineStr">
        <is>
          <t>False</t>
        </is>
      </c>
      <c r="F243" t="inlineStr">
        <is>
          <t>Bulldog Skincare for Men Original Shave Gel (Pack of 2) With 8 Essential Oils, Aloe Vera, Jojoba and Konjac Mannam, 5.9 fl. oz.</t>
        </is>
      </c>
      <c r="G243">
        <v>1</v>
      </c>
      <c r="H243" s="2" t="str">
        <f>HYPERLINK("https://www.amazon.com/dp/B06XZCV5JV", "https://www.amazon.com/dp/B06XZCV5JV")</f>
      </c>
      <c r="I243" s="3">
        <v>487</v>
      </c>
      <c r="J243" s="12">
        <v>-4.5</v>
      </c>
      <c r="K243" s="13">
        <v>-0.3373</v>
      </c>
      <c r="L243" s="13">
        <v>-0.4</v>
      </c>
      <c r="M243" t="inlineStr">
        <is>
          <t>True</t>
        </is>
      </c>
      <c r="N243" t="inlineStr">
        <is>
          <t>Beauty &amp; Personal Care</t>
        </is>
      </c>
      <c r="O243" s="6">
        <v>31836</v>
      </c>
      <c r="P243" s="6">
        <v>62063</v>
      </c>
      <c r="Q243" s="6">
        <v>29264</v>
      </c>
      <c r="R243" s="6">
        <v>172</v>
      </c>
      <c r="S243" s="7">
        <v>11.25</v>
      </c>
      <c r="T243" s="7">
        <v>13.34</v>
      </c>
      <c r="U243">
        <v>15.94</v>
      </c>
      <c r="V243" s="8">
        <v>0</v>
      </c>
      <c r="W243" s="7">
        <v>0</v>
      </c>
      <c r="X243" s="7">
        <v>0</v>
      </c>
      <c r="Y243">
        <v>0.88</v>
      </c>
      <c r="Z243" s="8">
        <v>0</v>
      </c>
      <c r="AB243">
        <v>0</v>
      </c>
      <c r="AC243">
        <v>0</v>
      </c>
      <c r="AD243">
        <v>22</v>
      </c>
      <c r="AE243">
        <v>18</v>
      </c>
      <c r="AF243">
        <v>4</v>
      </c>
      <c r="AG243">
        <v>4</v>
      </c>
      <c r="AH243">
        <v>2</v>
      </c>
      <c r="AI243" t="inlineStr">
        <is>
          <t>False</t>
        </is>
      </c>
      <c r="AJ243" s="2" t="str">
        <f>HYPERLINK("https://keepa.com/#!product/1-B06XZCV5JV", "https://keepa.com/#!product/1-B06XZCV5JV")</f>
      </c>
      <c r="AK243" s="2" t="str">
        <f>HYPERLINK("https://camelcamelcamel.com/search?sq=B06XZCV5JV", "https://camelcamelcamel.com/search?sq=B06XZCV5JV")</f>
      </c>
      <c r="AL243" t="inlineStr">
        <is>
          <t/>
        </is>
      </c>
      <c r="AM243" s="10">
        <v>45417.11111111111</v>
      </c>
      <c r="AN243" t="inlineStr">
        <is>
          <t>Bulldog Skincare for Men Original Shave Gel (Pack of 2) With 8 Essential Oils, Aloe Vera, Jojoba and Konjac Mannam, 5.9 fl. oz.</t>
        </is>
      </c>
      <c r="AO243" t="inlineStr">
        <is>
          <t>250</t>
        </is>
      </c>
      <c r="AP243" t="inlineStr">
        <is>
          <t>TAKE ALL</t>
        </is>
      </c>
    </row>
    <row r="244">
      <c r="A244" t="inlineStr">
        <is>
          <t>B071D58ZY5</t>
        </is>
      </c>
      <c r="B244" t="inlineStr">
        <is>
          <t>False</t>
        </is>
      </c>
      <c r="C244" t="inlineStr">
        <is>
          <t>B071D58ZY5</t>
        </is>
      </c>
      <c r="D244" t="inlineStr">
        <is>
          <t>LEVOIT</t>
        </is>
      </c>
      <c r="E244" t="inlineStr">
        <is>
          <t>False</t>
        </is>
      </c>
      <c r="F244" t="inlineStr">
        <is>
          <t>LEVOIT Air Purifiers for Home, High Efficient Filter for Smoke, Dust and Pollen in Bedroom, Filtration System Odor Eliminators for Office with Optional Night Light, LV-H132 1 Pack, White</t>
        </is>
      </c>
      <c r="G244">
        <v>1</v>
      </c>
      <c r="H244" s="2" t="str">
        <f>HYPERLINK("https://www.amazon.com/dp/B071D58ZY5", "https://www.amazon.com/dp/B071D58ZY5")</f>
      </c>
      <c r="I244" s="3">
        <v>1877</v>
      </c>
      <c r="J244" s="11">
        <v>0.32</v>
      </c>
      <c r="K244" s="5">
        <v>0.0040999999999999995</v>
      </c>
      <c r="L244" s="5">
        <v>0.0068000000000000005</v>
      </c>
      <c r="M244" t="inlineStr">
        <is>
          <t>True</t>
        </is>
      </c>
      <c r="N244" t="inlineStr">
        <is>
          <t>Home &amp; Kitchen</t>
        </is>
      </c>
      <c r="O244" s="6">
        <v>12550</v>
      </c>
      <c r="P244" s="6">
        <v>11532</v>
      </c>
      <c r="Q244" s="6">
        <v>5905</v>
      </c>
      <c r="R244" s="6">
        <v>300</v>
      </c>
      <c r="S244" s="7">
        <v>47</v>
      </c>
      <c r="T244" s="7">
        <v>78.99</v>
      </c>
      <c r="U244">
        <v>81.86</v>
      </c>
      <c r="V244" s="8">
        <v>0</v>
      </c>
      <c r="W244" s="7">
        <v>0</v>
      </c>
      <c r="X244" s="7">
        <v>0</v>
      </c>
      <c r="Y244">
        <v>7.63</v>
      </c>
      <c r="Z244" s="9">
        <v>0.94</v>
      </c>
      <c r="AB244">
        <v>0</v>
      </c>
      <c r="AC244">
        <v>0</v>
      </c>
      <c r="AD244">
        <v>17</v>
      </c>
      <c r="AE244">
        <v>1</v>
      </c>
      <c r="AF244">
        <v>2</v>
      </c>
      <c r="AG244">
        <v>1</v>
      </c>
      <c r="AH244">
        <v>2</v>
      </c>
      <c r="AI244" t="inlineStr">
        <is>
          <t>False</t>
        </is>
      </c>
      <c r="AJ244" s="2" t="str">
        <f>HYPERLINK("https://keepa.com/#!product/1-B071D58ZY5", "https://keepa.com/#!product/1-B071D58ZY5")</f>
      </c>
      <c r="AK244" s="2" t="str">
        <f>HYPERLINK("https://camelcamelcamel.com/search?sq=B071D58ZY5", "https://camelcamelcamel.com/search?sq=B071D58ZY5")</f>
      </c>
      <c r="AL244" t="inlineStr">
        <is>
          <t/>
        </is>
      </c>
      <c r="AM244" s="10">
        <v>45417.11111111111</v>
      </c>
      <c r="AN244" t="inlineStr">
        <is>
          <t>LEVOIT Air Purifiers for Home, HEPA Filter for Smoke, Dust and Pollen in Bedroom, Ozone Free, Filtration System Odor Eliminators for Office with Optional Night Light, 1 Pack, WhiteðŸ”¥</t>
        </is>
      </c>
      <c r="AO244" t="inlineStr">
        <is>
          <t>200</t>
        </is>
      </c>
      <c r="AP244" t="inlineStr">
        <is>
          <t>TAKE ALL</t>
        </is>
      </c>
    </row>
    <row r="245">
      <c r="A245" t="inlineStr">
        <is>
          <t>B071HN7KK6</t>
        </is>
      </c>
      <c r="B245" t="inlineStr">
        <is>
          <t>False</t>
        </is>
      </c>
      <c r="C245" t="inlineStr">
        <is>
          <t>B071HN7KK6</t>
        </is>
      </c>
      <c r="D245" t="inlineStr">
        <is>
          <t>L’Oréal Paris</t>
        </is>
      </c>
      <c r="E245" t="inlineStr">
        <is>
          <t>False</t>
        </is>
      </c>
      <c r="F245" t="inlineStr">
        <is>
          <t>L'Oréal Paris Advanced Hairstyle BOOST IT Volume Inject Mousse, 8.3 oz.</t>
        </is>
      </c>
      <c r="G245">
        <v>1</v>
      </c>
      <c r="H245" s="2" t="str">
        <f>HYPERLINK("https://www.amazon.com/dp/B071HN7KK6", "https://www.amazon.com/dp/B071HN7KK6")</f>
      </c>
      <c r="I245" s="3">
        <v>68</v>
      </c>
      <c r="J245" s="12">
        <v>-1.88</v>
      </c>
      <c r="K245" s="13">
        <v>-0.1448</v>
      </c>
      <c r="L245" s="13">
        <v>-0.2365</v>
      </c>
      <c r="M245" t="inlineStr">
        <is>
          <t>True</t>
        </is>
      </c>
      <c r="N245" t="inlineStr">
        <is>
          <t>Beauty &amp; Personal Care</t>
        </is>
      </c>
      <c r="O245" s="6">
        <v>120335</v>
      </c>
      <c r="P245" s="6">
        <v>129622</v>
      </c>
      <c r="Q245" s="6">
        <v>1645</v>
      </c>
      <c r="R245" s="6">
        <v>254</v>
      </c>
      <c r="S245" s="7">
        <v>7.95</v>
      </c>
      <c r="T245" s="7">
        <v>12.98</v>
      </c>
      <c r="U245">
        <v>0</v>
      </c>
      <c r="V245" s="8">
        <v>0</v>
      </c>
      <c r="W245" s="7">
        <v>0</v>
      </c>
      <c r="X245" s="7">
        <v>0</v>
      </c>
      <c r="Y245">
        <v>0.64</v>
      </c>
      <c r="Z245" s="8">
        <v>0</v>
      </c>
      <c r="AB245">
        <v>0</v>
      </c>
      <c r="AC245">
        <v>0</v>
      </c>
      <c r="AD245">
        <v>6</v>
      </c>
      <c r="AE245">
        <v>0</v>
      </c>
      <c r="AF245">
        <v>6</v>
      </c>
      <c r="AG245">
        <v>0</v>
      </c>
      <c r="AH245">
        <v>3</v>
      </c>
      <c r="AI245" t="inlineStr">
        <is>
          <t>True</t>
        </is>
      </c>
      <c r="AJ245" s="2" t="str">
        <f>HYPERLINK("https://keepa.com/#!product/1-B071HN7KK6", "https://keepa.com/#!product/1-B071HN7KK6")</f>
      </c>
      <c r="AK245" s="2" t="str">
        <f>HYPERLINK("https://camelcamelcamel.com/search?sq=B071HN7KK6", "https://camelcamelcamel.com/search?sq=B071HN7KK6")</f>
      </c>
      <c r="AL245" t="inlineStr">
        <is>
          <t/>
        </is>
      </c>
      <c r="AM245" s="10">
        <v>45417.11111111111</v>
      </c>
      <c r="AN245" t="inlineStr">
        <is>
          <t>L'OrÃ©al Paris Advanced Hairstyle BOOST IT Volume Inject Mousse, 8.3 oz.</t>
        </is>
      </c>
      <c r="AO245" t="inlineStr">
        <is>
          <t>1000</t>
        </is>
      </c>
      <c r="AP245" t="inlineStr">
        <is>
          <t>500</t>
        </is>
      </c>
    </row>
    <row r="246">
      <c r="A246" t="inlineStr">
        <is>
          <t>B071S8T2M4</t>
        </is>
      </c>
      <c r="B246" t="inlineStr">
        <is>
          <t>False</t>
        </is>
      </c>
      <c r="C246" t="inlineStr">
        <is>
          <t>B071S8T2M4</t>
        </is>
      </c>
      <c r="D246" t="inlineStr">
        <is>
          <t>Boiron</t>
        </is>
      </c>
      <c r="E246" t="inlineStr">
        <is>
          <t>False</t>
        </is>
      </c>
      <c r="F246" t="inlineStr">
        <is>
          <t>Boiron ThroatCalm Tablets for Pain Relief from Red, Dry, Scratchy, Sore Throats and Hoarseness - 60 Count</t>
        </is>
      </c>
      <c r="G246">
        <v>1</v>
      </c>
      <c r="H246" s="2" t="str">
        <f>HYPERLINK("https://www.amazon.com/dp/B071S8T2M4", "https://www.amazon.com/dp/B071S8T2M4")</f>
      </c>
      <c r="I246" s="3">
        <v>4187</v>
      </c>
      <c r="J246" s="12">
        <v>-0.16</v>
      </c>
      <c r="K246" s="13">
        <v>-0.0169</v>
      </c>
      <c r="L246" s="13">
        <v>-0.0269</v>
      </c>
      <c r="M246" t="inlineStr">
        <is>
          <t>True</t>
        </is>
      </c>
      <c r="N246" t="inlineStr">
        <is>
          <t>Health &amp; Household</t>
        </is>
      </c>
      <c r="O246" s="6">
        <v>6374</v>
      </c>
      <c r="P246" s="6">
        <v>4983</v>
      </c>
      <c r="Q246" s="6">
        <v>2921</v>
      </c>
      <c r="R246" s="6">
        <v>292</v>
      </c>
      <c r="S246" s="7">
        <v>5.95</v>
      </c>
      <c r="T246" s="7">
        <v>9.47</v>
      </c>
      <c r="U246">
        <v>10.04</v>
      </c>
      <c r="V246" s="8">
        <v>0</v>
      </c>
      <c r="W246" s="7">
        <v>0</v>
      </c>
      <c r="X246" s="7">
        <v>0</v>
      </c>
      <c r="Y246">
        <v>0.04</v>
      </c>
      <c r="Z246" s="9">
        <v>1</v>
      </c>
      <c r="AB246">
        <v>0</v>
      </c>
      <c r="AC246">
        <v>0</v>
      </c>
      <c r="AD246">
        <v>22</v>
      </c>
      <c r="AE246">
        <v>5</v>
      </c>
      <c r="AF246">
        <v>17</v>
      </c>
      <c r="AG246">
        <v>2</v>
      </c>
      <c r="AH246">
        <v>2</v>
      </c>
      <c r="AI246" t="inlineStr">
        <is>
          <t>False</t>
        </is>
      </c>
      <c r="AJ246" s="2" t="str">
        <f>HYPERLINK("https://keepa.com/#!product/1-B071S8T2M4", "https://keepa.com/#!product/1-B071S8T2M4")</f>
      </c>
      <c r="AK246" s="2" t="str">
        <f>HYPERLINK("https://camelcamelcamel.com/search?sq=B071S8T2M4", "https://camelcamelcamel.com/search?sq=B071S8T2M4")</f>
      </c>
      <c r="AL246" t="inlineStr">
        <is>
          <t/>
        </is>
      </c>
      <c r="AM246" s="10">
        <v>45417.11111111111</v>
      </c>
      <c r="AN246" t="inlineStr">
        <is>
          <t>Boiron ThroatCalm Tablets for Pain Relief from Red, Dry, Scratchy, Sore Throats and Hoarseness - 60 Count</t>
        </is>
      </c>
      <c r="AO246" t="inlineStr">
        <is>
          <t>180</t>
        </is>
      </c>
      <c r="AP246" t="inlineStr">
        <is>
          <t>TAKE ALL</t>
        </is>
      </c>
    </row>
    <row r="247">
      <c r="A247" t="inlineStr">
        <is>
          <t>B0725BK81G</t>
        </is>
      </c>
      <c r="B247" t="inlineStr">
        <is>
          <t>False</t>
        </is>
      </c>
      <c r="C247" t="inlineStr">
        <is>
          <t>B0725BK81G</t>
        </is>
      </c>
      <c r="D247" t="inlineStr">
        <is>
          <t>Gillette</t>
        </is>
      </c>
      <c r="E247" t="inlineStr">
        <is>
          <t>True</t>
        </is>
      </c>
      <c r="F247" t="inlineStr">
        <is>
          <t>Gillette Mach3 Razor Refills for Men, 15 Razor Blade Refills</t>
        </is>
      </c>
      <c r="G247">
        <v>1</v>
      </c>
      <c r="H247" s="2" t="str">
        <f>HYPERLINK("https://www.amazon.com/dp/B0725BK81G", "https://www.amazon.com/dp/B0725BK81G")</f>
      </c>
      <c r="I247" s="3">
        <v>22316</v>
      </c>
      <c r="J247" s="4">
        <v>7.73</v>
      </c>
      <c r="K247" s="5">
        <v>0.209</v>
      </c>
      <c r="L247" s="15">
        <v>0.39640000000000003</v>
      </c>
      <c r="M247" t="inlineStr">
        <is>
          <t>True</t>
        </is>
      </c>
      <c r="N247" t="inlineStr">
        <is>
          <t>Beauty &amp; Personal Care</t>
        </is>
      </c>
      <c r="O247" s="6">
        <v>415</v>
      </c>
      <c r="P247" s="6">
        <v>489</v>
      </c>
      <c r="Q247" s="6">
        <v>122</v>
      </c>
      <c r="R247" s="6">
        <v>288</v>
      </c>
      <c r="S247" s="7">
        <v>19.5</v>
      </c>
      <c r="T247" s="7">
        <v>36.98</v>
      </c>
      <c r="U247">
        <v>36.62</v>
      </c>
      <c r="V247" s="8">
        <v>0</v>
      </c>
      <c r="W247" s="7">
        <v>0</v>
      </c>
      <c r="X247" s="7">
        <v>0</v>
      </c>
      <c r="Y247">
        <v>0.24</v>
      </c>
      <c r="Z247" s="9">
        <v>1</v>
      </c>
      <c r="AB247">
        <v>0</v>
      </c>
      <c r="AC247">
        <v>0</v>
      </c>
      <c r="AD247">
        <v>4</v>
      </c>
      <c r="AE247">
        <v>2</v>
      </c>
      <c r="AF247">
        <v>2</v>
      </c>
      <c r="AG247">
        <v>2</v>
      </c>
      <c r="AH247">
        <v>2</v>
      </c>
      <c r="AI247" t="inlineStr">
        <is>
          <t>False</t>
        </is>
      </c>
      <c r="AJ247" s="2" t="str">
        <f>HYPERLINK("https://keepa.com/#!product/1-B0725BK81G", "https://keepa.com/#!product/1-B0725BK81G")</f>
      </c>
      <c r="AK247" s="2" t="str">
        <f>HYPERLINK("https://camelcamelcamel.com/search?sq=B0725BK81G", "https://camelcamelcamel.com/search?sq=B0725BK81G")</f>
      </c>
      <c r="AL247" t="inlineStr">
        <is>
          <t/>
        </is>
      </c>
      <c r="AM247" s="10">
        <v>45417.11111111111</v>
      </c>
      <c r="AN247" t="inlineStr">
        <is>
          <t>Gillette Mach3 Razor Refills for Men, 15 Razor Blade Refills</t>
        </is>
      </c>
      <c r="AO247" t="inlineStr">
        <is>
          <t>540</t>
        </is>
      </c>
      <c r="AP247" t="inlineStr">
        <is>
          <t>270</t>
        </is>
      </c>
    </row>
    <row r="248">
      <c r="A248" t="inlineStr">
        <is>
          <t>B072JVS6QH</t>
        </is>
      </c>
      <c r="B248" t="inlineStr">
        <is>
          <t>False</t>
        </is>
      </c>
      <c r="C248" t="inlineStr">
        <is>
          <t>B072JVS6QH</t>
        </is>
      </c>
      <c r="D248" t="inlineStr">
        <is>
          <t>Degree</t>
        </is>
      </c>
      <c r="E248" t="inlineStr">
        <is>
          <t>False</t>
        </is>
      </c>
      <c r="F248" t="inlineStr">
        <is>
          <t>Degree Clinical Protection 5-in-1 Antiperspirant 1.70 oz (3 Pack)</t>
        </is>
      </c>
      <c r="G248">
        <v>3</v>
      </c>
      <c r="H248" s="2" t="str">
        <f>HYPERLINK("https://www.amazon.com/dp/B072JVS6QH", "https://www.amazon.com/dp/B072JVS6QH")</f>
      </c>
      <c r="I248" s="3">
        <v>812</v>
      </c>
      <c r="J248" s="12">
        <v>-19.32</v>
      </c>
      <c r="K248" s="13">
        <v>-1.0036</v>
      </c>
      <c r="L248" s="13">
        <v>-0.6133</v>
      </c>
      <c r="M248" t="inlineStr">
        <is>
          <t>True</t>
        </is>
      </c>
      <c r="N248" t="inlineStr">
        <is>
          <t>Beauty &amp; Personal Care</t>
        </is>
      </c>
      <c r="O248" s="6">
        <v>21026</v>
      </c>
      <c r="P248" s="6">
        <v>21480</v>
      </c>
      <c r="Q248" s="6">
        <v>15197</v>
      </c>
      <c r="R248" s="6">
        <v>159</v>
      </c>
      <c r="S248" s="7">
        <v>10.5</v>
      </c>
      <c r="T248" s="7">
        <v>19.25</v>
      </c>
      <c r="U248">
        <v>20.63</v>
      </c>
      <c r="V248" s="8">
        <v>0</v>
      </c>
      <c r="W248" s="7">
        <v>0</v>
      </c>
      <c r="X248" s="7">
        <v>0</v>
      </c>
      <c r="Y248">
        <v>0.73</v>
      </c>
      <c r="Z248" s="8">
        <v>0</v>
      </c>
      <c r="AB248">
        <v>0</v>
      </c>
      <c r="AC248">
        <v>0</v>
      </c>
      <c r="AD248">
        <v>14</v>
      </c>
      <c r="AE248">
        <v>12</v>
      </c>
      <c r="AF248">
        <v>2</v>
      </c>
      <c r="AG248">
        <v>6</v>
      </c>
      <c r="AH248">
        <v>1</v>
      </c>
      <c r="AI248" t="inlineStr">
        <is>
          <t>False</t>
        </is>
      </c>
      <c r="AJ248" s="2" t="str">
        <f>HYPERLINK("https://keepa.com/#!product/1-B072JVS6QH", "https://keepa.com/#!product/1-B072JVS6QH")</f>
      </c>
      <c r="AK248" s="2" t="str">
        <f>HYPERLINK("https://camelcamelcamel.com/search?sq=B072JVS6QH", "https://camelcamelcamel.com/search?sq=B072JVS6QH")</f>
      </c>
      <c r="AL248" t="inlineStr">
        <is>
          <t/>
        </is>
      </c>
      <c r="AM248" s="10">
        <v>45417.11111111111</v>
      </c>
      <c r="AN248" t="inlineStr">
        <is>
          <t>Degree Clinical Protection 5-in-1 Antiperspirant 1.70 oz (3 Pack)</t>
        </is>
      </c>
      <c r="AO248" t="inlineStr">
        <is>
          <t>500</t>
        </is>
      </c>
      <c r="AP248" t="inlineStr">
        <is>
          <t>250</t>
        </is>
      </c>
    </row>
    <row r="249">
      <c r="A249" t="inlineStr">
        <is>
          <t>B072K59NYZ</t>
        </is>
      </c>
      <c r="B249" t="inlineStr">
        <is>
          <t>False</t>
        </is>
      </c>
      <c r="C249" t="inlineStr">
        <is>
          <t>B072K59NYZ</t>
        </is>
      </c>
      <c r="D249" t="inlineStr">
        <is>
          <t>Samsonite</t>
        </is>
      </c>
      <c r="E249" t="inlineStr">
        <is>
          <t>True</t>
        </is>
      </c>
      <c r="F249" t="inlineStr">
        <is>
          <t>SAMSONITE Lumbar Support Pillow For Office Chair and Car Seat, Perfectly Balanced Memory Foam , Versatile Use Lower Back Cushion</t>
        </is>
      </c>
      <c r="G249">
        <v>1</v>
      </c>
      <c r="H249" s="2" t="str">
        <f>HYPERLINK("https://www.amazon.com/dp/B072K59NYZ", "https://www.amazon.com/dp/B072K59NYZ")</f>
      </c>
      <c r="I249" s="3">
        <v>7100</v>
      </c>
      <c r="J249" s="12">
        <v>-0.17</v>
      </c>
      <c r="K249" s="13">
        <v>-0.0091</v>
      </c>
      <c r="L249" s="13">
        <v>-0.02</v>
      </c>
      <c r="M249" t="inlineStr">
        <is>
          <t>True</t>
        </is>
      </c>
      <c r="N249" t="inlineStr">
        <is>
          <t>Home &amp; Kitchen</t>
        </is>
      </c>
      <c r="O249" s="6">
        <v>1711</v>
      </c>
      <c r="P249" s="6">
        <v>837</v>
      </c>
      <c r="Q249" s="6">
        <v>241</v>
      </c>
      <c r="R249" s="6">
        <v>289</v>
      </c>
      <c r="S249" s="7">
        <v>8.5</v>
      </c>
      <c r="T249" s="7">
        <v>18.75</v>
      </c>
      <c r="U249">
        <v>19.47</v>
      </c>
      <c r="V249" s="8">
        <v>0</v>
      </c>
      <c r="W249" s="7">
        <v>0</v>
      </c>
      <c r="X249" s="7">
        <v>0</v>
      </c>
      <c r="Y249">
        <v>1.37</v>
      </c>
      <c r="Z249" s="9">
        <v>0.01</v>
      </c>
      <c r="AB249">
        <v>0</v>
      </c>
      <c r="AC249">
        <v>0</v>
      </c>
      <c r="AD249">
        <v>9</v>
      </c>
      <c r="AE249">
        <v>2</v>
      </c>
      <c r="AF249">
        <v>3</v>
      </c>
      <c r="AG249">
        <v>2</v>
      </c>
      <c r="AH249">
        <v>0</v>
      </c>
      <c r="AI249" t="inlineStr">
        <is>
          <t>False</t>
        </is>
      </c>
      <c r="AJ249" s="2" t="str">
        <f>HYPERLINK("https://keepa.com/#!product/1-B072K59NYZ", "https://keepa.com/#!product/1-B072K59NYZ")</f>
      </c>
      <c r="AK249" s="2" t="str">
        <f>HYPERLINK("https://camelcamelcamel.com/search?sq=B072K59NYZ", "https://camelcamelcamel.com/search?sq=B072K59NYZ")</f>
      </c>
      <c r="AL249" t="inlineStr">
        <is>
          <t/>
        </is>
      </c>
      <c r="AM249" s="10">
        <v>45417.11111111111</v>
      </c>
      <c r="AN249" t="inlineStr">
        <is>
          <t>SAMSONITE Lumbar Support Pillow For Office Chair and Car Seat, Perfectly Balanced Memory Foam , Versatile Use Lower Back Cushion</t>
        </is>
      </c>
      <c r="AO249" t="inlineStr">
        <is>
          <t>4500</t>
        </is>
      </c>
      <c r="AP249" t="inlineStr">
        <is>
          <t>1500</t>
        </is>
      </c>
    </row>
    <row r="250">
      <c r="A250" t="inlineStr">
        <is>
          <t>B072LTSQ7H</t>
        </is>
      </c>
      <c r="B250" t="inlineStr">
        <is>
          <t>False</t>
        </is>
      </c>
      <c r="C250" t="inlineStr">
        <is>
          <t>B072LTSQ7H</t>
        </is>
      </c>
      <c r="D250" t="inlineStr">
        <is>
          <t>HOT TOOLS</t>
        </is>
      </c>
      <c r="E250" t="inlineStr">
        <is>
          <t>False</t>
        </is>
      </c>
      <c r="F250" t="inlineStr">
        <is>
          <t>Hot Tools Professional 1875W Quiet Performance Turbo Ionic Dryer</t>
        </is>
      </c>
      <c r="G250">
        <v>1</v>
      </c>
      <c r="H250" s="2" t="str">
        <f>HYPERLINK("https://www.amazon.com/dp/B072LTSQ7H", "https://www.amazon.com/dp/B072LTSQ7H")</f>
      </c>
      <c r="I250" s="14">
        <v>5</v>
      </c>
      <c r="J250" s="4">
        <v>7.04</v>
      </c>
      <c r="K250" s="5">
        <v>0.08800000000000001</v>
      </c>
      <c r="L250" s="5">
        <v>0.1335</v>
      </c>
      <c r="M250" t="inlineStr">
        <is>
          <t>True</t>
        </is>
      </c>
      <c r="N250" t="inlineStr">
        <is>
          <t>Beauty &amp; Personal Care</t>
        </is>
      </c>
      <c r="O250" s="6">
        <v>324922</v>
      </c>
      <c r="P250" s="6">
        <v>231450</v>
      </c>
      <c r="Q250" s="6">
        <v>23117</v>
      </c>
      <c r="R250" s="6">
        <v>38</v>
      </c>
      <c r="S250" s="7">
        <v>52.75</v>
      </c>
      <c r="T250" s="7">
        <v>79.99</v>
      </c>
      <c r="U250">
        <v>81.58</v>
      </c>
      <c r="V250" s="8">
        <v>0</v>
      </c>
      <c r="W250" s="7">
        <v>0</v>
      </c>
      <c r="X250" s="7">
        <v>0</v>
      </c>
      <c r="Y250">
        <v>2.4</v>
      </c>
      <c r="Z250" s="8">
        <v>0</v>
      </c>
      <c r="AB250">
        <v>0</v>
      </c>
      <c r="AC250">
        <v>0</v>
      </c>
      <c r="AD250">
        <v>1</v>
      </c>
      <c r="AE250">
        <v>1</v>
      </c>
      <c r="AF250">
        <v>0</v>
      </c>
      <c r="AG250">
        <v>1</v>
      </c>
      <c r="AH250">
        <v>0</v>
      </c>
      <c r="AI250" t="inlineStr">
        <is>
          <t>False</t>
        </is>
      </c>
      <c r="AJ250" s="2" t="str">
        <f>HYPERLINK("https://keepa.com/#!product/1-B072LTSQ7H", "https://keepa.com/#!product/1-B072LTSQ7H")</f>
      </c>
      <c r="AK250" s="2" t="str">
        <f>HYPERLINK("https://camelcamelcamel.com/search?sq=B072LTSQ7H", "https://camelcamelcamel.com/search?sq=B072LTSQ7H")</f>
      </c>
      <c r="AL250" t="inlineStr">
        <is>
          <t/>
        </is>
      </c>
      <c r="AM250" s="10">
        <v>45417.11111111111</v>
      </c>
      <c r="AN250" t="inlineStr">
        <is>
          <t>Hot Tools Professional 1875W Quiet Performance</t>
        </is>
      </c>
      <c r="AO250" t="inlineStr">
        <is>
          <t>120</t>
        </is>
      </c>
      <c r="AP250" t="inlineStr">
        <is>
          <t>TAKE ALL</t>
        </is>
      </c>
    </row>
    <row r="251">
      <c r="A251" t="inlineStr">
        <is>
          <t>B072M8FKRW</t>
        </is>
      </c>
      <c r="B251" t="inlineStr">
        <is>
          <t>False</t>
        </is>
      </c>
      <c r="C251" t="inlineStr">
        <is>
          <t>B072M8FKRW</t>
        </is>
      </c>
      <c r="D251" t="inlineStr">
        <is>
          <t>Levels Nutrition</t>
        </is>
      </c>
      <c r="E251" t="inlineStr">
        <is>
          <t>False</t>
        </is>
      </c>
      <c r="F251" t="inlineStr">
        <is>
          <t>Levels Grass Fed Whey Protein, No Artificials, 24G of Protein, Vanilla Bean, 5LB</t>
        </is>
      </c>
      <c r="G251">
        <v>1</v>
      </c>
      <c r="H251" s="2" t="str">
        <f>HYPERLINK("https://www.amazon.com/dp/B072M8FKRW", "https://www.amazon.com/dp/B072M8FKRW")</f>
      </c>
      <c r="I251" s="3">
        <v>26241</v>
      </c>
      <c r="J251" s="4">
        <v>15.36</v>
      </c>
      <c r="K251" s="5">
        <v>0.192</v>
      </c>
      <c r="L251" s="15">
        <v>0.3452</v>
      </c>
      <c r="M251" t="inlineStr">
        <is>
          <t>True</t>
        </is>
      </c>
      <c r="N251" t="inlineStr">
        <is>
          <t>Health &amp; Household</t>
        </is>
      </c>
      <c r="O251" s="6">
        <v>585</v>
      </c>
      <c r="P251" s="6">
        <v>620</v>
      </c>
      <c r="Q251" s="6">
        <v>500</v>
      </c>
      <c r="R251" s="6">
        <v>258</v>
      </c>
      <c r="S251" s="7">
        <v>44.5</v>
      </c>
      <c r="T251" s="7">
        <v>79.99</v>
      </c>
      <c r="U251">
        <v>78.89</v>
      </c>
      <c r="V251" s="8">
        <v>0</v>
      </c>
      <c r="W251" s="7">
        <v>0</v>
      </c>
      <c r="X251" s="7">
        <v>0</v>
      </c>
      <c r="Y251">
        <v>5.66</v>
      </c>
      <c r="Z251" s="8">
        <v>0</v>
      </c>
      <c r="AB251">
        <v>0</v>
      </c>
      <c r="AC251">
        <v>0</v>
      </c>
      <c r="AD251">
        <v>3</v>
      </c>
      <c r="AE251">
        <v>3</v>
      </c>
      <c r="AF251">
        <v>0</v>
      </c>
      <c r="AG251">
        <v>3</v>
      </c>
      <c r="AH251">
        <v>20</v>
      </c>
      <c r="AI251" t="inlineStr">
        <is>
          <t>False</t>
        </is>
      </c>
      <c r="AJ251" s="2" t="str">
        <f>HYPERLINK("https://keepa.com/#!product/1-B072M8FKRW", "https://keepa.com/#!product/1-B072M8FKRW")</f>
      </c>
      <c r="AK251" s="2" t="str">
        <f>HYPERLINK("https://camelcamelcamel.com/search?sq=B072M8FKRW", "https://camelcamelcamel.com/search?sq=B072M8FKRW")</f>
      </c>
      <c r="AL251" t="inlineStr">
        <is>
          <t/>
        </is>
      </c>
      <c r="AM251" s="10">
        <v>45417.11111111111</v>
      </c>
      <c r="AN251" t="inlineStr">
        <is>
          <t>Levels Grass Fed 100% Whey Protein, No Hormones, Vanilla Bean, 5LB</t>
        </is>
      </c>
      <c r="AO251" t="inlineStr">
        <is>
          <t>1500</t>
        </is>
      </c>
      <c r="AP251" t="inlineStr">
        <is>
          <t>250</t>
        </is>
      </c>
    </row>
    <row r="252">
      <c r="A252" t="inlineStr">
        <is>
          <t>B072S9Z5JQ</t>
        </is>
      </c>
      <c r="B252" t="inlineStr">
        <is>
          <t>False</t>
        </is>
      </c>
      <c r="C252" t="inlineStr">
        <is>
          <t>B072S9Z5JQ</t>
        </is>
      </c>
      <c r="D252" t="inlineStr">
        <is>
          <t>Energizer</t>
        </is>
      </c>
      <c r="E252" t="inlineStr">
        <is>
          <t>True</t>
        </is>
      </c>
      <c r="F252" t="inlineStr">
        <is>
          <t>Energizer AA/AAA 1 Hour Charger with 4 AA NiMH Rechargeable Batteries (Charges AA or AAA batteries in 1 hour or less) - Packaging May Vary</t>
        </is>
      </c>
      <c r="G252">
        <v>1</v>
      </c>
      <c r="H252" s="2" t="str">
        <f>HYPERLINK("https://www.amazon.com/dp/B072S9Z5JQ", "https://www.amazon.com/dp/B072S9Z5JQ")</f>
      </c>
      <c r="I252" s="14">
        <v>5</v>
      </c>
      <c r="J252" s="11">
        <v>0.54</v>
      </c>
      <c r="K252" s="5">
        <v>0.0183</v>
      </c>
      <c r="L252" s="5">
        <v>0.027000000000000003</v>
      </c>
      <c r="M252" t="inlineStr">
        <is>
          <t>False</t>
        </is>
      </c>
      <c r="N252" t="inlineStr">
        <is>
          <t>Health and Beauty</t>
        </is>
      </c>
      <c r="P252" s="6">
        <v>0</v>
      </c>
      <c r="Q252" s="6">
        <v>0</v>
      </c>
      <c r="R252" s="6">
        <v>0</v>
      </c>
      <c r="S252" s="7">
        <v>20</v>
      </c>
      <c r="T252" s="7">
        <v>29.58</v>
      </c>
      <c r="U252">
        <v>31.1</v>
      </c>
      <c r="V252" s="8">
        <v>0</v>
      </c>
      <c r="W252" s="7">
        <v>0</v>
      </c>
      <c r="X252" s="7">
        <v>0</v>
      </c>
      <c r="Y252">
        <v>0.82</v>
      </c>
      <c r="Z252" s="9">
        <v>1</v>
      </c>
      <c r="AB252">
        <v>0</v>
      </c>
      <c r="AC252">
        <v>0</v>
      </c>
      <c r="AD252">
        <v>18</v>
      </c>
      <c r="AE252">
        <v>11</v>
      </c>
      <c r="AF252">
        <v>5</v>
      </c>
      <c r="AG252">
        <v>3</v>
      </c>
      <c r="AH252">
        <v>2</v>
      </c>
      <c r="AI252" t="inlineStr">
        <is>
          <t>False</t>
        </is>
      </c>
      <c r="AJ252" s="2" t="str">
        <f>HYPERLINK("https://keepa.com/#!product/1-B072S9Z5JQ", "https://keepa.com/#!product/1-B072S9Z5JQ")</f>
      </c>
      <c r="AK252" s="2" t="str">
        <f>HYPERLINK("https://camelcamelcamel.com/search?sq=B072S9Z5JQ", "https://camelcamelcamel.com/search?sq=B072S9Z5JQ")</f>
      </c>
      <c r="AL252" t="inlineStr">
        <is>
          <t/>
        </is>
      </c>
      <c r="AM252" s="10">
        <v>45417.11111111111</v>
      </c>
      <c r="AN252" t="inlineStr">
        <is>
          <t>Energizer AA/AAA 1 Hour Charger with 4 AA NiMH Rechargeable Batteries (Charges AA or AAA batteries in 1 hour or less) - Packaging May Vary</t>
        </is>
      </c>
      <c r="AO252" t="inlineStr">
        <is>
          <t>2000</t>
        </is>
      </c>
      <c r="AP252" t="inlineStr">
        <is>
          <t>1000</t>
        </is>
      </c>
    </row>
    <row r="253">
      <c r="A253" t="inlineStr">
        <is>
          <t>B072WT7WQ8</t>
        </is>
      </c>
      <c r="B253" t="inlineStr">
        <is>
          <t>False</t>
        </is>
      </c>
      <c r="C253" t="inlineStr">
        <is>
          <t>B072WT7WQ8</t>
        </is>
      </c>
      <c r="D253" t="inlineStr">
        <is>
          <t>Hotel Sheets Direct</t>
        </is>
      </c>
      <c r="E253" t="inlineStr">
        <is>
          <t>False</t>
        </is>
      </c>
      <c r="F253" t="inlineStr">
        <is>
          <t>Hotel Sheets Direct 100% Viscose Derived from Bamboo Sheets Queen Size - Cooling Bed Sheets with 2 Pillowcases - Breathable, Moisture Wicking &amp; Silky Soft Sheets Set- Dark Grey</t>
        </is>
      </c>
      <c r="G253">
        <v>1</v>
      </c>
      <c r="H253" s="2" t="str">
        <f>HYPERLINK("https://www.amazon.com/dp/B072WT7WQ8", "https://www.amazon.com/dp/B072WT7WQ8")</f>
      </c>
      <c r="I253" s="3">
        <v>6647</v>
      </c>
      <c r="J253" s="4">
        <v>24.81</v>
      </c>
      <c r="K253" s="15">
        <v>0.3829</v>
      </c>
      <c r="L253" s="15">
        <v>1.1027</v>
      </c>
      <c r="M253" t="inlineStr">
        <is>
          <t>True</t>
        </is>
      </c>
      <c r="N253" t="inlineStr">
        <is>
          <t>Home &amp; Kitchen</t>
        </is>
      </c>
      <c r="O253" s="6">
        <v>1924</v>
      </c>
      <c r="P253" s="6">
        <v>903</v>
      </c>
      <c r="Q253" s="6">
        <v>154</v>
      </c>
      <c r="R253" s="6">
        <v>260</v>
      </c>
      <c r="S253" s="7">
        <v>22.5</v>
      </c>
      <c r="T253" s="7">
        <v>64.79</v>
      </c>
      <c r="U253">
        <v>51.81</v>
      </c>
      <c r="V253" s="8">
        <v>0</v>
      </c>
      <c r="W253" s="7">
        <v>0</v>
      </c>
      <c r="X253" s="7">
        <v>0</v>
      </c>
      <c r="Y253">
        <v>5</v>
      </c>
      <c r="Z253" s="8">
        <v>0</v>
      </c>
      <c r="AB253">
        <v>0</v>
      </c>
      <c r="AC253">
        <v>0</v>
      </c>
      <c r="AD253">
        <v>5</v>
      </c>
      <c r="AE253">
        <v>5</v>
      </c>
      <c r="AF253">
        <v>0</v>
      </c>
      <c r="AG253">
        <v>5</v>
      </c>
      <c r="AH253">
        <v>93</v>
      </c>
      <c r="AI253" t="inlineStr">
        <is>
          <t>False</t>
        </is>
      </c>
      <c r="AJ253" s="2" t="str">
        <f>HYPERLINK("https://keepa.com/#!product/1-B072WT7WQ8", "https://keepa.com/#!product/1-B072WT7WQ8")</f>
      </c>
      <c r="AK253" s="2" t="str">
        <f>HYPERLINK("https://camelcamelcamel.com/search?sq=B072WT7WQ8", "https://camelcamelcamel.com/search?sq=B072WT7WQ8")</f>
      </c>
      <c r="AL253" t="inlineStr">
        <is>
          <t/>
        </is>
      </c>
      <c r="AM253" s="10">
        <v>45417.11111111111</v>
      </c>
      <c r="AN253" t="inlineStr">
        <is>
          <t>Hotel Sheets Direct 100% Viscose Derived from Bamboo Sheets Queen - Cooling Luxury Bed Sheets w Deep Pocket - Silky Soft - Dark Grey</t>
        </is>
      </c>
      <c r="AO253" t="inlineStr">
        <is>
          <t>580</t>
        </is>
      </c>
      <c r="AP253" t="inlineStr">
        <is>
          <t>TAKE ALL</t>
        </is>
      </c>
    </row>
    <row r="254">
      <c r="A254" t="inlineStr">
        <is>
          <t>B073HPVSHP</t>
        </is>
      </c>
      <c r="B254" t="inlineStr">
        <is>
          <t>False</t>
        </is>
      </c>
      <c r="C254" t="inlineStr">
        <is>
          <t>B073HPVSHP</t>
        </is>
      </c>
      <c r="D254" t="inlineStr">
        <is>
          <t>Tylenol</t>
        </is>
      </c>
      <c r="E254" t="inlineStr">
        <is>
          <t>False</t>
        </is>
      </c>
      <c r="F254" t="inlineStr">
        <is>
          <t>Tylenol Regular Strength Liquid Gels, 90 Count Per Bottle (2 Bottles)</t>
        </is>
      </c>
      <c r="G254">
        <v>2</v>
      </c>
      <c r="H254" s="2" t="str">
        <f>HYPERLINK("https://www.amazon.com/dp/B073HPVSHP", "https://www.amazon.com/dp/B073HPVSHP")</f>
      </c>
      <c r="I254" s="3">
        <v>325</v>
      </c>
      <c r="J254" s="4">
        <v>20.15</v>
      </c>
      <c r="K254" s="5">
        <v>0.2687</v>
      </c>
      <c r="L254" s="15">
        <v>0.5167</v>
      </c>
      <c r="M254" t="inlineStr">
        <is>
          <t>True</t>
        </is>
      </c>
      <c r="N254" t="inlineStr">
        <is>
          <t>Health &amp; Household</t>
        </is>
      </c>
      <c r="O254" s="6">
        <v>49694</v>
      </c>
      <c r="P254" s="6">
        <v>83905</v>
      </c>
      <c r="Q254" s="6">
        <v>38332</v>
      </c>
      <c r="R254" s="6">
        <v>145</v>
      </c>
      <c r="S254" s="7">
        <v>19.5</v>
      </c>
      <c r="T254" s="7">
        <v>74.98</v>
      </c>
      <c r="U254">
        <v>33.28</v>
      </c>
      <c r="V254" s="8">
        <v>0</v>
      </c>
      <c r="W254" s="7">
        <v>0</v>
      </c>
      <c r="X254" s="7">
        <v>0</v>
      </c>
      <c r="Y254">
        <v>0.82</v>
      </c>
      <c r="Z254" s="8">
        <v>0</v>
      </c>
      <c r="AB254">
        <v>0</v>
      </c>
      <c r="AC254">
        <v>0</v>
      </c>
      <c r="AD254">
        <v>1</v>
      </c>
      <c r="AE254">
        <v>0</v>
      </c>
      <c r="AF254">
        <v>1</v>
      </c>
      <c r="AG254">
        <v>0</v>
      </c>
      <c r="AH254">
        <v>0</v>
      </c>
      <c r="AI254" t="inlineStr">
        <is>
          <t>False</t>
        </is>
      </c>
      <c r="AJ254" s="2" t="str">
        <f>HYPERLINK("https://keepa.com/#!product/1-B073HPVSHP", "https://keepa.com/#!product/1-B073HPVSHP")</f>
      </c>
      <c r="AK254" s="2" t="str">
        <f>HYPERLINK("https://camelcamelcamel.com/search?sq=B073HPVSHP", "https://camelcamelcamel.com/search?sq=B073HPVSHP")</f>
      </c>
      <c r="AL254" t="inlineStr">
        <is>
          <t/>
        </is>
      </c>
      <c r="AM254" s="10">
        <v>45417.11111111111</v>
      </c>
      <c r="AN254" t="inlineStr">
        <is>
          <t>Tylenol Regular Strength Liquid Gels, 90 Count Per Bottle (2 Bottles)</t>
        </is>
      </c>
      <c r="AO254" t="inlineStr">
        <is>
          <t>1500</t>
        </is>
      </c>
      <c r="AP254" t="inlineStr">
        <is>
          <t>240</t>
        </is>
      </c>
    </row>
    <row r="255">
      <c r="A255" t="inlineStr">
        <is>
          <t>B073PTVDCQ</t>
        </is>
      </c>
      <c r="B255" t="inlineStr">
        <is>
          <t>False</t>
        </is>
      </c>
      <c r="C255" t="inlineStr">
        <is>
          <t>B073PTVDCQ</t>
        </is>
      </c>
      <c r="D255" t="inlineStr">
        <is>
          <t>Playz</t>
        </is>
      </c>
      <c r="E255" t="inlineStr">
        <is>
          <t>False</t>
        </is>
      </c>
      <c r="F255" t="inlineStr">
        <is>
          <t>Playz 5pc Kids Play Tent Jungle Gym, Ball Pit, Pop Up Tents &amp; Play Tunnel for Toddlers, Babies, and Kids Indoor &amp; Outdoor Playhouse Bundle with Dartboard and 5 Sticky Balls, Gift for Boys &amp; Girls</t>
        </is>
      </c>
      <c r="G255">
        <v>1</v>
      </c>
      <c r="H255" s="2" t="str">
        <f>HYPERLINK("https://www.amazon.com/dp/B073PTVDCQ", "https://www.amazon.com/dp/B073PTVDCQ")</f>
      </c>
      <c r="I255" s="3">
        <v>396</v>
      </c>
      <c r="J255" s="4">
        <v>13.01</v>
      </c>
      <c r="K255" s="5">
        <v>0.2324</v>
      </c>
      <c r="L255" s="15">
        <v>0.5004</v>
      </c>
      <c r="M255" t="inlineStr">
        <is>
          <t>True</t>
        </is>
      </c>
      <c r="N255" t="inlineStr">
        <is>
          <t>Toys &amp; Games</t>
        </is>
      </c>
      <c r="O255" s="6">
        <v>24438</v>
      </c>
      <c r="P255" s="6">
        <v>14129</v>
      </c>
      <c r="Q255" s="6">
        <v>3909</v>
      </c>
      <c r="R255" s="6">
        <v>214</v>
      </c>
      <c r="S255" s="7">
        <v>26</v>
      </c>
      <c r="T255" s="7">
        <v>55.99</v>
      </c>
      <c r="U255">
        <v>56.89</v>
      </c>
      <c r="V255" s="8">
        <v>0</v>
      </c>
      <c r="W255" s="7">
        <v>0</v>
      </c>
      <c r="X255" s="7">
        <v>0</v>
      </c>
      <c r="Y255">
        <v>5.67</v>
      </c>
      <c r="Z255" s="8">
        <v>0</v>
      </c>
      <c r="AB255">
        <v>0</v>
      </c>
      <c r="AC255">
        <v>0</v>
      </c>
      <c r="AD255">
        <v>7</v>
      </c>
      <c r="AE255">
        <v>3</v>
      </c>
      <c r="AF255">
        <v>1</v>
      </c>
      <c r="AG255">
        <v>1</v>
      </c>
      <c r="AH255">
        <v>2</v>
      </c>
      <c r="AI255" t="inlineStr">
        <is>
          <t>False</t>
        </is>
      </c>
      <c r="AJ255" s="2" t="str">
        <f>HYPERLINK("https://keepa.com/#!product/1-B073PTVDCQ", "https://keepa.com/#!product/1-B073PTVDCQ")</f>
      </c>
      <c r="AK255" s="2" t="str">
        <f>HYPERLINK("https://camelcamelcamel.com/search?sq=B073PTVDCQ", "https://camelcamelcamel.com/search?sq=B073PTVDCQ")</f>
      </c>
      <c r="AL255" t="inlineStr">
        <is>
          <t/>
        </is>
      </c>
      <c r="AM255" s="10">
        <v>45417.11111111111</v>
      </c>
      <c r="AN255" t="inlineStr">
        <is>
          <t>Playz 5pc Kids Play Tent Jungle Gym, Ball Pit, Pop Up Tents &amp; Play Tunnel for Toddlers, Babies, and Kids Indoor &amp; Outdoor Playhouse Bundle with Dartboard and 5 Sticky Balls, Gift for Boys &amp; Girls</t>
        </is>
      </c>
      <c r="AO255" t="inlineStr">
        <is>
          <t>400</t>
        </is>
      </c>
      <c r="AP255" t="inlineStr">
        <is>
          <t>200</t>
        </is>
      </c>
    </row>
    <row r="256">
      <c r="A256" t="inlineStr">
        <is>
          <t>B073X86WRB</t>
        </is>
      </c>
      <c r="B256" t="inlineStr">
        <is>
          <t>False</t>
        </is>
      </c>
      <c r="C256" t="inlineStr">
        <is>
          <t>B073X86WRB</t>
        </is>
      </c>
      <c r="D256" t="inlineStr">
        <is>
          <t>CITRUCEL</t>
        </is>
      </c>
      <c r="E256" t="inlineStr">
        <is>
          <t>False</t>
        </is>
      </c>
      <c r="F256" t="inlineStr">
        <is>
          <t>Citrucel Fiber Therapy, 240 Fiber Caplets (2 Pack)</t>
        </is>
      </c>
      <c r="G256">
        <v>1</v>
      </c>
      <c r="H256" s="2" t="str">
        <f>HYPERLINK("https://www.amazon.com/dp/B073X86WRB", "https://www.amazon.com/dp/B073X86WRB")</f>
      </c>
      <c r="I256" s="16">
        <v>48</v>
      </c>
      <c r="J256" s="4">
        <v>50.02</v>
      </c>
      <c r="K256" s="15">
        <v>0.38780000000000003</v>
      </c>
      <c r="L256" s="15">
        <v>0.9262999999999999</v>
      </c>
      <c r="M256" t="inlineStr">
        <is>
          <t>True</t>
        </is>
      </c>
      <c r="N256" t="inlineStr">
        <is>
          <t>Health &amp; Household</t>
        </is>
      </c>
      <c r="O256" s="6">
        <v>150362</v>
      </c>
      <c r="P256" s="6">
        <v>159430</v>
      </c>
      <c r="Q256" s="6">
        <v>85245</v>
      </c>
      <c r="R256" s="6">
        <v>158</v>
      </c>
      <c r="S256" s="7">
        <v>54</v>
      </c>
      <c r="T256" s="7">
        <v>129</v>
      </c>
      <c r="U256">
        <v>0</v>
      </c>
      <c r="V256" s="8">
        <v>0</v>
      </c>
      <c r="W256" s="7">
        <v>0</v>
      </c>
      <c r="X256" s="7">
        <v>0</v>
      </c>
      <c r="Y256">
        <v>1.12</v>
      </c>
      <c r="Z256" s="8">
        <v>0</v>
      </c>
      <c r="AB256">
        <v>0</v>
      </c>
      <c r="AC256">
        <v>0</v>
      </c>
      <c r="AD256">
        <v>3</v>
      </c>
      <c r="AE256">
        <v>0</v>
      </c>
      <c r="AF256">
        <v>3</v>
      </c>
      <c r="AG256">
        <v>0</v>
      </c>
      <c r="AH256">
        <v>1</v>
      </c>
      <c r="AI256" t="inlineStr">
        <is>
          <t>False</t>
        </is>
      </c>
      <c r="AJ256" s="2" t="str">
        <f>HYPERLINK("https://keepa.com/#!product/1-B073X86WRB", "https://keepa.com/#!product/1-B073X86WRB")</f>
      </c>
      <c r="AK256" s="2" t="str">
        <f>HYPERLINK("https://camelcamelcamel.com/search?sq=B073X86WRB", "https://camelcamelcamel.com/search?sq=B073X86WRB")</f>
      </c>
      <c r="AL256" t="inlineStr">
        <is>
          <t/>
        </is>
      </c>
      <c r="AM256" s="10">
        <v>45417.11111111111</v>
      </c>
      <c r="AN256" t="inlineStr">
        <is>
          <t>Citrucel Fiber Therapy, 240 Fiber Caplets (2 Pack)</t>
        </is>
      </c>
      <c r="AO256" t="inlineStr">
        <is>
          <t>982</t>
        </is>
      </c>
      <c r="AP256" t="inlineStr">
        <is>
          <t>200</t>
        </is>
      </c>
    </row>
    <row r="257">
      <c r="A257" t="inlineStr">
        <is>
          <t>B0746MXQVV</t>
        </is>
      </c>
      <c r="B257" t="inlineStr">
        <is>
          <t>False</t>
        </is>
      </c>
      <c r="C257" t="inlineStr">
        <is>
          <t>B0746MXQVV</t>
        </is>
      </c>
      <c r="D257" t="inlineStr">
        <is>
          <t>Dyson</t>
        </is>
      </c>
      <c r="E257" t="inlineStr">
        <is>
          <t>False</t>
        </is>
      </c>
      <c r="F257" t="inlineStr">
        <is>
          <t>Dyson Air Purifier Replacement (HP01, HP02, DP01) 360° Glass HEPA Filter, 1 Count (Pack of 1), Silver/Green</t>
        </is>
      </c>
      <c r="G257">
        <v>1</v>
      </c>
      <c r="H257" s="2" t="str">
        <f>HYPERLINK("https://www.amazon.com/dp/B0746MXQVV", "https://www.amazon.com/dp/B0746MXQVV")</f>
      </c>
      <c r="I257" s="3">
        <v>550</v>
      </c>
      <c r="J257" s="4">
        <v>16.82</v>
      </c>
      <c r="K257" s="5">
        <v>0.2403</v>
      </c>
      <c r="L257" s="15">
        <v>0.4806</v>
      </c>
      <c r="M257" t="inlineStr">
        <is>
          <t>True</t>
        </is>
      </c>
      <c r="N257" t="inlineStr">
        <is>
          <t>Home &amp; Kitchen</t>
        </is>
      </c>
      <c r="O257" s="6">
        <v>49393</v>
      </c>
      <c r="P257" s="6">
        <v>175991</v>
      </c>
      <c r="Q257" s="6">
        <v>31288</v>
      </c>
      <c r="R257" s="6">
        <v>175</v>
      </c>
      <c r="S257" s="7">
        <v>35</v>
      </c>
      <c r="T257" s="7">
        <v>69.99</v>
      </c>
      <c r="U257">
        <v>68.8</v>
      </c>
      <c r="V257" s="8">
        <v>0</v>
      </c>
      <c r="W257" s="7">
        <v>0</v>
      </c>
      <c r="X257" s="7">
        <v>0</v>
      </c>
      <c r="Y257">
        <v>1.08</v>
      </c>
      <c r="Z257" s="9">
        <v>0.05</v>
      </c>
      <c r="AB257">
        <v>0</v>
      </c>
      <c r="AC257">
        <v>0</v>
      </c>
      <c r="AD257">
        <v>3</v>
      </c>
      <c r="AE257">
        <v>3</v>
      </c>
      <c r="AF257">
        <v>0</v>
      </c>
      <c r="AG257">
        <v>3</v>
      </c>
      <c r="AH257">
        <v>0</v>
      </c>
      <c r="AI257" t="inlineStr">
        <is>
          <t>False</t>
        </is>
      </c>
      <c r="AJ257" s="2" t="str">
        <f>HYPERLINK("https://keepa.com/#!product/1-B0746MXQVV", "https://keepa.com/#!product/1-B0746MXQVV")</f>
      </c>
      <c r="AK257" s="2" t="str">
        <f>HYPERLINK("https://camelcamelcamel.com/search?sq=B0746MXQVV", "https://camelcamelcamel.com/search?sq=B0746MXQVV")</f>
      </c>
      <c r="AL257" t="inlineStr">
        <is>
          <t/>
        </is>
      </c>
      <c r="AM257" s="10">
        <v>45417.11111111111</v>
      </c>
      <c r="AN257" t="inlineStr">
        <is>
          <t>Dyson Air Purifier Replacement (HP01, HP02, DP01) 360Â° Glass HEPA Filter, 1 Count (Pack of 1), Silver/Green</t>
        </is>
      </c>
      <c r="AO257" t="inlineStr">
        <is>
          <t>500</t>
        </is>
      </c>
      <c r="AP257" t="inlineStr">
        <is>
          <t>TAKE ALL</t>
        </is>
      </c>
    </row>
    <row r="258">
      <c r="A258" t="inlineStr">
        <is>
          <t>B074QJY8ZV</t>
        </is>
      </c>
      <c r="B258" t="inlineStr">
        <is>
          <t>False</t>
        </is>
      </c>
      <c r="C258" t="inlineStr">
        <is>
          <t>B074QJY8ZV</t>
        </is>
      </c>
      <c r="D258" t="inlineStr">
        <is>
          <t>VETRISCIENCE</t>
        </is>
      </c>
      <c r="E258" t="inlineStr">
        <is>
          <t>False</t>
        </is>
      </c>
      <c r="F258" t="inlineStr">
        <is>
          <t>VETRISCIENCE Laboratories 0900571.060 Glycoflex Everyday</t>
        </is>
      </c>
      <c r="G258">
        <v>1</v>
      </c>
      <c r="H258" s="2" t="str">
        <f>HYPERLINK("https://www.amazon.com/dp/B074QJY8ZV", "https://www.amazon.com/dp/B074QJY8ZV")</f>
      </c>
      <c r="I258" s="3">
        <v>1043</v>
      </c>
      <c r="J258" s="11">
        <v>2.44</v>
      </c>
      <c r="K258" s="5">
        <v>0.12710000000000002</v>
      </c>
      <c r="L258" s="5">
        <v>0.2503</v>
      </c>
      <c r="M258" t="inlineStr">
        <is>
          <t>True</t>
        </is>
      </c>
      <c r="N258" t="inlineStr">
        <is>
          <t>Pet Supplies</t>
        </is>
      </c>
      <c r="O258" s="6">
        <v>7512</v>
      </c>
      <c r="P258" s="6">
        <v>8468</v>
      </c>
      <c r="Q258" s="6">
        <v>3880</v>
      </c>
      <c r="R258" s="6">
        <v>196</v>
      </c>
      <c r="S258" s="7">
        <v>9.75</v>
      </c>
      <c r="T258" s="7">
        <v>19.19</v>
      </c>
      <c r="U258">
        <v>19.06</v>
      </c>
      <c r="V258" s="8">
        <v>0</v>
      </c>
      <c r="W258" s="7">
        <v>0</v>
      </c>
      <c r="X258" s="7">
        <v>0</v>
      </c>
      <c r="Y258">
        <v>0.42</v>
      </c>
      <c r="Z258" s="9">
        <v>1</v>
      </c>
      <c r="AB258">
        <v>0</v>
      </c>
      <c r="AC258">
        <v>0</v>
      </c>
      <c r="AD258">
        <v>2</v>
      </c>
      <c r="AE258">
        <v>2</v>
      </c>
      <c r="AF258">
        <v>0</v>
      </c>
      <c r="AG258">
        <v>2</v>
      </c>
      <c r="AH258">
        <v>4</v>
      </c>
      <c r="AI258" t="inlineStr">
        <is>
          <t>False</t>
        </is>
      </c>
      <c r="AJ258" s="2" t="str">
        <f>HYPERLINK("https://keepa.com/#!product/1-B074QJY8ZV", "https://keepa.com/#!product/1-B074QJY8ZV")</f>
      </c>
      <c r="AK258" s="2" t="str">
        <f>HYPERLINK("https://camelcamelcamel.com/search?sq=B074QJY8ZV", "https://camelcamelcamel.com/search?sq=B074QJY8ZV")</f>
      </c>
      <c r="AL258" t="inlineStr">
        <is>
          <t/>
        </is>
      </c>
      <c r="AM258" s="10">
        <v>45417.11111111111</v>
      </c>
      <c r="AN258" t="inlineStr">
        <is>
          <t>VETRISCIENCE Laboratories 0900571.060 Glycoflex Everyday</t>
        </is>
      </c>
      <c r="AO258" t="inlineStr">
        <is>
          <t>540</t>
        </is>
      </c>
      <c r="AP258" t="inlineStr">
        <is>
          <t>TAKE ALL</t>
        </is>
      </c>
    </row>
    <row r="259">
      <c r="A259" t="inlineStr">
        <is>
          <t>B074ZLYTXF</t>
        </is>
      </c>
      <c r="B259" t="inlineStr">
        <is>
          <t>False</t>
        </is>
      </c>
      <c r="C259" t="inlineStr">
        <is>
          <t>B074ZLYTXF</t>
        </is>
      </c>
      <c r="D259" t="inlineStr">
        <is>
          <t>Salonpas</t>
        </is>
      </c>
      <c r="E259" t="inlineStr">
        <is>
          <t>False</t>
        </is>
      </c>
      <c r="F259" t="inlineStr">
        <is>
          <t>Salonpas LIDOCAINE (5 PACK Bundle) Pain Relieving Maximum Strength Gel Patch!</t>
        </is>
      </c>
      <c r="G259">
        <v>1</v>
      </c>
      <c r="H259" s="2" t="str">
        <f>HYPERLINK("https://www.amazon.com/dp/B074ZLYTXF", "https://www.amazon.com/dp/B074ZLYTXF")</f>
      </c>
      <c r="I259" s="3">
        <v>468</v>
      </c>
      <c r="J259" s="4">
        <v>11.67</v>
      </c>
      <c r="K259" s="5">
        <v>0.2426</v>
      </c>
      <c r="L259" s="15">
        <v>0.5074000000000001</v>
      </c>
      <c r="M259" t="inlineStr">
        <is>
          <t>True</t>
        </is>
      </c>
      <c r="N259" t="inlineStr">
        <is>
          <t>Health &amp; Household</t>
        </is>
      </c>
      <c r="O259" s="6">
        <v>38937</v>
      </c>
      <c r="P259" s="6">
        <v>29760</v>
      </c>
      <c r="Q259" s="6">
        <v>17202</v>
      </c>
      <c r="R259" s="6">
        <v>156</v>
      </c>
      <c r="S259" s="7">
        <v>23</v>
      </c>
      <c r="T259" s="7">
        <v>48.11</v>
      </c>
      <c r="U259">
        <v>48.21</v>
      </c>
      <c r="V259" s="8">
        <v>0</v>
      </c>
      <c r="W259" s="7">
        <v>0</v>
      </c>
      <c r="X259" s="7">
        <v>0</v>
      </c>
      <c r="Y259">
        <v>1.52</v>
      </c>
      <c r="Z259" s="8">
        <v>0</v>
      </c>
      <c r="AB259">
        <v>0</v>
      </c>
      <c r="AC259">
        <v>0</v>
      </c>
      <c r="AD259">
        <v>45</v>
      </c>
      <c r="AE259">
        <v>10</v>
      </c>
      <c r="AF259">
        <v>35</v>
      </c>
      <c r="AG259">
        <v>3</v>
      </c>
      <c r="AH259">
        <v>0</v>
      </c>
      <c r="AI259" t="inlineStr">
        <is>
          <t>False</t>
        </is>
      </c>
      <c r="AJ259" s="2" t="str">
        <f>HYPERLINK("https://keepa.com/#!product/1-B074ZLYTXF", "https://keepa.com/#!product/1-B074ZLYTXF")</f>
      </c>
      <c r="AK259" s="2" t="str">
        <f>HYPERLINK("https://camelcamelcamel.com/search?sq=B074ZLYTXF", "https://camelcamelcamel.com/search?sq=B074ZLYTXF")</f>
      </c>
      <c r="AL259" t="inlineStr">
        <is>
          <t/>
        </is>
      </c>
      <c r="AM259" s="10">
        <v>45417.11111111111</v>
      </c>
      <c r="AN259" t="inlineStr">
        <is>
          <t>Salonpas LIDOCAINE (5 PACK Bundle) Pain Relieving Maximum Strength Gel Patch!</t>
        </is>
      </c>
      <c r="AO259" t="inlineStr">
        <is>
          <t>1000</t>
        </is>
      </c>
      <c r="AP259" t="inlineStr">
        <is>
          <t>TAKE ALL</t>
        </is>
      </c>
    </row>
    <row r="260">
      <c r="A260" t="inlineStr">
        <is>
          <t>B0753KPZHM</t>
        </is>
      </c>
      <c r="B260" t="inlineStr">
        <is>
          <t>False</t>
        </is>
      </c>
      <c r="C260" t="inlineStr">
        <is>
          <t>B0753KPZHM</t>
        </is>
      </c>
      <c r="D260" t="inlineStr">
        <is>
          <t>Toblerone</t>
        </is>
      </c>
      <c r="E260" t="inlineStr">
        <is>
          <t>False</t>
        </is>
      </c>
      <c r="F260" t="inlineStr">
        <is>
          <t>Toblerone Milk Chocolate Bar with Honey and Almond Nougat, 12.6 oz</t>
        </is>
      </c>
      <c r="G260">
        <v>1</v>
      </c>
      <c r="H260" s="2" t="str">
        <f>HYPERLINK("https://www.amazon.com/dp/B0753KPZHM", "https://www.amazon.com/dp/B0753KPZHM")</f>
      </c>
      <c r="I260" s="3">
        <v>557</v>
      </c>
      <c r="J260" s="12">
        <v>-18.14</v>
      </c>
      <c r="K260" s="13">
        <v>-0.3943</v>
      </c>
      <c r="L260" s="13">
        <v>-0.376</v>
      </c>
      <c r="M260" t="inlineStr">
        <is>
          <t>True</t>
        </is>
      </c>
      <c r="N260" t="inlineStr">
        <is>
          <t>Grocery &amp; Gourmet Food</t>
        </is>
      </c>
      <c r="O260" s="6">
        <v>15041</v>
      </c>
      <c r="P260" s="6">
        <v>7307</v>
      </c>
      <c r="Q260" s="6">
        <v>4382</v>
      </c>
      <c r="R260" s="6">
        <v>278</v>
      </c>
      <c r="S260" s="7">
        <v>48.25</v>
      </c>
      <c r="T260" s="7">
        <v>46</v>
      </c>
      <c r="U260">
        <v>52.57</v>
      </c>
      <c r="V260" s="8">
        <v>0</v>
      </c>
      <c r="W260" s="7">
        <v>0</v>
      </c>
      <c r="X260" s="7">
        <v>0</v>
      </c>
      <c r="Y260">
        <v>8.58</v>
      </c>
      <c r="Z260" s="9">
        <v>1</v>
      </c>
      <c r="AB260">
        <v>0</v>
      </c>
      <c r="AC260">
        <v>0</v>
      </c>
      <c r="AD260">
        <v>4</v>
      </c>
      <c r="AE260">
        <v>1</v>
      </c>
      <c r="AF260">
        <v>3</v>
      </c>
      <c r="AG260">
        <v>1</v>
      </c>
      <c r="AH260">
        <v>4</v>
      </c>
      <c r="AI260" t="inlineStr">
        <is>
          <t>False</t>
        </is>
      </c>
      <c r="AJ260" s="2" t="str">
        <f>HYPERLINK("https://keepa.com/#!product/1-B0753KPZHM", "https://keepa.com/#!product/1-B0753KPZHM")</f>
      </c>
      <c r="AK260" s="2" t="str">
        <f>HYPERLINK("https://camelcamelcamel.com/search?sq=B0753KPZHM", "https://camelcamelcamel.com/search?sq=B0753KPZHM")</f>
      </c>
      <c r="AL260" t="inlineStr">
        <is>
          <t/>
        </is>
      </c>
      <c r="AM260" s="10">
        <v>45417.11111111111</v>
      </c>
      <c r="AN260" t="inlineStr">
        <is>
          <t>Toblerone Swiss Milk Chocolate with Honey &amp; Almond Nougat, Valentines Day Chocolate Candy, 10 - 12.6 oz. Bars</t>
        </is>
      </c>
      <c r="AO260" t="inlineStr">
        <is>
          <t>240</t>
        </is>
      </c>
      <c r="AP260" t="inlineStr">
        <is>
          <t>TAKE ALL</t>
        </is>
      </c>
    </row>
    <row r="261">
      <c r="A261" t="inlineStr">
        <is>
          <t>B0754FW1ZB</t>
        </is>
      </c>
      <c r="B261" t="inlineStr">
        <is>
          <t>False</t>
        </is>
      </c>
      <c r="C261" t="inlineStr">
        <is>
          <t>B0754FW1ZB</t>
        </is>
      </c>
      <c r="D261" t="inlineStr">
        <is>
          <t>Melostu</t>
        </is>
      </c>
      <c r="E261" t="inlineStr">
        <is>
          <t>False</t>
        </is>
      </c>
      <c r="F261" t="inlineStr">
        <is>
          <t>Copper Knife - 2 Pack. Never Needs Sharpening - COPPER KNIFE Stainless Steel Stays Sharp Forever</t>
        </is>
      </c>
      <c r="G261">
        <v>2</v>
      </c>
      <c r="H261" s="2" t="str">
        <f>HYPERLINK("https://www.amazon.com/dp/B0754FW1ZB", "https://www.amazon.com/dp/B0754FW1ZB")</f>
      </c>
      <c r="I261" s="3">
        <v>90</v>
      </c>
      <c r="J261" s="12">
        <v>-3.46</v>
      </c>
      <c r="K261" s="13">
        <v>-0.4391</v>
      </c>
      <c r="L261" s="13">
        <v>-0.4943</v>
      </c>
      <c r="M261" t="inlineStr">
        <is>
          <t>True</t>
        </is>
      </c>
      <c r="N261" t="inlineStr">
        <is>
          <t>Kitchen &amp; Dining</t>
        </is>
      </c>
      <c r="O261" s="6">
        <v>68006</v>
      </c>
      <c r="P261" s="6">
        <v>74465</v>
      </c>
      <c r="Q261" s="6">
        <v>37120</v>
      </c>
      <c r="R261" s="6">
        <v>91</v>
      </c>
      <c r="S261" s="7">
        <v>3.5</v>
      </c>
      <c r="T261" s="7">
        <v>7.88</v>
      </c>
      <c r="U261">
        <v>8.49</v>
      </c>
      <c r="V261" s="8">
        <v>0</v>
      </c>
      <c r="W261" s="7">
        <v>0</v>
      </c>
      <c r="X261" s="7">
        <v>0</v>
      </c>
      <c r="Y261">
        <v>0.26</v>
      </c>
      <c r="Z261" s="8">
        <v>0</v>
      </c>
      <c r="AB261">
        <v>0</v>
      </c>
      <c r="AC261">
        <v>0</v>
      </c>
      <c r="AD261">
        <v>18</v>
      </c>
      <c r="AE261">
        <v>8</v>
      </c>
      <c r="AF261">
        <v>10</v>
      </c>
      <c r="AG261">
        <v>3</v>
      </c>
      <c r="AH261">
        <v>0</v>
      </c>
      <c r="AI261" t="inlineStr">
        <is>
          <t>False</t>
        </is>
      </c>
      <c r="AJ261" s="2" t="str">
        <f>HYPERLINK("https://keepa.com/#!product/1-B0754FW1ZB", "https://keepa.com/#!product/1-B0754FW1ZB")</f>
      </c>
      <c r="AK261" s="2" t="str">
        <f>HYPERLINK("https://camelcamelcamel.com/search?sq=B0754FW1ZB", "https://camelcamelcamel.com/search?sq=B0754FW1ZB")</f>
      </c>
      <c r="AL261" t="inlineStr">
        <is>
          <t/>
        </is>
      </c>
      <c r="AM261" s="10">
        <v>45417.11111111111</v>
      </c>
      <c r="AN261" t="inlineStr">
        <is>
          <t>Copper Knife - 2 Pack. Never Needs Sharpening - COPPER KNIFE Stainless Steel Stays Sharp Forever</t>
        </is>
      </c>
      <c r="AO261" t="inlineStr">
        <is>
          <t>2000</t>
        </is>
      </c>
      <c r="AP261" t="inlineStr">
        <is>
          <t>TAKE ALL</t>
        </is>
      </c>
    </row>
    <row r="262">
      <c r="A262" t="inlineStr">
        <is>
          <t>B075MPZ8KC</t>
        </is>
      </c>
      <c r="B262" t="inlineStr">
        <is>
          <t>False</t>
        </is>
      </c>
      <c r="C262" t="inlineStr">
        <is>
          <t>B075MPZ8KC</t>
        </is>
      </c>
      <c r="D262" t="inlineStr">
        <is>
          <t>CAN AM</t>
        </is>
      </c>
      <c r="E262" t="inlineStr">
        <is>
          <t>False</t>
        </is>
      </c>
      <c r="F262" t="inlineStr">
        <is>
          <t>Can-Am New OEM 100% PBO Performance Drive Belt Maverick X3, 422280652</t>
        </is>
      </c>
      <c r="G262">
        <v>1</v>
      </c>
      <c r="H262" s="2" t="str">
        <f>HYPERLINK("https://www.amazon.com/dp/B075MPZ8KC", "https://www.amazon.com/dp/B075MPZ8KC")</f>
      </c>
      <c r="I262" s="3">
        <v>126</v>
      </c>
      <c r="J262" s="4">
        <v>55.93</v>
      </c>
      <c r="K262" s="15">
        <v>0.3107</v>
      </c>
      <c r="L262" s="15">
        <v>0.6079</v>
      </c>
      <c r="M262" t="inlineStr">
        <is>
          <t>True</t>
        </is>
      </c>
      <c r="N262" t="inlineStr">
        <is>
          <t>Automotive</t>
        </is>
      </c>
      <c r="O262" s="6">
        <v>49048</v>
      </c>
      <c r="P262" s="6">
        <v>16466</v>
      </c>
      <c r="Q262" s="6">
        <v>2975</v>
      </c>
      <c r="R262" s="6">
        <v>244</v>
      </c>
      <c r="S262" s="7">
        <v>92</v>
      </c>
      <c r="T262" s="7">
        <v>180</v>
      </c>
      <c r="U262">
        <v>130.6</v>
      </c>
      <c r="V262" s="8">
        <v>0</v>
      </c>
      <c r="W262" s="7">
        <v>0</v>
      </c>
      <c r="X262" s="7">
        <v>0</v>
      </c>
      <c r="Y262">
        <v>1.59</v>
      </c>
      <c r="Z262" s="8">
        <v>0</v>
      </c>
      <c r="AB262">
        <v>0</v>
      </c>
      <c r="AC262">
        <v>0</v>
      </c>
      <c r="AD262">
        <v>39</v>
      </c>
      <c r="AE262">
        <v>9</v>
      </c>
      <c r="AF262">
        <v>30</v>
      </c>
      <c r="AG262">
        <v>1</v>
      </c>
      <c r="AH262">
        <v>0</v>
      </c>
      <c r="AI262" t="inlineStr">
        <is>
          <t>False</t>
        </is>
      </c>
      <c r="AJ262" s="2" t="str">
        <f>HYPERLINK("https://keepa.com/#!product/1-B075MPZ8KC", "https://keepa.com/#!product/1-B075MPZ8KC")</f>
      </c>
      <c r="AK262" s="2" t="str">
        <f>HYPERLINK("https://camelcamelcamel.com/search?sq=B075MPZ8KC", "https://camelcamelcamel.com/search?sq=B075MPZ8KC")</f>
      </c>
      <c r="AL262" t="inlineStr">
        <is>
          <t/>
        </is>
      </c>
      <c r="AM262" s="10">
        <v>45417.11111111111</v>
      </c>
      <c r="AN262" t="inlineStr">
        <is>
          <t>Can-Am New OEM 100% PBO Performance Drive Belt Maverick X3, 422280652</t>
        </is>
      </c>
      <c r="AO262" t="inlineStr">
        <is>
          <t>50</t>
        </is>
      </c>
      <c r="AP262" t="inlineStr">
        <is>
          <t>TAKE ALL</t>
        </is>
      </c>
    </row>
    <row r="263">
      <c r="A263" t="inlineStr">
        <is>
          <t>B075QQ8VZW</t>
        </is>
      </c>
      <c r="B263" t="inlineStr">
        <is>
          <t>False</t>
        </is>
      </c>
      <c r="C263" t="inlineStr">
        <is>
          <t>B075QQ8VZW</t>
        </is>
      </c>
      <c r="D263" t="inlineStr">
        <is>
          <t>iHealth</t>
        </is>
      </c>
      <c r="E263" t="inlineStr">
        <is>
          <t>False</t>
        </is>
      </c>
      <c r="F263" t="inlineStr">
        <is>
          <t>iHealth No-Touch Forehead Thermometer, Infrared Digital Thermometer for Adults and Kids, Touchless Baby Thermometer, 3 Ultra-Sensitive Sensors, Large LED Digits, Quiet Vibration Feedback, Non Contact</t>
        </is>
      </c>
      <c r="G263">
        <v>1</v>
      </c>
      <c r="H263" s="2" t="str">
        <f>HYPERLINK("https://www.amazon.com/dp/B075QQ8VZW", "https://www.amazon.com/dp/B075QQ8VZW")</f>
      </c>
      <c r="I263" s="3">
        <v>25858</v>
      </c>
      <c r="J263" s="4">
        <v>5.61</v>
      </c>
      <c r="K263" s="5">
        <v>0.2441</v>
      </c>
      <c r="L263" s="15">
        <v>0.561</v>
      </c>
      <c r="M263" t="inlineStr">
        <is>
          <t>True</t>
        </is>
      </c>
      <c r="N263" t="inlineStr">
        <is>
          <t>Baby</t>
        </is>
      </c>
      <c r="O263" s="6">
        <v>45</v>
      </c>
      <c r="P263" s="6">
        <v>37</v>
      </c>
      <c r="Q263" s="6">
        <v>8</v>
      </c>
      <c r="R263" s="6">
        <v>186</v>
      </c>
      <c r="S263" s="7">
        <v>10</v>
      </c>
      <c r="T263" s="7">
        <v>22.98</v>
      </c>
      <c r="U263">
        <v>20.56</v>
      </c>
      <c r="V263" s="8">
        <v>0</v>
      </c>
      <c r="W263" s="7">
        <v>0</v>
      </c>
      <c r="X263" s="7">
        <v>0</v>
      </c>
      <c r="Y263">
        <v>0.29</v>
      </c>
      <c r="Z263" s="8">
        <v>0</v>
      </c>
      <c r="AB263">
        <v>0</v>
      </c>
      <c r="AC263">
        <v>0</v>
      </c>
      <c r="AD263">
        <v>1</v>
      </c>
      <c r="AE263">
        <v>1</v>
      </c>
      <c r="AF263">
        <v>0</v>
      </c>
      <c r="AG263">
        <v>1</v>
      </c>
      <c r="AH263">
        <v>2</v>
      </c>
      <c r="AI263" t="inlineStr">
        <is>
          <t>False</t>
        </is>
      </c>
      <c r="AJ263" s="2" t="str">
        <f>HYPERLINK("https://keepa.com/#!product/1-B075QQ8VZW", "https://keepa.com/#!product/1-B075QQ8VZW")</f>
      </c>
      <c r="AK263" s="2" t="str">
        <f>HYPERLINK("https://camelcamelcamel.com/search?sq=B075QQ8VZW", "https://camelcamelcamel.com/search?sq=B075QQ8VZW")</f>
      </c>
      <c r="AL263" t="inlineStr">
        <is>
          <t/>
        </is>
      </c>
      <c r="AM263" s="10">
        <v>45417.11111111111</v>
      </c>
      <c r="AN263" t="inlineStr">
        <is>
          <t>iHealth No-Touch Forehead Thermometer, Infrared Digital Thermometer for Adults and Kids, Touchless Baby Thermometer, 3 Ultra-Sensitive Sensors, Large LED Digits, Quiet Vibration Feedback, Non Contact</t>
        </is>
      </c>
      <c r="AO263" t="inlineStr">
        <is>
          <t>1044</t>
        </is>
      </c>
      <c r="AP263" t="inlineStr">
        <is>
          <t>TAKE ALL</t>
        </is>
      </c>
    </row>
    <row r="264">
      <c r="A264" t="inlineStr">
        <is>
          <t>B0767F5DPJ</t>
        </is>
      </c>
      <c r="B264" t="inlineStr">
        <is>
          <t>False</t>
        </is>
      </c>
      <c r="C264" t="inlineStr">
        <is>
          <t>B0767F5DPJ</t>
        </is>
      </c>
      <c r="D264" t="inlineStr">
        <is>
          <t>DEWALT</t>
        </is>
      </c>
      <c r="E264" t="inlineStr">
        <is>
          <t>True</t>
        </is>
      </c>
      <c r="F264" t="inlineStr">
        <is>
          <t>DEWALT DXAEPI1000 Power Inverter 1000W Car Converter with LCD Display: Dual 120V AC Outlets, 3.1A USB Ports, Battery Clamps</t>
        </is>
      </c>
      <c r="G264">
        <v>1</v>
      </c>
      <c r="H264" s="2" t="str">
        <f>HYPERLINK("https://www.amazon.com/dp/B0767F5DPJ", "https://www.amazon.com/dp/B0767F5DPJ")</f>
      </c>
      <c r="I264" s="3">
        <v>689</v>
      </c>
      <c r="J264" s="12">
        <v>-8.23</v>
      </c>
      <c r="K264" s="13">
        <v>-0.0935</v>
      </c>
      <c r="L264" s="13">
        <v>-0.1097</v>
      </c>
      <c r="M264" t="inlineStr">
        <is>
          <t>True</t>
        </is>
      </c>
      <c r="N264" t="inlineStr">
        <is>
          <t>Automotive</t>
        </is>
      </c>
      <c r="O264" s="6">
        <v>6778</v>
      </c>
      <c r="P264" s="6">
        <v>10315</v>
      </c>
      <c r="Q264" s="6">
        <v>2264</v>
      </c>
      <c r="R264" s="6">
        <v>247</v>
      </c>
      <c r="S264" s="7">
        <v>75</v>
      </c>
      <c r="T264" s="7">
        <v>88.05</v>
      </c>
      <c r="U264">
        <v>100.36</v>
      </c>
      <c r="V264" s="8">
        <v>0</v>
      </c>
      <c r="W264" s="7">
        <v>0</v>
      </c>
      <c r="X264" s="7">
        <v>0</v>
      </c>
      <c r="Y264">
        <v>6.08</v>
      </c>
      <c r="Z264" s="9">
        <v>1</v>
      </c>
      <c r="AB264">
        <v>0</v>
      </c>
      <c r="AC264">
        <v>0</v>
      </c>
      <c r="AD264">
        <v>16</v>
      </c>
      <c r="AE264">
        <v>2</v>
      </c>
      <c r="AF264">
        <v>6</v>
      </c>
      <c r="AG264">
        <v>1</v>
      </c>
      <c r="AH264">
        <v>1</v>
      </c>
      <c r="AI264" t="inlineStr">
        <is>
          <t>False</t>
        </is>
      </c>
      <c r="AJ264" s="2" t="str">
        <f>HYPERLINK("https://keepa.com/#!product/1-B0767F5DPJ", "https://keepa.com/#!product/1-B0767F5DPJ")</f>
      </c>
      <c r="AK264" s="2" t="str">
        <f>HYPERLINK("https://camelcamelcamel.com/search?sq=B0767F5DPJ", "https://camelcamelcamel.com/search?sq=B0767F5DPJ")</f>
      </c>
      <c r="AL264" t="inlineStr">
        <is>
          <t/>
        </is>
      </c>
      <c r="AM264" s="10">
        <v>45417.11111111111</v>
      </c>
      <c r="AN264" t="inlineStr">
        <is>
          <t>DEWALT DXAEPI1000 Power Inverter 1000W Car Converter with LCD Display: Dual 120V AC Outlets, 3.1A USB Ports, Battery Clamps</t>
        </is>
      </c>
      <c r="AO264" t="inlineStr">
        <is>
          <t>400</t>
        </is>
      </c>
      <c r="AP264" t="inlineStr">
        <is>
          <t>TAKE ALL</t>
        </is>
      </c>
    </row>
    <row r="265">
      <c r="A265" t="inlineStr">
        <is>
          <t>B0767Z2Y25</t>
        </is>
      </c>
      <c r="B265" t="inlineStr">
        <is>
          <t>False</t>
        </is>
      </c>
      <c r="C265" t="inlineStr">
        <is>
          <t>B0767Z2Y25</t>
        </is>
      </c>
      <c r="D265" t="inlineStr">
        <is>
          <t>KOS</t>
        </is>
      </c>
      <c r="E265" t="inlineStr">
        <is>
          <t>False</t>
        </is>
      </c>
      <c r="F265" t="inlineStr">
        <is>
          <t>KOS Vegan Protein Powder Erythritol Free, Chocolate - Organic Pea Protein Blend, Plant Based Superfood Rich in Vitamins &amp; Minerals - Keto, Dairy Free - Meal Replacement for Women &amp; Men, 28 Servings</t>
        </is>
      </c>
      <c r="G265">
        <v>1</v>
      </c>
      <c r="H265" s="2" t="str">
        <f>HYPERLINK("https://www.amazon.com/dp/B0767Z2Y25", "https://www.amazon.com/dp/B0767Z2Y25")</f>
      </c>
      <c r="I265" s="3">
        <v>16721</v>
      </c>
      <c r="J265" s="4">
        <v>10.62</v>
      </c>
      <c r="K265" s="5">
        <v>0.21239999999999998</v>
      </c>
      <c r="L265" s="15">
        <v>0.4165</v>
      </c>
      <c r="M265" t="inlineStr">
        <is>
          <t>True</t>
        </is>
      </c>
      <c r="N265" t="inlineStr">
        <is>
          <t>Health &amp; Household</t>
        </is>
      </c>
      <c r="O265" s="6">
        <v>1195</v>
      </c>
      <c r="P265" s="6">
        <v>1279</v>
      </c>
      <c r="Q265" s="6">
        <v>378</v>
      </c>
      <c r="R265" s="6">
        <v>400</v>
      </c>
      <c r="S265" s="7">
        <v>25.5</v>
      </c>
      <c r="T265" s="7">
        <v>49.99</v>
      </c>
      <c r="U265">
        <v>44.7</v>
      </c>
      <c r="V265" s="8">
        <v>0</v>
      </c>
      <c r="W265" s="7">
        <v>0</v>
      </c>
      <c r="X265" s="7">
        <v>0</v>
      </c>
      <c r="Y265">
        <v>2.73</v>
      </c>
      <c r="Z265" s="9">
        <v>0.25</v>
      </c>
      <c r="AB265">
        <v>0</v>
      </c>
      <c r="AC265">
        <v>0</v>
      </c>
      <c r="AD265">
        <v>5</v>
      </c>
      <c r="AE265">
        <v>2</v>
      </c>
      <c r="AF265">
        <v>3</v>
      </c>
      <c r="AG265">
        <v>2</v>
      </c>
      <c r="AH265">
        <v>16</v>
      </c>
      <c r="AI265" t="inlineStr">
        <is>
          <t>False</t>
        </is>
      </c>
      <c r="AJ265" s="2" t="str">
        <f>HYPERLINK("https://keepa.com/#!product/1-B0767Z2Y25", "https://keepa.com/#!product/1-B0767Z2Y25")</f>
      </c>
      <c r="AK265" s="2" t="str">
        <f>HYPERLINK("https://camelcamelcamel.com/search?sq=B0767Z2Y25", "https://camelcamelcamel.com/search?sq=B0767Z2Y25")</f>
      </c>
      <c r="AL265" t="inlineStr">
        <is>
          <t/>
        </is>
      </c>
      <c r="AM265" s="10">
        <v>45417.11111111111</v>
      </c>
      <c r="AN265" t="inlineStr">
        <is>
          <t>KOS Vegan Protein Powder Erythritol Free, Chocolate - Organic Pea Protein Blend, Plant Based Superfood Rich in Vitamins &amp; Minerals - Keto, Dairy Free - Meal Replacement for Women &amp; Men, 28 Servings</t>
        </is>
      </c>
      <c r="AO265" t="inlineStr">
        <is>
          <t>200</t>
        </is>
      </c>
      <c r="AP265" t="inlineStr">
        <is>
          <t>100</t>
        </is>
      </c>
    </row>
    <row r="266">
      <c r="A266" t="inlineStr">
        <is>
          <t>B076DNLS3G</t>
        </is>
      </c>
      <c r="B266" t="inlineStr">
        <is>
          <t>False</t>
        </is>
      </c>
      <c r="C266" t="inlineStr">
        <is>
          <t>B076DNLS3G</t>
        </is>
      </c>
      <c r="D266" t="inlineStr">
        <is>
          <t>Oral-B</t>
        </is>
      </c>
      <c r="E266" t="inlineStr">
        <is>
          <t>True</t>
        </is>
      </c>
      <c r="F266" t="inlineStr">
        <is>
          <t>Oral-B CrossAction Toothbrush Pack of 10 Replacement</t>
        </is>
      </c>
      <c r="G266">
        <v>1</v>
      </c>
      <c r="H266" s="2" t="str">
        <f>HYPERLINK("https://www.amazon.com/dp/B076DNLS3G", "https://www.amazon.com/dp/B076DNLS3G")</f>
      </c>
      <c r="I266" s="3">
        <v>376</v>
      </c>
      <c r="J266" s="11">
        <v>1.28</v>
      </c>
      <c r="K266" s="5">
        <v>0.04</v>
      </c>
      <c r="L266" s="5">
        <v>0.0582</v>
      </c>
      <c r="M266" t="inlineStr">
        <is>
          <t>True</t>
        </is>
      </c>
      <c r="N266" t="inlineStr">
        <is>
          <t>Health &amp; Household</t>
        </is>
      </c>
      <c r="O266" s="6">
        <v>45227</v>
      </c>
      <c r="P266" s="6">
        <v>19193</v>
      </c>
      <c r="Q266" s="6">
        <v>1295</v>
      </c>
      <c r="R266" s="6">
        <v>157</v>
      </c>
      <c r="S266" s="7">
        <v>22</v>
      </c>
      <c r="T266" s="7">
        <v>32</v>
      </c>
      <c r="U266">
        <v>34.87</v>
      </c>
      <c r="V266" s="8">
        <v>0</v>
      </c>
      <c r="W266" s="7">
        <v>0</v>
      </c>
      <c r="X266" s="7">
        <v>0</v>
      </c>
      <c r="Y266">
        <v>0.22</v>
      </c>
      <c r="Z266" s="8">
        <v>0</v>
      </c>
      <c r="AB266">
        <v>0</v>
      </c>
      <c r="AC266">
        <v>0</v>
      </c>
      <c r="AD266">
        <v>10</v>
      </c>
      <c r="AE266">
        <v>4</v>
      </c>
      <c r="AF266">
        <v>6</v>
      </c>
      <c r="AG266">
        <v>1</v>
      </c>
      <c r="AH266">
        <v>0</v>
      </c>
      <c r="AI266" t="inlineStr">
        <is>
          <t>False</t>
        </is>
      </c>
      <c r="AJ266" s="2" t="str">
        <f>HYPERLINK("https://keepa.com/#!product/1-B076DNLS3G", "https://keepa.com/#!product/1-B076DNLS3G")</f>
      </c>
      <c r="AK266" s="2" t="str">
        <f>HYPERLINK("https://camelcamelcamel.com/search?sq=B076DNLS3G", "https://camelcamelcamel.com/search?sq=B076DNLS3G")</f>
      </c>
      <c r="AL266" t="inlineStr">
        <is>
          <t/>
        </is>
      </c>
      <c r="AM266" s="10">
        <v>45417.11111111111</v>
      </c>
      <c r="AN266" t="inlineStr">
        <is>
          <t>Oral-B CrossAction Toothbrush Pack of 10 Replacement</t>
        </is>
      </c>
      <c r="AO266" t="inlineStr">
        <is>
          <t>1000</t>
        </is>
      </c>
      <c r="AP266" t="inlineStr">
        <is>
          <t>TAKE ALL</t>
        </is>
      </c>
    </row>
    <row r="267">
      <c r="A267" t="inlineStr">
        <is>
          <t>B077D1ZMK3</t>
        </is>
      </c>
      <c r="B267" t="inlineStr">
        <is>
          <t>False</t>
        </is>
      </c>
      <c r="C267" t="inlineStr">
        <is>
          <t>B077D1ZMK3</t>
        </is>
      </c>
      <c r="D267" t="inlineStr">
        <is>
          <t>Renvdsa</t>
        </is>
      </c>
      <c r="E267" t="inlineStr">
        <is>
          <t>False</t>
        </is>
      </c>
      <c r="F267" t="inlineStr">
        <is>
          <t>Renvdsa Electronic Password Piggy Bank Cash Coin Can Auto Scroll Paper Money Saving Box Toy for 6 7 8 9 10 11 12 Years Old Kids Gifts (Black red)</t>
        </is>
      </c>
      <c r="G267">
        <v>1</v>
      </c>
      <c r="H267" s="2" t="str">
        <f>HYPERLINK("https://www.amazon.com/dp/B077D1ZMK3", "https://www.amazon.com/dp/B077D1ZMK3")</f>
      </c>
      <c r="I267" s="3">
        <v>347</v>
      </c>
      <c r="J267" s="11">
        <v>2.73</v>
      </c>
      <c r="K267" s="5">
        <v>0.1438</v>
      </c>
      <c r="L267" s="15">
        <v>0.364</v>
      </c>
      <c r="M267" t="inlineStr">
        <is>
          <t>True</t>
        </is>
      </c>
      <c r="N267" t="inlineStr">
        <is>
          <t>Toys &amp; Games</t>
        </is>
      </c>
      <c r="O267" s="6">
        <v>27680</v>
      </c>
      <c r="P267" s="6">
        <v>23257</v>
      </c>
      <c r="Q267" s="6">
        <v>8528</v>
      </c>
      <c r="R267" s="6">
        <v>105</v>
      </c>
      <c r="S267" s="7">
        <v>7.5</v>
      </c>
      <c r="T267" s="7">
        <v>18.99</v>
      </c>
      <c r="U267">
        <v>18.99</v>
      </c>
      <c r="V267" s="8">
        <v>0</v>
      </c>
      <c r="W267" s="7">
        <v>0</v>
      </c>
      <c r="X267" s="7">
        <v>0</v>
      </c>
      <c r="Y267">
        <v>1.43</v>
      </c>
      <c r="Z267" s="8">
        <v>0</v>
      </c>
      <c r="AB267">
        <v>0</v>
      </c>
      <c r="AC267">
        <v>0</v>
      </c>
      <c r="AD267">
        <v>2</v>
      </c>
      <c r="AE267">
        <v>1</v>
      </c>
      <c r="AF267">
        <v>0</v>
      </c>
      <c r="AG267">
        <v>1</v>
      </c>
      <c r="AH267">
        <v>11</v>
      </c>
      <c r="AI267" t="inlineStr">
        <is>
          <t>False</t>
        </is>
      </c>
      <c r="AJ267" s="2" t="str">
        <f>HYPERLINK("https://keepa.com/#!product/1-B077D1ZMK3", "https://keepa.com/#!product/1-B077D1ZMK3")</f>
      </c>
      <c r="AK267" s="2" t="str">
        <f>HYPERLINK("https://camelcamelcamel.com/search?sq=B077D1ZMK3", "https://camelcamelcamel.com/search?sq=B077D1ZMK3")</f>
      </c>
      <c r="AL267" t="inlineStr">
        <is>
          <t/>
        </is>
      </c>
      <c r="AM267" s="10">
        <v>45417.11111111111</v>
      </c>
      <c r="AN267" t="inlineStr">
        <is>
          <t>Electronic Password Piggy Bank Cash Coin Can Auto Scroll Paper Money Saving Box Toy for 6 7 8 9 10 11 12 Years Old Kids Gifts (Black red)</t>
        </is>
      </c>
      <c r="AO267" t="inlineStr">
        <is>
          <t>360</t>
        </is>
      </c>
      <c r="AP267" t="inlineStr">
        <is>
          <t>180</t>
        </is>
      </c>
    </row>
    <row r="268">
      <c r="A268" t="inlineStr">
        <is>
          <t>B077G22ZKW</t>
        </is>
      </c>
      <c r="B268" t="inlineStr">
        <is>
          <t>False</t>
        </is>
      </c>
      <c r="C268" t="inlineStr">
        <is>
          <t>B077G22ZKW</t>
        </is>
      </c>
      <c r="D268" t="inlineStr">
        <is>
          <t>gimMe</t>
        </is>
      </c>
      <c r="E268" t="inlineStr">
        <is>
          <t>False</t>
        </is>
      </c>
      <c r="F268" t="inlineStr">
        <is>
          <t>gimMe - Sea Salt - 20 Count - Organic Roasted Seaweed Sheets - Keto, Vegan, Gluten Free - Great Source of Iodine &amp; Omega 3’s - Healthy On-The-Go Snack for Kids &amp; Adults</t>
        </is>
      </c>
      <c r="G268">
        <v>1</v>
      </c>
      <c r="H268" s="2" t="str">
        <f>HYPERLINK("https://www.amazon.com/dp/B077G22ZKW", "https://www.amazon.com/dp/B077G22ZKW")</f>
      </c>
      <c r="I268" s="3">
        <v>12812</v>
      </c>
      <c r="J268" s="11">
        <v>0.48</v>
      </c>
      <c r="K268" s="5">
        <v>0.028300000000000002</v>
      </c>
      <c r="L268" s="5">
        <v>0.08349999999999999</v>
      </c>
      <c r="M268" t="inlineStr">
        <is>
          <t>True</t>
        </is>
      </c>
      <c r="N268" t="inlineStr">
        <is>
          <t>Grocery &amp; Gourmet Food</t>
        </is>
      </c>
      <c r="O268" s="6">
        <v>113</v>
      </c>
      <c r="P268" s="6">
        <v>91</v>
      </c>
      <c r="Q268" s="6">
        <v>39</v>
      </c>
      <c r="R268" s="6">
        <v>287</v>
      </c>
      <c r="S268" s="7">
        <v>5.75</v>
      </c>
      <c r="T268" s="7">
        <v>16.98</v>
      </c>
      <c r="U268">
        <v>16.45</v>
      </c>
      <c r="V268" s="8">
        <v>0</v>
      </c>
      <c r="W268" s="7">
        <v>0</v>
      </c>
      <c r="X268" s="7">
        <v>0</v>
      </c>
      <c r="Y268">
        <v>0.62</v>
      </c>
      <c r="Z268" s="9">
        <v>1</v>
      </c>
      <c r="AB268">
        <v>0</v>
      </c>
      <c r="AC268">
        <v>0</v>
      </c>
      <c r="AD268">
        <v>5</v>
      </c>
      <c r="AE268">
        <v>1</v>
      </c>
      <c r="AF268">
        <v>4</v>
      </c>
      <c r="AG268">
        <v>1</v>
      </c>
      <c r="AH268">
        <v>7</v>
      </c>
      <c r="AI268" t="inlineStr">
        <is>
          <t>False</t>
        </is>
      </c>
      <c r="AJ268" s="2" t="str">
        <f>HYPERLINK("https://keepa.com/#!product/1-B077G22ZKW", "https://keepa.com/#!product/1-B077G22ZKW")</f>
      </c>
      <c r="AK268" s="2" t="str">
        <f>HYPERLINK("https://camelcamelcamel.com/search?sq=B077G22ZKW", "https://camelcamelcamel.com/search?sq=B077G22ZKW")</f>
      </c>
      <c r="AL268" t="inlineStr">
        <is>
          <t/>
        </is>
      </c>
      <c r="AM268" s="10">
        <v>45417.11111111111</v>
      </c>
      <c r="AN268" t="inlineStr">
        <is>
          <t>gimMe - Sea Salt - 20 Count - Organic Roasted Seaweed Sheets - Keto, Vegan, Gluten Free - Great Source of Iodine &amp; Omega 3â€™s - Healthy On-The-Go Snack for Kids &amp; Adults</t>
        </is>
      </c>
      <c r="AO268" t="inlineStr">
        <is>
          <t>2500</t>
        </is>
      </c>
      <c r="AP268" t="inlineStr">
        <is>
          <t>1000</t>
        </is>
      </c>
    </row>
    <row r="269">
      <c r="A269" t="inlineStr">
        <is>
          <t>B0785XPVKX</t>
        </is>
      </c>
      <c r="B269" t="inlineStr">
        <is>
          <t>False</t>
        </is>
      </c>
      <c r="C269" t="inlineStr">
        <is>
          <t>B0785XPVKX</t>
        </is>
      </c>
      <c r="D269" t="inlineStr">
        <is>
          <t>Guayaki</t>
        </is>
      </c>
      <c r="E269" t="inlineStr">
        <is>
          <t>False</t>
        </is>
      </c>
      <c r="F269" t="inlineStr">
        <is>
          <t>Guayaki Yerba Mate, Clean Energy Drink Alternative, Organic Enlighten Mint, 15.5oz (Pack of 12), 150mg Caffeine</t>
        </is>
      </c>
      <c r="G269">
        <v>1</v>
      </c>
      <c r="H269" s="2" t="str">
        <f>HYPERLINK("https://www.amazon.com/dp/B0785XPVKX", "https://www.amazon.com/dp/B0785XPVKX")</f>
      </c>
      <c r="I269" s="3">
        <v>9045</v>
      </c>
      <c r="J269" s="11">
        <v>2.73</v>
      </c>
      <c r="K269" s="5">
        <v>0.0801</v>
      </c>
      <c r="L269" s="5">
        <v>0.17329999999999998</v>
      </c>
      <c r="M269" t="inlineStr">
        <is>
          <t>True</t>
        </is>
      </c>
      <c r="N269" t="inlineStr">
        <is>
          <t>Grocery &amp; Gourmet Food</t>
        </is>
      </c>
      <c r="O269" s="6">
        <v>309</v>
      </c>
      <c r="P269" s="6">
        <v>257</v>
      </c>
      <c r="Q269" s="6">
        <v>181</v>
      </c>
      <c r="R269" s="6">
        <v>268</v>
      </c>
      <c r="S269" s="7">
        <v>15.75</v>
      </c>
      <c r="T269" s="7">
        <v>34.08</v>
      </c>
      <c r="U269">
        <v>33.79</v>
      </c>
      <c r="V269" s="8">
        <v>0</v>
      </c>
      <c r="W269" s="7">
        <v>0</v>
      </c>
      <c r="X269" s="7">
        <v>0</v>
      </c>
      <c r="Y269">
        <v>13.03</v>
      </c>
      <c r="Z269" s="8">
        <v>0</v>
      </c>
      <c r="AB269">
        <v>0</v>
      </c>
      <c r="AC269">
        <v>0</v>
      </c>
      <c r="AD269">
        <v>4</v>
      </c>
      <c r="AE269">
        <v>1</v>
      </c>
      <c r="AF269">
        <v>3</v>
      </c>
      <c r="AG269">
        <v>0</v>
      </c>
      <c r="AH269">
        <v>9</v>
      </c>
      <c r="AI269" t="inlineStr">
        <is>
          <t>False</t>
        </is>
      </c>
      <c r="AJ269" s="2" t="str">
        <f>HYPERLINK("https://keepa.com/#!product/1-B0785XPVKX", "https://keepa.com/#!product/1-B0785XPVKX")</f>
      </c>
      <c r="AK269" s="2" t="str">
        <f>HYPERLINK("https://camelcamelcamel.com/search?sq=B0785XPVKX", "https://camelcamelcamel.com/search?sq=B0785XPVKX")</f>
      </c>
      <c r="AL269" t="inlineStr">
        <is>
          <t/>
        </is>
      </c>
      <c r="AM269" s="10">
        <v>45417.11111111111</v>
      </c>
      <c r="AN269" t="inlineStr">
        <is>
          <t>Guayaki Yerba Mate, Clean Energy Drink Alternative, Organic Enlighten Mint, 15.5oz (Pack of 12), 150mg Caffeine</t>
        </is>
      </c>
      <c r="AO269" t="inlineStr">
        <is>
          <t>700</t>
        </is>
      </c>
      <c r="AP269" t="inlineStr">
        <is>
          <t>TAKE ALL</t>
        </is>
      </c>
    </row>
    <row r="270">
      <c r="A270" t="inlineStr">
        <is>
          <t>B078GVDB18</t>
        </is>
      </c>
      <c r="B270" t="inlineStr">
        <is>
          <t>False</t>
        </is>
      </c>
      <c r="C270" t="inlineStr">
        <is>
          <t>B078GVDB18</t>
        </is>
      </c>
      <c r="D270" t="inlineStr">
        <is>
          <t>Philips Sonicare</t>
        </is>
      </c>
      <c r="E270" t="inlineStr">
        <is>
          <t>False</t>
        </is>
      </c>
      <c r="F270" t="inlineStr">
        <is>
          <t>Philips Sonicare ProtectiveClean 6100 Rechargeable Electric Power Toothbrush, White, HX6877/21</t>
        </is>
      </c>
      <c r="G270">
        <v>1</v>
      </c>
      <c r="H270" s="2" t="str">
        <f>HYPERLINK("https://www.amazon.com/dp/B078GVDB18", "https://www.amazon.com/dp/B078GVDB18")</f>
      </c>
      <c r="I270" s="3">
        <v>11737</v>
      </c>
      <c r="J270" s="4">
        <v>13.38</v>
      </c>
      <c r="K270" s="5">
        <v>0.1217</v>
      </c>
      <c r="L270" s="5">
        <v>0.1784</v>
      </c>
      <c r="M270" t="inlineStr">
        <is>
          <t>True</t>
        </is>
      </c>
      <c r="N270" t="inlineStr">
        <is>
          <t>Health &amp; Household</t>
        </is>
      </c>
      <c r="O270" s="6">
        <v>1959</v>
      </c>
      <c r="P270" s="6">
        <v>1432</v>
      </c>
      <c r="Q270" s="6">
        <v>924</v>
      </c>
      <c r="R270" s="6">
        <v>254</v>
      </c>
      <c r="S270" s="7">
        <v>75</v>
      </c>
      <c r="T270" s="7">
        <v>109.96</v>
      </c>
      <c r="U270">
        <v>111.08</v>
      </c>
      <c r="V270" s="8">
        <v>0</v>
      </c>
      <c r="W270" s="7">
        <v>0</v>
      </c>
      <c r="X270" s="7">
        <v>0</v>
      </c>
      <c r="Y270">
        <v>1.06</v>
      </c>
      <c r="Z270" s="9">
        <v>0.93</v>
      </c>
      <c r="AB270">
        <v>0</v>
      </c>
      <c r="AC270">
        <v>0</v>
      </c>
      <c r="AD270">
        <v>10</v>
      </c>
      <c r="AE270">
        <v>7</v>
      </c>
      <c r="AF270">
        <v>3</v>
      </c>
      <c r="AG270">
        <v>5</v>
      </c>
      <c r="AH270">
        <v>5</v>
      </c>
      <c r="AI270" t="inlineStr">
        <is>
          <t>True</t>
        </is>
      </c>
      <c r="AJ270" s="2" t="str">
        <f>HYPERLINK("https://keepa.com/#!product/1-B078GVDB18", "https://keepa.com/#!product/1-B078GVDB18")</f>
      </c>
      <c r="AK270" s="2" t="str">
        <f>HYPERLINK("https://camelcamelcamel.com/search?sq=B078GVDB18", "https://camelcamelcamel.com/search?sq=B078GVDB18")</f>
      </c>
      <c r="AL270" t="inlineStr">
        <is>
          <t/>
        </is>
      </c>
      <c r="AM270" s="10">
        <v>45417.11111111111</v>
      </c>
      <c r="AN270" t="inlineStr">
        <is>
          <t>Philips Sonicare ProtectiveClean 6100 Rechargeable Electric Power Toothbrush, White, HX6877/21</t>
        </is>
      </c>
      <c r="AO270" t="inlineStr">
        <is>
          <t>240</t>
        </is>
      </c>
      <c r="AP270" t="inlineStr">
        <is>
          <t>TAKE ALL</t>
        </is>
      </c>
    </row>
    <row r="271">
      <c r="A271" t="inlineStr">
        <is>
          <t>B078H3Y9NJ</t>
        </is>
      </c>
      <c r="B271" t="inlineStr">
        <is>
          <t>False</t>
        </is>
      </c>
      <c r="C271" t="inlineStr">
        <is>
          <t>B078H3Y9NJ</t>
        </is>
      </c>
      <c r="D271" t="inlineStr">
        <is>
          <t>Peet's Coffee</t>
        </is>
      </c>
      <c r="E271" t="inlineStr">
        <is>
          <t>False</t>
        </is>
      </c>
      <c r="F271" t="inlineStr">
        <is>
          <t>Peet's Coffee, Medium Roast Decaffeinated Coffee K-Cup Pods for Keurig Brewers - Decaf Especial 60 Count (6 Boxes of 10 K-Cup Pods)</t>
        </is>
      </c>
      <c r="G271">
        <v>1</v>
      </c>
      <c r="H271" s="2" t="str">
        <f>HYPERLINK("https://www.amazon.com/dp/B078H3Y9NJ", "https://www.amazon.com/dp/B078H3Y9NJ")</f>
      </c>
      <c r="I271" s="3">
        <v>9265</v>
      </c>
      <c r="J271" s="4">
        <v>7.13</v>
      </c>
      <c r="K271" s="5">
        <v>0.1462</v>
      </c>
      <c r="L271" s="5">
        <v>0.2655</v>
      </c>
      <c r="M271" t="inlineStr">
        <is>
          <t>True</t>
        </is>
      </c>
      <c r="N271" t="inlineStr">
        <is>
          <t>Grocery &amp; Gourmet Food</t>
        </is>
      </c>
      <c r="O271" s="6">
        <v>291</v>
      </c>
      <c r="P271" s="6">
        <v>337</v>
      </c>
      <c r="Q271" s="6">
        <v>254</v>
      </c>
      <c r="R271" s="6">
        <v>229</v>
      </c>
      <c r="S271" s="7">
        <v>26.85</v>
      </c>
      <c r="T271" s="7">
        <v>48.78</v>
      </c>
      <c r="U271">
        <v>45.69</v>
      </c>
      <c r="V271" s="8">
        <v>0</v>
      </c>
      <c r="W271" s="7">
        <v>0</v>
      </c>
      <c r="X271" s="7">
        <v>0</v>
      </c>
      <c r="Y271">
        <v>2.91</v>
      </c>
      <c r="Z271" s="9">
        <v>1</v>
      </c>
      <c r="AB271">
        <v>0</v>
      </c>
      <c r="AC271">
        <v>0</v>
      </c>
      <c r="AD271">
        <v>16</v>
      </c>
      <c r="AE271">
        <v>4</v>
      </c>
      <c r="AF271">
        <v>12</v>
      </c>
      <c r="AG271">
        <v>2</v>
      </c>
      <c r="AH271">
        <v>16</v>
      </c>
      <c r="AI271" t="inlineStr">
        <is>
          <t>False</t>
        </is>
      </c>
      <c r="AJ271" s="2" t="str">
        <f>HYPERLINK("https://keepa.com/#!product/1-B078H3Y9NJ", "https://keepa.com/#!product/1-B078H3Y9NJ")</f>
      </c>
      <c r="AK271" s="2" t="str">
        <f>HYPERLINK("https://camelcamelcamel.com/search?sq=B078H3Y9NJ", "https://camelcamelcamel.com/search?sq=B078H3Y9NJ")</f>
      </c>
      <c r="AL271" t="inlineStr">
        <is>
          <t/>
        </is>
      </c>
      <c r="AM271" s="10">
        <v>45417.11111111111</v>
      </c>
      <c r="AN271" t="inlineStr">
        <is>
          <t>Peet's Coffe Offer</t>
        </is>
      </c>
      <c r="AO271" t="inlineStr">
        <is>
          <t>1900</t>
        </is>
      </c>
      <c r="AP271" t="inlineStr">
        <is>
          <t>500</t>
        </is>
      </c>
    </row>
    <row r="272">
      <c r="A272" t="inlineStr">
        <is>
          <t>B078H4HVBZ</t>
        </is>
      </c>
      <c r="B272" t="inlineStr">
        <is>
          <t>False</t>
        </is>
      </c>
      <c r="C272" t="inlineStr">
        <is>
          <t>B078H4HVBZ</t>
        </is>
      </c>
      <c r="D272" t="inlineStr">
        <is>
          <t>Amazing Grass</t>
        </is>
      </c>
      <c r="E272" t="inlineStr">
        <is>
          <t>False</t>
        </is>
      </c>
      <c r="F272" t="inlineStr">
        <is>
          <t>Amazing Grass Electrolyte Tablets, Fizzy Greens Water Flavoring Tablet with Vitamins, Hydrate Strawberry Lemonade, 10 Count (Pack of 6) (Packaging May Vary)</t>
        </is>
      </c>
      <c r="G272">
        <v>1</v>
      </c>
      <c r="H272" s="2" t="str">
        <f>HYPERLINK("https://www.amazon.com/dp/B078H4HVBZ", "https://www.amazon.com/dp/B078H4HVBZ")</f>
      </c>
      <c r="I272" s="3">
        <v>841</v>
      </c>
      <c r="J272" s="4">
        <v>12.31</v>
      </c>
      <c r="K272" s="5">
        <v>0.2956</v>
      </c>
      <c r="L272" s="15">
        <v>0.6654000000000001</v>
      </c>
      <c r="M272" t="inlineStr">
        <is>
          <t>True</t>
        </is>
      </c>
      <c r="N272" t="inlineStr">
        <is>
          <t>Health &amp; Household</t>
        </is>
      </c>
      <c r="O272" s="6">
        <v>25754</v>
      </c>
      <c r="P272" s="6">
        <v>23888</v>
      </c>
      <c r="Q272" s="6">
        <v>12776</v>
      </c>
      <c r="R272" s="6">
        <v>169</v>
      </c>
      <c r="S272" s="7">
        <v>18.5</v>
      </c>
      <c r="T272" s="7">
        <v>41.64</v>
      </c>
      <c r="U272">
        <v>33.66</v>
      </c>
      <c r="V272" s="8">
        <v>0</v>
      </c>
      <c r="W272" s="7">
        <v>0</v>
      </c>
      <c r="X272" s="7">
        <v>0</v>
      </c>
      <c r="Y272">
        <v>0.87</v>
      </c>
      <c r="Z272" s="9">
        <v>1</v>
      </c>
      <c r="AB272">
        <v>0</v>
      </c>
      <c r="AC272">
        <v>0</v>
      </c>
      <c r="AD272">
        <v>4</v>
      </c>
      <c r="AE272">
        <v>2</v>
      </c>
      <c r="AF272">
        <v>2</v>
      </c>
      <c r="AG272">
        <v>2</v>
      </c>
      <c r="AH272">
        <v>7</v>
      </c>
      <c r="AI272" t="inlineStr">
        <is>
          <t>False</t>
        </is>
      </c>
      <c r="AJ272" s="2" t="str">
        <f>HYPERLINK("https://keepa.com/#!product/1-B078H4HVBZ", "https://keepa.com/#!product/1-B078H4HVBZ")</f>
      </c>
      <c r="AK272" s="2" t="str">
        <f>HYPERLINK("https://camelcamelcamel.com/search?sq=B078H4HVBZ", "https://camelcamelcamel.com/search?sq=B078H4HVBZ")</f>
      </c>
      <c r="AL272" t="inlineStr">
        <is>
          <t/>
        </is>
      </c>
      <c r="AM272" s="10">
        <v>45417.11111111111</v>
      </c>
      <c r="AN272" t="inlineStr">
        <is>
          <t>Amazing Grass Electrolyte Tablets, Fizzy Greens Water Flavoring Tablet with Vitamins, Hydrate Strawberry Lemonade, 10 Count (Pack of 6) (Packaging May Vary)</t>
        </is>
      </c>
      <c r="AO272" t="inlineStr">
        <is>
          <t>243</t>
        </is>
      </c>
      <c r="AP272" t="inlineStr">
        <is>
          <t>TAKE ALL</t>
        </is>
      </c>
    </row>
    <row r="273">
      <c r="A273" t="inlineStr">
        <is>
          <t>B078K4PKKR</t>
        </is>
      </c>
      <c r="B273" t="inlineStr">
        <is>
          <t>False</t>
        </is>
      </c>
      <c r="C273" t="inlineStr">
        <is>
          <t>B078K4PKKR</t>
        </is>
      </c>
      <c r="D273" t="inlineStr">
        <is>
          <t>OGX</t>
        </is>
      </c>
      <c r="E273" t="inlineStr">
        <is>
          <t>False</t>
        </is>
      </c>
      <c r="F273" t="inlineStr">
        <is>
          <t>OGX Thick &amp; Full + Biotin &amp; Collagen Shampoo &amp; Conditioner Set, (packaging may vary), Purple, 13 Fl Oz (Pack of 2)</t>
        </is>
      </c>
      <c r="G273">
        <v>1</v>
      </c>
      <c r="H273" s="2" t="str">
        <f>HYPERLINK("https://www.amazon.com/dp/B078K4PKKR", "https://www.amazon.com/dp/B078K4PKKR")</f>
      </c>
      <c r="I273" s="3">
        <v>9904</v>
      </c>
      <c r="J273" s="11">
        <v>0.79</v>
      </c>
      <c r="K273" s="5">
        <v>0.0567</v>
      </c>
      <c r="L273" s="5">
        <v>0.1505</v>
      </c>
      <c r="M273" t="inlineStr">
        <is>
          <t>True</t>
        </is>
      </c>
      <c r="N273" t="inlineStr">
        <is>
          <t>Beauty &amp; Personal Care</t>
        </is>
      </c>
      <c r="O273" s="6">
        <v>1486</v>
      </c>
      <c r="P273" s="6">
        <v>1410</v>
      </c>
      <c r="Q273" s="6">
        <v>536</v>
      </c>
      <c r="R273" s="6">
        <v>294</v>
      </c>
      <c r="S273" s="7">
        <v>5.25</v>
      </c>
      <c r="T273" s="7">
        <v>13.94</v>
      </c>
      <c r="U273">
        <v>13.13</v>
      </c>
      <c r="V273" s="8">
        <v>0</v>
      </c>
      <c r="W273" s="7">
        <v>0</v>
      </c>
      <c r="X273" s="7">
        <v>0</v>
      </c>
      <c r="Y273">
        <v>1.92</v>
      </c>
      <c r="Z273" s="9">
        <v>1</v>
      </c>
      <c r="AB273">
        <v>0</v>
      </c>
      <c r="AC273">
        <v>0</v>
      </c>
      <c r="AD273">
        <v>14</v>
      </c>
      <c r="AE273">
        <v>2</v>
      </c>
      <c r="AF273">
        <v>12</v>
      </c>
      <c r="AG273">
        <v>1</v>
      </c>
      <c r="AH273">
        <v>0</v>
      </c>
      <c r="AI273" t="inlineStr">
        <is>
          <t>False</t>
        </is>
      </c>
      <c r="AJ273" s="2" t="str">
        <f>HYPERLINK("https://keepa.com/#!product/1-B078K4PKKR", "https://keepa.com/#!product/1-B078K4PKKR")</f>
      </c>
      <c r="AK273" s="2" t="str">
        <f>HYPERLINK("https://camelcamelcamel.com/search?sq=B078K4PKKR", "https://camelcamelcamel.com/search?sq=B078K4PKKR")</f>
      </c>
      <c r="AL273" t="inlineStr">
        <is>
          <t/>
        </is>
      </c>
      <c r="AM273" s="10">
        <v>45417.11111111111</v>
      </c>
      <c r="AN273" t="inlineStr">
        <is>
          <t>OGX Thick &amp; Full + Biotin &amp; Collagen Shampoo &amp; Conditioner Set, (packaging may vary), Purple, 13 Fl Oz (Pack of 2)</t>
        </is>
      </c>
      <c r="AO273" t="inlineStr">
        <is>
          <t>1500</t>
        </is>
      </c>
      <c r="AP273" t="inlineStr">
        <is>
          <t>500</t>
        </is>
      </c>
    </row>
    <row r="274">
      <c r="A274" t="inlineStr">
        <is>
          <t>B0791YDPL9</t>
        </is>
      </c>
      <c r="B274" t="inlineStr">
        <is>
          <t>False</t>
        </is>
      </c>
      <c r="C274" t="inlineStr">
        <is>
          <t>B0791YDPL9</t>
        </is>
      </c>
      <c r="D274" t="inlineStr">
        <is>
          <t>Undercover Quinoa</t>
        </is>
      </c>
      <c r="E274" t="inlineStr">
        <is>
          <t>False</t>
        </is>
      </c>
      <c r="F274" t="inlineStr">
        <is>
          <t>Undercover Chocolate Quinoa Crisps - Milk Chocolate Quinoa Crisps | 8-Pack, 2oz Bags | Gluten Free, Nut-Free, Allergen Friendly, Kosher</t>
        </is>
      </c>
      <c r="G274">
        <v>1</v>
      </c>
      <c r="H274" s="2" t="str">
        <f>HYPERLINK("https://www.amazon.com/dp/B0791YDPL9", "https://www.amazon.com/dp/B0791YDPL9")</f>
      </c>
      <c r="I274" s="3">
        <v>221</v>
      </c>
      <c r="J274" s="11">
        <v>3.39</v>
      </c>
      <c r="K274" s="5">
        <v>0.1244</v>
      </c>
      <c r="L274" s="5">
        <v>0.2723</v>
      </c>
      <c r="M274" t="inlineStr">
        <is>
          <t>True</t>
        </is>
      </c>
      <c r="N274" t="inlineStr">
        <is>
          <t>Grocery &amp; Gourmet Food</t>
        </is>
      </c>
      <c r="O274" s="6">
        <v>31177</v>
      </c>
      <c r="P274" s="6">
        <v>8199</v>
      </c>
      <c r="Q274" s="6">
        <v>3916</v>
      </c>
      <c r="R274" s="6">
        <v>250</v>
      </c>
      <c r="S274" s="7">
        <v>12.45</v>
      </c>
      <c r="T274" s="7">
        <v>27.25</v>
      </c>
      <c r="U274">
        <v>26.68</v>
      </c>
      <c r="V274" s="8">
        <v>0</v>
      </c>
      <c r="W274" s="7">
        <v>0</v>
      </c>
      <c r="X274" s="7">
        <v>0</v>
      </c>
      <c r="Y274">
        <v>1.21</v>
      </c>
      <c r="Z274" s="9">
        <v>0.11</v>
      </c>
      <c r="AB274">
        <v>0</v>
      </c>
      <c r="AC274">
        <v>0</v>
      </c>
      <c r="AD274">
        <v>9</v>
      </c>
      <c r="AE274">
        <v>4</v>
      </c>
      <c r="AF274">
        <v>5</v>
      </c>
      <c r="AG274">
        <v>0</v>
      </c>
      <c r="AH274">
        <v>0</v>
      </c>
      <c r="AI274" t="inlineStr">
        <is>
          <t>False</t>
        </is>
      </c>
      <c r="AJ274" s="2" t="str">
        <f>HYPERLINK("https://keepa.com/#!product/1-B0791YDPL9", "https://keepa.com/#!product/1-B0791YDPL9")</f>
      </c>
      <c r="AK274" s="2" t="str">
        <f>HYPERLINK("https://camelcamelcamel.com/search?sq=B0791YDPL9", "https://camelcamelcamel.com/search?sq=B0791YDPL9")</f>
      </c>
      <c r="AL274" t="inlineStr">
        <is>
          <t/>
        </is>
      </c>
      <c r="AM274" s="10">
        <v>45417.11111111111</v>
      </c>
      <c r="AN274" t="inlineStr">
        <is>
          <t>Undercover Chocolate Quinoa Crisps - Milk Chocolate Quinoa Crisps | 8-Pack, 2oz Bags | Gluten Free, Nut-Free, Allergen Friendly, Kosher</t>
        </is>
      </c>
      <c r="AO274" t="inlineStr">
        <is>
          <t>440</t>
        </is>
      </c>
      <c r="AP274" t="inlineStr">
        <is>
          <t>TAKE ALL</t>
        </is>
      </c>
    </row>
    <row r="275">
      <c r="A275" t="inlineStr">
        <is>
          <t>B079B6CHHX</t>
        </is>
      </c>
      <c r="B275" t="inlineStr">
        <is>
          <t>False</t>
        </is>
      </c>
      <c r="C275" t="inlineStr">
        <is>
          <t>B079B6CHHX</t>
        </is>
      </c>
      <c r="D275" t="inlineStr">
        <is>
          <t>BIC</t>
        </is>
      </c>
      <c r="E275" t="inlineStr">
        <is>
          <t>True</t>
        </is>
      </c>
      <c r="F275" t="inlineStr">
        <is>
          <t>BIC Flex 5 Disposable Razors for Men, Long-Lasting 5-Blade Razors For a Smooth and Comfortable Face Razor Shave, Shaving Razors, 6 Count (Pack of 1)</t>
        </is>
      </c>
      <c r="G275">
        <v>1</v>
      </c>
      <c r="H275" s="2" t="str">
        <f>HYPERLINK("https://www.amazon.com/dp/B079B6CHHX", "https://www.amazon.com/dp/B079B6CHHX")</f>
      </c>
      <c r="I275" s="3">
        <v>5028</v>
      </c>
      <c r="J275" s="4">
        <v>4.46</v>
      </c>
      <c r="K275" s="5">
        <v>0.2133</v>
      </c>
      <c r="L275" s="15">
        <v>0.5406</v>
      </c>
      <c r="M275" t="inlineStr">
        <is>
          <t>True</t>
        </is>
      </c>
      <c r="N275" t="inlineStr">
        <is>
          <t>Beauty &amp; Personal Care</t>
        </is>
      </c>
      <c r="O275" s="6">
        <v>3521</v>
      </c>
      <c r="P275" s="6">
        <v>2871</v>
      </c>
      <c r="Q275" s="6">
        <v>591</v>
      </c>
      <c r="R275" s="6">
        <v>302</v>
      </c>
      <c r="S275" s="7">
        <v>8.25</v>
      </c>
      <c r="T275" s="7">
        <v>20.91</v>
      </c>
      <c r="U275">
        <v>18.44</v>
      </c>
      <c r="V275" s="8">
        <v>0</v>
      </c>
      <c r="W275" s="7">
        <v>0</v>
      </c>
      <c r="X275" s="7">
        <v>0</v>
      </c>
      <c r="Y275">
        <v>0.44</v>
      </c>
      <c r="Z275" s="9">
        <v>1</v>
      </c>
      <c r="AB275">
        <v>0</v>
      </c>
      <c r="AC275">
        <v>0</v>
      </c>
      <c r="AD275">
        <v>19</v>
      </c>
      <c r="AE275">
        <v>3</v>
      </c>
      <c r="AF275">
        <v>16</v>
      </c>
      <c r="AG275">
        <v>1</v>
      </c>
      <c r="AH275">
        <v>3</v>
      </c>
      <c r="AI275" t="inlineStr">
        <is>
          <t>False</t>
        </is>
      </c>
      <c r="AJ275" s="2" t="str">
        <f>HYPERLINK("https://keepa.com/#!product/1-B079B6CHHX", "https://keepa.com/#!product/1-B079B6CHHX")</f>
      </c>
      <c r="AK275" s="2" t="str">
        <f>HYPERLINK("https://camelcamelcamel.com/search?sq=B079B6CHHX", "https://camelcamelcamel.com/search?sq=B079B6CHHX")</f>
      </c>
      <c r="AL275" t="inlineStr">
        <is>
          <t/>
        </is>
      </c>
      <c r="AM275" s="10">
        <v>45417.11111111111</v>
      </c>
      <c r="AN275" t="inlineStr">
        <is>
          <t>BIC Flex 5 Titanium 5-Blade Disposable Razor for Men, For a Smooth and Comfortable Shave, 6 Piece Razor Set</t>
        </is>
      </c>
      <c r="AO275" t="inlineStr">
        <is>
          <t>2000</t>
        </is>
      </c>
      <c r="AP275" t="inlineStr">
        <is>
          <t>200</t>
        </is>
      </c>
    </row>
    <row r="276">
      <c r="A276" t="inlineStr">
        <is>
          <t>B079GS4YQS</t>
        </is>
      </c>
      <c r="B276" t="inlineStr">
        <is>
          <t>False</t>
        </is>
      </c>
      <c r="C276" t="inlineStr">
        <is>
          <t>B079GS4YQS</t>
        </is>
      </c>
      <c r="D276" t="inlineStr">
        <is>
          <t>Energizer</t>
        </is>
      </c>
      <c r="E276" t="inlineStr">
        <is>
          <t>True</t>
        </is>
      </c>
      <c r="F276" t="inlineStr">
        <is>
          <t>Energizer AAA Batteries (48 Count), Triple A Max Alkaline Battery</t>
        </is>
      </c>
      <c r="G276">
        <v>1</v>
      </c>
      <c r="H276" s="2" t="str">
        <f>HYPERLINK("https://www.amazon.com/dp/B079GS4YQS", "https://www.amazon.com/dp/B079GS4YQS")</f>
      </c>
      <c r="I276" s="3">
        <v>7530</v>
      </c>
      <c r="J276" s="12">
        <v>-3.85</v>
      </c>
      <c r="K276" s="13">
        <v>-0.1611</v>
      </c>
      <c r="L276" s="13">
        <v>-0.1974</v>
      </c>
      <c r="M276" t="inlineStr">
        <is>
          <t>True</t>
        </is>
      </c>
      <c r="N276" t="inlineStr">
        <is>
          <t>Health &amp; Household</t>
        </is>
      </c>
      <c r="O276" s="6">
        <v>3366</v>
      </c>
      <c r="P276" s="6">
        <v>5062</v>
      </c>
      <c r="Q276" s="6">
        <v>2272</v>
      </c>
      <c r="R276" s="6">
        <v>250</v>
      </c>
      <c r="S276" s="7">
        <v>19.5</v>
      </c>
      <c r="T276" s="7">
        <v>23.9</v>
      </c>
      <c r="U276">
        <v>25.1</v>
      </c>
      <c r="V276" s="8">
        <v>0</v>
      </c>
      <c r="W276" s="7">
        <v>0</v>
      </c>
      <c r="X276" s="7">
        <v>0</v>
      </c>
      <c r="Y276">
        <v>1.28</v>
      </c>
      <c r="Z276" s="9">
        <v>0.31</v>
      </c>
      <c r="AB276">
        <v>0</v>
      </c>
      <c r="AC276">
        <v>0</v>
      </c>
      <c r="AD276">
        <v>34</v>
      </c>
      <c r="AE276">
        <v>25</v>
      </c>
      <c r="AF276">
        <v>9</v>
      </c>
      <c r="AG276">
        <v>6</v>
      </c>
      <c r="AH276">
        <v>0</v>
      </c>
      <c r="AI276" t="inlineStr">
        <is>
          <t>False</t>
        </is>
      </c>
      <c r="AJ276" s="2" t="str">
        <f>HYPERLINK("https://keepa.com/#!product/1-B079GS4YQS", "https://keepa.com/#!product/1-B079GS4YQS")</f>
      </c>
      <c r="AK276" s="2" t="str">
        <f>HYPERLINK("https://camelcamelcamel.com/search?sq=B079GS4YQS", "https://camelcamelcamel.com/search?sq=B079GS4YQS")</f>
      </c>
      <c r="AL276" t="inlineStr">
        <is>
          <t/>
        </is>
      </c>
      <c r="AM276" s="10">
        <v>45417.11111111111</v>
      </c>
      <c r="AN276" t="inlineStr">
        <is>
          <t>Energizer AAA Batteries (48 Count), Triple A Max Alkaline Battery</t>
        </is>
      </c>
      <c r="AO276" t="inlineStr">
        <is>
          <t>8000</t>
        </is>
      </c>
      <c r="AP276" t="inlineStr">
        <is>
          <t>1500</t>
        </is>
      </c>
    </row>
    <row r="277">
      <c r="A277" t="inlineStr">
        <is>
          <t>B079L4W8MX</t>
        </is>
      </c>
      <c r="B277" t="inlineStr">
        <is>
          <t>False</t>
        </is>
      </c>
      <c r="C277" t="inlineStr">
        <is>
          <t>B079L4W8MX</t>
        </is>
      </c>
      <c r="D277" t="inlineStr">
        <is>
          <t>TIANSE</t>
        </is>
      </c>
      <c r="E277" t="inlineStr">
        <is>
          <t>False</t>
        </is>
      </c>
      <c r="F277" t="inlineStr">
        <is>
          <t>TIANSE Binding Machine, 21-Holes, 450 Sheets, Comb Binding Machines with Starter Kit 100 PCS 3/8'' Comb Binding Spines, Comb Binder Machine Book Maker Perfect for Letter Size, A4, A5 or Smaller Sizes</t>
        </is>
      </c>
      <c r="G277">
        <v>1</v>
      </c>
      <c r="H277" s="2" t="str">
        <f>HYPERLINK("https://www.amazon.com/dp/B079L4W8MX", "https://www.amazon.com/dp/B079L4W8MX")</f>
      </c>
      <c r="I277" s="3">
        <v>540</v>
      </c>
      <c r="J277" s="4">
        <v>4.45</v>
      </c>
      <c r="K277" s="5">
        <v>0.0968</v>
      </c>
      <c r="L277" s="5">
        <v>0.1816</v>
      </c>
      <c r="M277" t="inlineStr">
        <is>
          <t>True</t>
        </is>
      </c>
      <c r="N277" t="inlineStr">
        <is>
          <t>Office Products</t>
        </is>
      </c>
      <c r="O277" s="6">
        <v>10884</v>
      </c>
      <c r="P277" s="6">
        <v>10581</v>
      </c>
      <c r="Q277" s="6">
        <v>4654</v>
      </c>
      <c r="R277" s="6">
        <v>222</v>
      </c>
      <c r="S277" s="7">
        <v>24.5</v>
      </c>
      <c r="T277" s="7">
        <v>45.99</v>
      </c>
      <c r="U277">
        <v>47.46</v>
      </c>
      <c r="V277" s="8">
        <v>0</v>
      </c>
      <c r="W277" s="7">
        <v>0</v>
      </c>
      <c r="X277" s="7">
        <v>0</v>
      </c>
      <c r="Y277">
        <v>8.97</v>
      </c>
      <c r="Z277" s="9">
        <v>0.81</v>
      </c>
      <c r="AB277">
        <v>0</v>
      </c>
      <c r="AC277">
        <v>0</v>
      </c>
      <c r="AD277">
        <v>4</v>
      </c>
      <c r="AE277">
        <v>2</v>
      </c>
      <c r="AF277">
        <v>0</v>
      </c>
      <c r="AG277">
        <v>1</v>
      </c>
      <c r="AH277">
        <v>0</v>
      </c>
      <c r="AI277" t="inlineStr">
        <is>
          <t>False</t>
        </is>
      </c>
      <c r="AJ277" s="2" t="str">
        <f>HYPERLINK("https://keepa.com/#!product/1-B079L4W8MX", "https://keepa.com/#!product/1-B079L4W8MX")</f>
      </c>
      <c r="AK277" s="2" t="str">
        <f>HYPERLINK("https://camelcamelcamel.com/search?sq=B079L4W8MX", "https://camelcamelcamel.com/search?sq=B079L4W8MX")</f>
      </c>
      <c r="AL277" t="inlineStr">
        <is>
          <t/>
        </is>
      </c>
      <c r="AM277" s="10">
        <v>45417.11111111111</v>
      </c>
      <c r="AN277" t="inlineStr">
        <is>
          <t>TIANSE Binding Machine, 21-Holes, 450 Sheets, Comb Binding Machines with Starter Kit 100 PCS 3/8'' Comb Binding Spines, Comb Binder Machine Book Maker Perfect for Letter Size, A4, A5 or Smaller Sizes</t>
        </is>
      </c>
      <c r="AO277" t="inlineStr">
        <is>
          <t>180</t>
        </is>
      </c>
      <c r="AP277" t="inlineStr">
        <is>
          <t>TAKE ALL</t>
        </is>
      </c>
    </row>
    <row r="278">
      <c r="A278" t="inlineStr">
        <is>
          <t>B079NJ8RR6</t>
        </is>
      </c>
      <c r="B278" t="inlineStr">
        <is>
          <t>False</t>
        </is>
      </c>
      <c r="C278" t="inlineStr">
        <is>
          <t>B079NJ8RR6</t>
        </is>
      </c>
      <c r="D278" t="inlineStr">
        <is>
          <t>Coleman</t>
        </is>
      </c>
      <c r="E278" t="inlineStr">
        <is>
          <t>True</t>
        </is>
      </c>
      <c r="F278" t="inlineStr">
        <is>
          <t>Coleman 3-Panel 600l LED Lantern</t>
        </is>
      </c>
      <c r="G278">
        <v>1</v>
      </c>
      <c r="H278" s="2" t="str">
        <f>HYPERLINK("https://www.amazon.com/dp/B079NJ8RR6", "https://www.amazon.com/dp/B079NJ8RR6")</f>
      </c>
      <c r="I278" s="3">
        <v>220</v>
      </c>
      <c r="J278" s="12">
        <v>-7.69</v>
      </c>
      <c r="K278" s="13">
        <v>-0.151</v>
      </c>
      <c r="L278" s="13">
        <v>-0.1709</v>
      </c>
      <c r="M278" t="inlineStr">
        <is>
          <t>True</t>
        </is>
      </c>
      <c r="N278" t="inlineStr">
        <is>
          <t>Sports &amp; Outdoors</t>
        </is>
      </c>
      <c r="O278" s="6">
        <v>29974</v>
      </c>
      <c r="P278" s="6">
        <v>41306</v>
      </c>
      <c r="Q278" s="6">
        <v>10184</v>
      </c>
      <c r="R278" s="6">
        <v>161</v>
      </c>
      <c r="S278" s="7">
        <v>45</v>
      </c>
      <c r="T278" s="7">
        <v>50.93</v>
      </c>
      <c r="U278">
        <v>60.89</v>
      </c>
      <c r="V278" s="8">
        <v>0</v>
      </c>
      <c r="W278" s="7">
        <v>0</v>
      </c>
      <c r="X278" s="7">
        <v>0</v>
      </c>
      <c r="Y278">
        <v>2.23</v>
      </c>
      <c r="Z278" s="9">
        <v>0.75</v>
      </c>
      <c r="AB278">
        <v>0</v>
      </c>
      <c r="AC278">
        <v>0</v>
      </c>
      <c r="AD278">
        <v>6</v>
      </c>
      <c r="AE278">
        <v>3</v>
      </c>
      <c r="AF278">
        <v>1</v>
      </c>
      <c r="AG278">
        <v>2</v>
      </c>
      <c r="AH278">
        <v>3</v>
      </c>
      <c r="AI278" t="inlineStr">
        <is>
          <t>False</t>
        </is>
      </c>
      <c r="AJ278" s="2" t="str">
        <f>HYPERLINK("https://keepa.com/#!product/1-B079NJ8RR6", "https://keepa.com/#!product/1-B079NJ8RR6")</f>
      </c>
      <c r="AK278" s="2" t="str">
        <f>HYPERLINK("https://camelcamelcamel.com/search?sq=B079NJ8RR6", "https://camelcamelcamel.com/search?sq=B079NJ8RR6")</f>
      </c>
      <c r="AL278" t="inlineStr">
        <is>
          <t/>
        </is>
      </c>
      <c r="AM278" s="10">
        <v>45417.11111111111</v>
      </c>
      <c r="AN278" t="inlineStr">
        <is>
          <t>Coleman Multi-Panel Rechargeable LED Lantern, Water-Resistant Lantern with Removable Magnetic Light Panels, Built-In Flashlight, &amp; USB Charging Port; Great for Camping, Hunting, Emergencies, &amp; More</t>
        </is>
      </c>
      <c r="AO278" t="inlineStr">
        <is>
          <t>120</t>
        </is>
      </c>
      <c r="AP278" t="inlineStr">
        <is>
          <t>TAKE ALL</t>
        </is>
      </c>
    </row>
    <row r="279">
      <c r="A279" t="inlineStr">
        <is>
          <t>B079RCP397</t>
        </is>
      </c>
      <c r="B279" t="inlineStr">
        <is>
          <t>False</t>
        </is>
      </c>
      <c r="C279" t="inlineStr">
        <is>
          <t>B079RCP397</t>
        </is>
      </c>
      <c r="D279" t="inlineStr">
        <is>
          <t>PHILIPS</t>
        </is>
      </c>
      <c r="E279" t="inlineStr">
        <is>
          <t>False</t>
        </is>
      </c>
      <c r="F279" t="inlineStr">
        <is>
          <t>Philips LED 50W PAR20 Bright White SO 3Pk</t>
        </is>
      </c>
      <c r="G279">
        <v>1</v>
      </c>
      <c r="H279" s="2" t="str">
        <f>HYPERLINK("https://www.amazon.com/dp/B079RCP397", "https://www.amazon.com/dp/B079RCP397")</f>
      </c>
      <c r="I279" s="16">
        <v>36</v>
      </c>
      <c r="J279" s="11">
        <v>1.58</v>
      </c>
      <c r="K279" s="5">
        <v>0.1582</v>
      </c>
      <c r="L279" s="15">
        <v>0.4514</v>
      </c>
      <c r="M279" t="inlineStr">
        <is>
          <t>True</t>
        </is>
      </c>
      <c r="N279" t="inlineStr">
        <is>
          <t>Industrial &amp; Scientific</t>
        </is>
      </c>
      <c r="O279" s="6">
        <v>77362</v>
      </c>
      <c r="P279" s="6">
        <v>117804</v>
      </c>
      <c r="Q279" s="6">
        <v>31144</v>
      </c>
      <c r="R279" s="6">
        <v>39</v>
      </c>
      <c r="S279" s="7">
        <v>3.5</v>
      </c>
      <c r="T279" s="7">
        <v>9.99</v>
      </c>
      <c r="U279">
        <v>9.99</v>
      </c>
      <c r="V279" s="8">
        <v>0</v>
      </c>
      <c r="W279" s="7">
        <v>0</v>
      </c>
      <c r="X279" s="7">
        <v>0</v>
      </c>
      <c r="Y279">
        <v>0.71</v>
      </c>
      <c r="Z279" s="8">
        <v>0</v>
      </c>
      <c r="AB279">
        <v>0</v>
      </c>
      <c r="AC279">
        <v>0</v>
      </c>
      <c r="AD279">
        <v>3</v>
      </c>
      <c r="AE279">
        <v>0</v>
      </c>
      <c r="AF279">
        <v>3</v>
      </c>
      <c r="AG279">
        <v>1</v>
      </c>
      <c r="AH279">
        <v>0</v>
      </c>
      <c r="AI279" t="inlineStr">
        <is>
          <t>False</t>
        </is>
      </c>
      <c r="AJ279" s="2" t="str">
        <f>HYPERLINK("https://keepa.com/#!product/1-B079RCP397", "https://keepa.com/#!product/1-B079RCP397")</f>
      </c>
      <c r="AK279" s="2" t="str">
        <f>HYPERLINK("https://camelcamelcamel.com/search?sq=B079RCP397", "https://camelcamelcamel.com/search?sq=B079RCP397")</f>
      </c>
      <c r="AL279" t="inlineStr">
        <is>
          <t/>
        </is>
      </c>
      <c r="AM279" s="10">
        <v>45417.11111111111</v>
      </c>
      <c r="AN279" t="inlineStr">
        <is>
          <t>Philips LED 50W PAR20 Bright White SO 3Pk</t>
        </is>
      </c>
      <c r="AO279" t="inlineStr">
        <is>
          <t>1050</t>
        </is>
      </c>
      <c r="AP279" t="inlineStr">
        <is>
          <t>350</t>
        </is>
      </c>
    </row>
    <row r="280">
      <c r="A280" t="inlineStr">
        <is>
          <t>B07B11HQF8</t>
        </is>
      </c>
      <c r="B280" t="inlineStr">
        <is>
          <t>False</t>
        </is>
      </c>
      <c r="C280" t="inlineStr">
        <is>
          <t>B07B11HQF8</t>
        </is>
      </c>
      <c r="D280" t="inlineStr">
        <is>
          <t>Renew Life</t>
        </is>
      </c>
      <c r="E280" t="inlineStr">
        <is>
          <t>True</t>
        </is>
      </c>
      <c r="F280" t="inlineStr">
        <is>
          <t>Renew Life Extra Care Probiotic Capsules, Daily Supplement Supports Immune, Digestive and Respiratory Health, L. Rhamnosus GG, Dairy, Soy and gluten-free, 30 Billion CFU, 60 Count</t>
        </is>
      </c>
      <c r="G280">
        <v>1</v>
      </c>
      <c r="H280" s="2" t="str">
        <f>HYPERLINK("https://www.amazon.com/dp/B07B11HQF8", "https://www.amazon.com/dp/B07B11HQF8")</f>
      </c>
      <c r="I280" s="3">
        <v>13632</v>
      </c>
      <c r="J280" s="4">
        <v>7.79</v>
      </c>
      <c r="K280" s="5">
        <v>0.1948</v>
      </c>
      <c r="L280" s="15">
        <v>0.34619999999999995</v>
      </c>
      <c r="M280" t="inlineStr">
        <is>
          <t>True</t>
        </is>
      </c>
      <c r="N280" t="inlineStr">
        <is>
          <t>Health &amp; Household</t>
        </is>
      </c>
      <c r="O280" s="6">
        <v>1598</v>
      </c>
      <c r="P280" s="6">
        <v>1577</v>
      </c>
      <c r="Q280" s="6">
        <v>980</v>
      </c>
      <c r="R280" s="6">
        <v>274</v>
      </c>
      <c r="S280" s="7">
        <v>22.5</v>
      </c>
      <c r="T280" s="7">
        <v>39.98</v>
      </c>
      <c r="U280">
        <v>39.88</v>
      </c>
      <c r="V280" s="8">
        <v>0</v>
      </c>
      <c r="W280" s="7">
        <v>0</v>
      </c>
      <c r="X280" s="7">
        <v>0</v>
      </c>
      <c r="Y280">
        <v>0.18</v>
      </c>
      <c r="Z280" s="9">
        <v>1</v>
      </c>
      <c r="AB280">
        <v>0</v>
      </c>
      <c r="AC280">
        <v>0</v>
      </c>
      <c r="AD280">
        <v>3</v>
      </c>
      <c r="AE280">
        <v>1</v>
      </c>
      <c r="AF280">
        <v>2</v>
      </c>
      <c r="AG280">
        <v>1</v>
      </c>
      <c r="AH280">
        <v>3</v>
      </c>
      <c r="AI280" t="inlineStr">
        <is>
          <t>False</t>
        </is>
      </c>
      <c r="AJ280" s="2" t="str">
        <f>HYPERLINK("https://keepa.com/#!product/1-B07B11HQF8", "https://keepa.com/#!product/1-B07B11HQF8")</f>
      </c>
      <c r="AK280" s="2" t="str">
        <f>HYPERLINK("https://camelcamelcamel.com/search?sq=B07B11HQF8", "https://camelcamelcamel.com/search?sq=B07B11HQF8")</f>
      </c>
      <c r="AL280" t="inlineStr">
        <is>
          <t/>
        </is>
      </c>
      <c r="AM280" s="10">
        <v>45417.11111111111</v>
      </c>
      <c r="AN280" t="inlineStr">
        <is>
          <t>Renew Life Extra Care Probiotic Capsules, Daily Supplement Supports Immune, Digestive and Respiratory Health, L. Rhamnosus GG, Dairy, Soy and gluten-free, 30 Billion CFU, 60 Count</t>
        </is>
      </c>
      <c r="AO280" t="inlineStr">
        <is>
          <t>2000</t>
        </is>
      </c>
      <c r="AP280" t="inlineStr">
        <is>
          <t>400</t>
        </is>
      </c>
    </row>
    <row r="281">
      <c r="A281" t="inlineStr">
        <is>
          <t>B07B47J4ZR</t>
        </is>
      </c>
      <c r="B281" t="inlineStr">
        <is>
          <t>False</t>
        </is>
      </c>
      <c r="C281" t="inlineStr">
        <is>
          <t>B07B47J4ZR</t>
        </is>
      </c>
      <c r="D281" t="inlineStr">
        <is>
          <t>Starbucks</t>
        </is>
      </c>
      <c r="E281" t="inlineStr">
        <is>
          <t>False</t>
        </is>
      </c>
      <c r="F281" t="inlineStr">
        <is>
          <t>Starbucks Blonde Roast Ground Coffee — Veranda Blend — 1 bag (28 oz.)</t>
        </is>
      </c>
      <c r="G281">
        <v>1</v>
      </c>
      <c r="H281" s="2" t="str">
        <f>HYPERLINK("https://www.amazon.com/dp/B07B47J4ZR", "https://www.amazon.com/dp/B07B47J4ZR")</f>
      </c>
      <c r="I281" s="3">
        <v>6313</v>
      </c>
      <c r="J281" s="11">
        <v>1.79</v>
      </c>
      <c r="K281" s="5">
        <v>0.0943</v>
      </c>
      <c r="L281" s="5">
        <v>0.21059999999999998</v>
      </c>
      <c r="M281" t="inlineStr">
        <is>
          <t>True</t>
        </is>
      </c>
      <c r="N281" t="inlineStr">
        <is>
          <t>Grocery &amp; Gourmet Food</t>
        </is>
      </c>
      <c r="O281" s="6">
        <v>689</v>
      </c>
      <c r="P281" s="6">
        <v>648</v>
      </c>
      <c r="Q281" s="6">
        <v>269</v>
      </c>
      <c r="R281" s="6">
        <v>276</v>
      </c>
      <c r="S281" s="7">
        <v>8.5</v>
      </c>
      <c r="T281" s="7">
        <v>18.98</v>
      </c>
      <c r="U281">
        <v>18.92</v>
      </c>
      <c r="V281" s="8">
        <v>0</v>
      </c>
      <c r="W281" s="7">
        <v>0</v>
      </c>
      <c r="X281" s="7">
        <v>0</v>
      </c>
      <c r="Y281">
        <v>1.81</v>
      </c>
      <c r="Z281" s="9">
        <v>1</v>
      </c>
      <c r="AB281">
        <v>0</v>
      </c>
      <c r="AC281">
        <v>0</v>
      </c>
      <c r="AD281">
        <v>15</v>
      </c>
      <c r="AE281">
        <v>1</v>
      </c>
      <c r="AF281">
        <v>14</v>
      </c>
      <c r="AG281">
        <v>1</v>
      </c>
      <c r="AH281">
        <v>20</v>
      </c>
      <c r="AI281" t="inlineStr">
        <is>
          <t>False</t>
        </is>
      </c>
      <c r="AJ281" s="2" t="str">
        <f>HYPERLINK("https://keepa.com/#!product/1-B07B47J4ZR", "https://keepa.com/#!product/1-B07B47J4ZR")</f>
      </c>
      <c r="AK281" s="2" t="str">
        <f>HYPERLINK("https://camelcamelcamel.com/search?sq=B07B47J4ZR", "https://camelcamelcamel.com/search?sq=B07B47J4ZR")</f>
      </c>
      <c r="AL281" t="inlineStr">
        <is>
          <t/>
        </is>
      </c>
      <c r="AM281" s="10">
        <v>45417.11111111111</v>
      </c>
      <c r="AN281" t="inlineStr">
        <is>
          <t>Starbucks Offer</t>
        </is>
      </c>
      <c r="AO281" t="inlineStr">
        <is>
          <t>2700</t>
        </is>
      </c>
      <c r="AP281" t="inlineStr">
        <is>
          <t>1350</t>
        </is>
      </c>
    </row>
    <row r="282">
      <c r="A282" t="inlineStr">
        <is>
          <t>B07B4KQVK6</t>
        </is>
      </c>
      <c r="B282" t="inlineStr">
        <is>
          <t>False</t>
        </is>
      </c>
      <c r="C282" t="inlineStr">
        <is>
          <t>B07B4KQVK6</t>
        </is>
      </c>
      <c r="D282" t="inlineStr">
        <is>
          <t>HERO COSMETICS</t>
        </is>
      </c>
      <c r="E282" t="inlineStr">
        <is>
          <t>False</t>
        </is>
      </c>
      <c r="F282" t="inlineStr">
        <is>
          <t>Hero Cosmetics Mighty Patch™ Original Patch - Hydrocolloid Acne Pimple Patch for Covering Zits and Blemishes, Spot Stickers for Face and Skin (72 Count)</t>
        </is>
      </c>
      <c r="G282">
        <v>1</v>
      </c>
      <c r="H282" s="2" t="str">
        <f>HYPERLINK("https://www.amazon.com/dp/B07B4KQVK6", "https://www.amazon.com/dp/B07B4KQVK6")</f>
      </c>
      <c r="I282" s="3">
        <v>143636</v>
      </c>
      <c r="J282" s="4">
        <v>5.37</v>
      </c>
      <c r="K282" s="5">
        <v>0.24420000000000003</v>
      </c>
      <c r="L282" s="15">
        <v>0.5239</v>
      </c>
      <c r="M282" t="inlineStr">
        <is>
          <t>True</t>
        </is>
      </c>
      <c r="N282" t="inlineStr">
        <is>
          <t>Beauty &amp; Personal Care</t>
        </is>
      </c>
      <c r="O282" s="6">
        <v>1</v>
      </c>
      <c r="P282" s="6">
        <v>29</v>
      </c>
      <c r="Q282" s="6">
        <v>1</v>
      </c>
      <c r="R282" s="6">
        <v>227</v>
      </c>
      <c r="S282" s="7">
        <v>10.25</v>
      </c>
      <c r="T282" s="7">
        <v>21.99</v>
      </c>
      <c r="U282">
        <v>21.62</v>
      </c>
      <c r="V282" s="8">
        <v>0</v>
      </c>
      <c r="W282" s="7">
        <v>0</v>
      </c>
      <c r="X282" s="7">
        <v>0</v>
      </c>
      <c r="Y282">
        <v>0.04</v>
      </c>
      <c r="Z282" s="8">
        <v>0</v>
      </c>
      <c r="AB282">
        <v>0</v>
      </c>
      <c r="AC282">
        <v>0</v>
      </c>
      <c r="AD282">
        <v>8</v>
      </c>
      <c r="AE282">
        <v>1</v>
      </c>
      <c r="AF282">
        <v>7</v>
      </c>
      <c r="AG282">
        <v>1</v>
      </c>
      <c r="AH282">
        <v>6</v>
      </c>
      <c r="AI282" t="inlineStr">
        <is>
          <t>False</t>
        </is>
      </c>
      <c r="AJ282" s="2" t="str">
        <f>HYPERLINK("https://keepa.com/#!product/1-B07B4KQVK6", "https://keepa.com/#!product/1-B07B4KQVK6")</f>
      </c>
      <c r="AK282" s="2" t="str">
        <f>HYPERLINK("https://camelcamelcamel.com/search?sq=B07B4KQVK6", "https://camelcamelcamel.com/search?sq=B07B4KQVK6")</f>
      </c>
      <c r="AL282" t="inlineStr">
        <is>
          <t/>
        </is>
      </c>
      <c r="AM282" s="10">
        <v>45417.11111111111</v>
      </c>
      <c r="AN282" t="inlineStr">
        <is>
          <t>Hero Cosmetics Mighty Patchâ„¢ Original Patch - Hydrocolloid Acne Pimple Patch for Covering Zits and Blemishes, Spot Stickers for Face and Skin (72 Count)</t>
        </is>
      </c>
      <c r="AO282" t="inlineStr">
        <is>
          <t>1000</t>
        </is>
      </c>
      <c r="AP282" t="inlineStr">
        <is>
          <t>TAKE ALL</t>
        </is>
      </c>
    </row>
    <row r="283">
      <c r="A283" t="inlineStr">
        <is>
          <t>B07BC56BXV</t>
        </is>
      </c>
      <c r="B283" t="inlineStr">
        <is>
          <t>False</t>
        </is>
      </c>
      <c r="C283" t="inlineStr">
        <is>
          <t>B07BC56BXV</t>
        </is>
      </c>
      <c r="D283" t="inlineStr">
        <is>
          <t>La Colombe</t>
        </is>
      </c>
      <c r="E283" t="inlineStr">
        <is>
          <t>False</t>
        </is>
      </c>
      <c r="F283" t="inlineStr">
        <is>
          <t>La Colombe Draft Latte Cold-Pressed Espresso Variety 9 oz Can (Pack of 12)</t>
        </is>
      </c>
      <c r="G283">
        <v>12</v>
      </c>
      <c r="H283" s="2" t="str">
        <f>HYPERLINK("https://www.amazon.com/dp/B07BC56BXV", "https://www.amazon.com/dp/B07BC56BXV")</f>
      </c>
      <c r="I283" s="3">
        <v>280</v>
      </c>
      <c r="J283" s="12">
        <v>-186.41</v>
      </c>
      <c r="K283" s="13">
        <v>-4.9068000000000005</v>
      </c>
      <c r="L283" s="13">
        <v>-0.8876999999999999</v>
      </c>
      <c r="M283" t="inlineStr">
        <is>
          <t>True</t>
        </is>
      </c>
      <c r="N283" t="inlineStr">
        <is>
          <t>Grocery &amp; Gourmet Food</t>
        </is>
      </c>
      <c r="O283" s="6">
        <v>26266</v>
      </c>
      <c r="P283" s="6">
        <v>62763</v>
      </c>
      <c r="Q283" s="6">
        <v>20828</v>
      </c>
      <c r="R283" s="6">
        <v>99</v>
      </c>
      <c r="S283" s="7">
        <v>17.5</v>
      </c>
      <c r="T283" s="7">
        <v>37.99</v>
      </c>
      <c r="U283">
        <v>39.72</v>
      </c>
      <c r="V283" s="8">
        <v>0</v>
      </c>
      <c r="W283" s="7">
        <v>0</v>
      </c>
      <c r="X283" s="7">
        <v>0</v>
      </c>
      <c r="Y283">
        <v>7.96</v>
      </c>
      <c r="Z283" s="8">
        <v>0</v>
      </c>
      <c r="AB283">
        <v>0</v>
      </c>
      <c r="AC283">
        <v>0</v>
      </c>
      <c r="AD283">
        <v>10</v>
      </c>
      <c r="AE283">
        <v>1</v>
      </c>
      <c r="AF283">
        <v>9</v>
      </c>
      <c r="AG283">
        <v>1</v>
      </c>
      <c r="AH283">
        <v>1</v>
      </c>
      <c r="AI283" t="inlineStr">
        <is>
          <t>False</t>
        </is>
      </c>
      <c r="AJ283" s="2" t="str">
        <f>HYPERLINK("https://keepa.com/#!product/1-B07BC56BXV", "https://keepa.com/#!product/1-B07BC56BXV")</f>
      </c>
      <c r="AK283" s="2" t="str">
        <f>HYPERLINK("https://camelcamelcamel.com/search?sq=B07BC56BXV", "https://camelcamelcamel.com/search?sq=B07BC56BXV")</f>
      </c>
      <c r="AL283" t="inlineStr">
        <is>
          <t/>
        </is>
      </c>
      <c r="AM283" s="10">
        <v>45417.11111111111</v>
      </c>
      <c r="AN283" t="inlineStr">
        <is>
          <t>La Colombe Draft Latte Cold-Pressed Espresso Variety 9 oz Can (Pack of 12)</t>
        </is>
      </c>
      <c r="AO283" t="inlineStr">
        <is>
          <t>300</t>
        </is>
      </c>
      <c r="AP283" t="inlineStr">
        <is>
          <t>TAKE ALL</t>
        </is>
      </c>
    </row>
    <row r="284">
      <c r="A284" t="inlineStr">
        <is>
          <t>B07BDMGMLY</t>
        </is>
      </c>
      <c r="B284" t="inlineStr">
        <is>
          <t>False</t>
        </is>
      </c>
      <c r="C284" t="inlineStr">
        <is>
          <t>B07BDMGMLY</t>
        </is>
      </c>
      <c r="D284" t="inlineStr">
        <is>
          <t>iProvèn</t>
        </is>
      </c>
      <c r="E284" t="inlineStr">
        <is>
          <t>False</t>
        </is>
      </c>
      <c r="F284" t="inlineStr">
        <is>
          <t>IPROVEN® Rectal and Oral Digital Thermometer for The Whole Family, Measures in 10 Seconds, with Flexible Tip, Fever Alarm, Hardcase</t>
        </is>
      </c>
      <c r="G284">
        <v>1</v>
      </c>
      <c r="H284" s="2" t="str">
        <f>HYPERLINK("https://www.amazon.com/dp/B07BDMGMLY", "https://www.amazon.com/dp/B07BDMGMLY")</f>
      </c>
      <c r="I284" s="3">
        <v>341</v>
      </c>
      <c r="J284" s="11">
        <v>1</v>
      </c>
      <c r="K284" s="5">
        <v>0.1003</v>
      </c>
      <c r="L284" s="5">
        <v>0.1905</v>
      </c>
      <c r="M284" t="inlineStr">
        <is>
          <t>True</t>
        </is>
      </c>
      <c r="N284" t="inlineStr">
        <is>
          <t>Health &amp; Household</t>
        </is>
      </c>
      <c r="O284" s="6">
        <v>48365</v>
      </c>
      <c r="P284" s="6">
        <v>45212</v>
      </c>
      <c r="Q284" s="6">
        <v>28901</v>
      </c>
      <c r="R284" s="6">
        <v>183</v>
      </c>
      <c r="S284" s="7">
        <v>5.25</v>
      </c>
      <c r="T284" s="7">
        <v>9.97</v>
      </c>
      <c r="U284">
        <v>9.98</v>
      </c>
      <c r="V284" s="8">
        <v>0</v>
      </c>
      <c r="W284" s="7">
        <v>0</v>
      </c>
      <c r="X284" s="7">
        <v>0</v>
      </c>
      <c r="Y284">
        <v>0.07</v>
      </c>
      <c r="Z284" s="8">
        <v>0</v>
      </c>
      <c r="AB284">
        <v>0</v>
      </c>
      <c r="AC284">
        <v>0</v>
      </c>
      <c r="AD284">
        <v>4</v>
      </c>
      <c r="AE284">
        <v>2</v>
      </c>
      <c r="AF284">
        <v>2</v>
      </c>
      <c r="AG284">
        <v>1</v>
      </c>
      <c r="AH284">
        <v>2</v>
      </c>
      <c r="AI284" t="inlineStr">
        <is>
          <t>False</t>
        </is>
      </c>
      <c r="AJ284" s="2" t="str">
        <f>HYPERLINK("https://keepa.com/#!product/1-B07BDMGMLY", "https://keepa.com/#!product/1-B07BDMGMLY")</f>
      </c>
      <c r="AK284" s="2" t="str">
        <f>HYPERLINK("https://camelcamelcamel.com/search?sq=B07BDMGMLY", "https://camelcamelcamel.com/search?sq=B07BDMGMLY")</f>
      </c>
      <c r="AL284" t="inlineStr">
        <is>
          <t/>
        </is>
      </c>
      <c r="AM284" s="10">
        <v>45417.11111111111</v>
      </c>
      <c r="AN284" t="inlineStr">
        <is>
          <t>IPROVENÂ® Rectal and Oral Digital Thermometer for The Whole Family, Measures in 10 Seconds, with Flexible Tip, Fever Alarm, Hardcase</t>
        </is>
      </c>
      <c r="AO284" t="inlineStr">
        <is>
          <t>6000</t>
        </is>
      </c>
      <c r="AP284" t="inlineStr">
        <is>
          <t>TAKE ALL</t>
        </is>
      </c>
    </row>
    <row r="285">
      <c r="A285" t="inlineStr">
        <is>
          <t>B07BDQMW42</t>
        </is>
      </c>
      <c r="B285" t="inlineStr">
        <is>
          <t>False</t>
        </is>
      </c>
      <c r="C285" t="inlineStr">
        <is>
          <t>B07BDQMW42</t>
        </is>
      </c>
      <c r="D285" t="inlineStr">
        <is>
          <t>Nature Made</t>
        </is>
      </c>
      <c r="E285" t="inlineStr">
        <is>
          <t>True</t>
        </is>
      </c>
      <c r="F285" t="inlineStr">
        <is>
          <t>Nature Made Ultra Omega-3 Burpless Fish Oil 1400 mg Softgels w. Omega 3 1000 mg 130 Ct</t>
        </is>
      </c>
      <c r="G285">
        <v>1</v>
      </c>
      <c r="H285" s="2" t="str">
        <f>HYPERLINK("https://www.amazon.com/dp/B07BDQMW42", "https://www.amazon.com/dp/B07BDQMW42")</f>
      </c>
      <c r="I285" s="3">
        <v>1001</v>
      </c>
      <c r="J285" s="4">
        <v>4.36</v>
      </c>
      <c r="K285" s="5">
        <v>0.11689999999999999</v>
      </c>
      <c r="L285" s="5">
        <v>0.1916</v>
      </c>
      <c r="M285" t="inlineStr">
        <is>
          <t>True</t>
        </is>
      </c>
      <c r="N285" t="inlineStr">
        <is>
          <t>Health &amp; Household</t>
        </is>
      </c>
      <c r="O285" s="6">
        <v>22521</v>
      </c>
      <c r="P285" s="6">
        <v>22220</v>
      </c>
      <c r="Q285" s="6">
        <v>13706</v>
      </c>
      <c r="R285" s="6">
        <v>170</v>
      </c>
      <c r="S285" s="7">
        <v>22.75</v>
      </c>
      <c r="T285" s="7">
        <v>37.29</v>
      </c>
      <c r="U285">
        <v>38.03</v>
      </c>
      <c r="V285" s="8">
        <v>0</v>
      </c>
      <c r="W285" s="7">
        <v>0</v>
      </c>
      <c r="X285" s="7">
        <v>0</v>
      </c>
      <c r="Y285">
        <v>0.77</v>
      </c>
      <c r="Z285" s="8">
        <v>0</v>
      </c>
      <c r="AB285">
        <v>0</v>
      </c>
      <c r="AC285">
        <v>0</v>
      </c>
      <c r="AD285">
        <v>15</v>
      </c>
      <c r="AE285">
        <v>5</v>
      </c>
      <c r="AF285">
        <v>10</v>
      </c>
      <c r="AG285">
        <v>2</v>
      </c>
      <c r="AH285">
        <v>1</v>
      </c>
      <c r="AI285" t="inlineStr">
        <is>
          <t>False</t>
        </is>
      </c>
      <c r="AJ285" s="2" t="str">
        <f>HYPERLINK("https://keepa.com/#!product/1-B07BDQMW42", "https://keepa.com/#!product/1-B07BDQMW42")</f>
      </c>
      <c r="AK285" s="2" t="str">
        <f>HYPERLINK("https://camelcamelcamel.com/search?sq=B07BDQMW42", "https://camelcamelcamel.com/search?sq=B07BDQMW42")</f>
      </c>
      <c r="AL285" t="inlineStr">
        <is>
          <t/>
        </is>
      </c>
      <c r="AM285" s="10">
        <v>45417.11111111111</v>
      </c>
      <c r="AN285" t="inlineStr">
        <is>
          <t>Nature Made Ultra Omega-3 Burpless Fish Oil 1400 mg Softgels w. Omega 3 1000 mg 130 Ct</t>
        </is>
      </c>
      <c r="AO285" t="inlineStr">
        <is>
          <t>2000</t>
        </is>
      </c>
      <c r="AP285" t="inlineStr">
        <is>
          <t>TAKE ALL</t>
        </is>
      </c>
    </row>
    <row r="286">
      <c r="A286" t="inlineStr">
        <is>
          <t>B07BFJ9QXQ</t>
        </is>
      </c>
      <c r="B286" t="inlineStr">
        <is>
          <t>False</t>
        </is>
      </c>
      <c r="C286" t="inlineStr">
        <is>
          <t>B07BFJ9QXQ</t>
        </is>
      </c>
      <c r="D286" t="inlineStr">
        <is>
          <t>Dove</t>
        </is>
      </c>
      <c r="E286" t="inlineStr">
        <is>
          <t>True</t>
        </is>
      </c>
      <c r="F286" t="inlineStr">
        <is>
          <t>Dove Exfoliating Body Polish Scrub For Silky, Soft Skin Pomegranate &amp; Shea Butter Body Scrub Exfoliates and Provides Lasting Nourishment 10.5 oz</t>
        </is>
      </c>
      <c r="G286">
        <v>1</v>
      </c>
      <c r="H286" s="2" t="str">
        <f>HYPERLINK("https://www.amazon.com/dp/B07BFJ9QXQ", "https://www.amazon.com/dp/B07BFJ9QXQ")</f>
      </c>
      <c r="I286" s="3">
        <v>5098</v>
      </c>
      <c r="J286" s="12">
        <v>-1.21</v>
      </c>
      <c r="K286" s="13">
        <v>-0.1211</v>
      </c>
      <c r="L286" s="13">
        <v>-0.1729</v>
      </c>
      <c r="M286" t="inlineStr">
        <is>
          <t>True</t>
        </is>
      </c>
      <c r="N286" t="inlineStr">
        <is>
          <t>Beauty &amp; Personal Care</t>
        </is>
      </c>
      <c r="O286" s="6">
        <v>3469</v>
      </c>
      <c r="P286" s="6">
        <v>5770</v>
      </c>
      <c r="Q286" s="6">
        <v>3027</v>
      </c>
      <c r="R286" s="6">
        <v>442</v>
      </c>
      <c r="S286" s="7">
        <v>7</v>
      </c>
      <c r="T286" s="7">
        <v>9.99</v>
      </c>
      <c r="U286">
        <v>0</v>
      </c>
      <c r="V286" s="8">
        <v>0</v>
      </c>
      <c r="W286" s="7">
        <v>0</v>
      </c>
      <c r="X286" s="7">
        <v>0</v>
      </c>
      <c r="Y286">
        <v>0.75</v>
      </c>
      <c r="Z286" s="8">
        <v>0</v>
      </c>
      <c r="AB286">
        <v>0</v>
      </c>
      <c r="AC286">
        <v>0</v>
      </c>
      <c r="AD286">
        <v>20</v>
      </c>
      <c r="AE286">
        <v>11</v>
      </c>
      <c r="AF286">
        <v>9</v>
      </c>
      <c r="AG286">
        <v>0</v>
      </c>
      <c r="AH286">
        <v>11</v>
      </c>
      <c r="AI286" t="inlineStr">
        <is>
          <t>False</t>
        </is>
      </c>
      <c r="AJ286" s="2" t="str">
        <f>HYPERLINK("https://keepa.com/#!product/1-B07BFJ9QXQ", "https://keepa.com/#!product/1-B07BFJ9QXQ")</f>
      </c>
      <c r="AK286" s="2" t="str">
        <f>HYPERLINK("https://camelcamelcamel.com/search?sq=B07BFJ9QXQ", "https://camelcamelcamel.com/search?sq=B07BFJ9QXQ")</f>
      </c>
      <c r="AL286" t="inlineStr">
        <is>
          <t/>
        </is>
      </c>
      <c r="AM286" s="10">
        <v>45417.11111111111</v>
      </c>
      <c r="AN286" t="inlineStr">
        <is>
          <t>Dove Exfoliating Body Polish Scrub For Silky, Soft Skin Pomegranate &amp; Shea Butter Body Scrub Exfoliates and Provides Lasting Nourishment 10.5 oz</t>
        </is>
      </c>
      <c r="AO286" t="inlineStr">
        <is>
          <t>1000</t>
        </is>
      </c>
      <c r="AP286" t="inlineStr">
        <is>
          <t>TAKE ALL</t>
        </is>
      </c>
    </row>
    <row r="287">
      <c r="A287" t="inlineStr">
        <is>
          <t>B07BHTWW49</t>
        </is>
      </c>
      <c r="B287" t="inlineStr">
        <is>
          <t>False</t>
        </is>
      </c>
      <c r="C287" t="inlineStr">
        <is>
          <t>B07BHTWW49</t>
        </is>
      </c>
      <c r="D287" t="inlineStr">
        <is>
          <t>Nature's Bounty</t>
        </is>
      </c>
      <c r="E287" t="inlineStr">
        <is>
          <t>False</t>
        </is>
      </c>
      <c r="F287" t="inlineStr">
        <is>
          <t>Nature's Bounty Vitamin B12 Gummies, Dietary Supplement, Supports Energy Metabolism and Nervous System Health, Mixed Berry Flavor, 500mcg, 90 Gummies (Packaging May Vary)</t>
        </is>
      </c>
      <c r="G287">
        <v>1</v>
      </c>
      <c r="H287" s="2" t="str">
        <f>HYPERLINK("https://www.amazon.com/dp/B07BHTWW49", "https://www.amazon.com/dp/B07BHTWW49")</f>
      </c>
      <c r="I287" s="3">
        <v>244</v>
      </c>
      <c r="J287" s="4">
        <v>8.65</v>
      </c>
      <c r="K287" s="15">
        <v>0.3539</v>
      </c>
      <c r="L287" s="15">
        <v>1.0881</v>
      </c>
      <c r="M287" t="inlineStr">
        <is>
          <t>True</t>
        </is>
      </c>
      <c r="N287" t="inlineStr">
        <is>
          <t>Health &amp; Household</t>
        </is>
      </c>
      <c r="O287" s="6">
        <v>59797</v>
      </c>
      <c r="P287" s="6">
        <v>42919</v>
      </c>
      <c r="Q287" s="6">
        <v>25738</v>
      </c>
      <c r="R287" s="6">
        <v>176</v>
      </c>
      <c r="S287" s="7">
        <v>7.95</v>
      </c>
      <c r="T287" s="7">
        <v>24.44</v>
      </c>
      <c r="U287">
        <v>12.15</v>
      </c>
      <c r="V287" s="8">
        <v>0</v>
      </c>
      <c r="W287" s="7">
        <v>0</v>
      </c>
      <c r="X287" s="7">
        <v>0</v>
      </c>
      <c r="Y287">
        <v>0.55</v>
      </c>
      <c r="Z287" s="9">
        <v>0.96</v>
      </c>
      <c r="AB287">
        <v>0</v>
      </c>
      <c r="AC287">
        <v>0</v>
      </c>
      <c r="AD287">
        <v>5</v>
      </c>
      <c r="AE287">
        <v>0</v>
      </c>
      <c r="AF287">
        <v>5</v>
      </c>
      <c r="AG287">
        <v>0</v>
      </c>
      <c r="AH287">
        <v>1</v>
      </c>
      <c r="AI287" t="inlineStr">
        <is>
          <t>False</t>
        </is>
      </c>
      <c r="AJ287" s="2" t="str">
        <f>HYPERLINK("https://keepa.com/#!product/1-B07BHTWW49", "https://keepa.com/#!product/1-B07BHTWW49")</f>
      </c>
      <c r="AK287" s="2" t="str">
        <f>HYPERLINK("https://camelcamelcamel.com/search?sq=B07BHTWW49", "https://camelcamelcamel.com/search?sq=B07BHTWW49")</f>
      </c>
      <c r="AL287" t="inlineStr">
        <is>
          <t/>
        </is>
      </c>
      <c r="AM287" s="10">
        <v>45417.11111111111</v>
      </c>
      <c r="AN287" t="inlineStr">
        <is>
          <t>Nature's Bounty Vitamin B12 Gummies, Dietary Supplement, Supports Energy Metabolism and Nervous System Health, Mixed Berry Flavor, 500mcg, 90 Gummies (Packaging May Vary)</t>
        </is>
      </c>
      <c r="AO287" t="inlineStr">
        <is>
          <t>1056</t>
        </is>
      </c>
      <c r="AP287" t="inlineStr">
        <is>
          <t>TAKE ALL</t>
        </is>
      </c>
    </row>
    <row r="288">
      <c r="A288" t="inlineStr">
        <is>
          <t>B07BL69CD2</t>
        </is>
      </c>
      <c r="B288" t="inlineStr">
        <is>
          <t>False</t>
        </is>
      </c>
      <c r="C288" t="inlineStr">
        <is>
          <t>B07BL69CD2</t>
        </is>
      </c>
      <c r="D288" t="inlineStr">
        <is>
          <t>Orgain</t>
        </is>
      </c>
      <c r="E288" t="inlineStr">
        <is>
          <t>False</t>
        </is>
      </c>
      <c r="F288" t="inlineStr">
        <is>
          <t>Orgain Hydrolyzed Collagen Peptides Powder For Women &amp; Men, 20g Grass Fed Collagen, Unflavored - Hair, Skin, Nail, &amp; Joint Support Supplement, Paleo &amp; Keto, Non-GMO, Type I &amp; III, 1lb</t>
        </is>
      </c>
      <c r="G288">
        <v>1</v>
      </c>
      <c r="H288" s="2" t="str">
        <f>HYPERLINK("https://www.amazon.com/dp/B07BL69CD2", "https://www.amazon.com/dp/B07BL69CD2")</f>
      </c>
      <c r="I288" s="3">
        <v>33726</v>
      </c>
      <c r="J288" s="11">
        <v>3.22</v>
      </c>
      <c r="K288" s="5">
        <v>0.1349</v>
      </c>
      <c r="L288" s="5">
        <v>0.2683</v>
      </c>
      <c r="M288" t="inlineStr">
        <is>
          <t>True</t>
        </is>
      </c>
      <c r="N288" t="inlineStr">
        <is>
          <t>Health &amp; Household</t>
        </is>
      </c>
      <c r="O288" s="6">
        <v>372</v>
      </c>
      <c r="P288" s="6">
        <v>437</v>
      </c>
      <c r="Q288" s="6">
        <v>267</v>
      </c>
      <c r="R288" s="6">
        <v>301</v>
      </c>
      <c r="S288" s="7">
        <v>12</v>
      </c>
      <c r="T288" s="7">
        <v>23.87</v>
      </c>
      <c r="U288">
        <v>23.4</v>
      </c>
      <c r="V288" s="8">
        <v>0</v>
      </c>
      <c r="W288" s="7">
        <v>0</v>
      </c>
      <c r="X288" s="7">
        <v>0</v>
      </c>
      <c r="Y288">
        <v>1.26</v>
      </c>
      <c r="Z288" s="9">
        <v>1</v>
      </c>
      <c r="AB288">
        <v>0</v>
      </c>
      <c r="AC288">
        <v>0</v>
      </c>
      <c r="AD288">
        <v>28</v>
      </c>
      <c r="AE288">
        <v>4</v>
      </c>
      <c r="AF288">
        <v>24</v>
      </c>
      <c r="AG288">
        <v>3</v>
      </c>
      <c r="AH288">
        <v>3</v>
      </c>
      <c r="AI288" t="inlineStr">
        <is>
          <t>False</t>
        </is>
      </c>
      <c r="AJ288" s="2" t="str">
        <f>HYPERLINK("https://keepa.com/#!product/1-B07BL69CD2", "https://keepa.com/#!product/1-B07BL69CD2")</f>
      </c>
      <c r="AK288" s="2" t="str">
        <f>HYPERLINK("https://camelcamelcamel.com/search?sq=B07BL69CD2", "https://camelcamelcamel.com/search?sq=B07BL69CD2")</f>
      </c>
      <c r="AL288" t="inlineStr">
        <is>
          <t/>
        </is>
      </c>
      <c r="AM288" s="10">
        <v>45417.11111111111</v>
      </c>
      <c r="AN288" t="inlineStr">
        <is>
          <t>Grass Fed Pasture Raised Collagen Peptides 25 Ct Stick Pack</t>
        </is>
      </c>
      <c r="AO288" t="inlineStr">
        <is>
          <t>3300</t>
        </is>
      </c>
      <c r="AP288" t="inlineStr">
        <is>
          <t>1000</t>
        </is>
      </c>
    </row>
    <row r="289">
      <c r="A289" t="inlineStr">
        <is>
          <t>B07BYJF7L7</t>
        </is>
      </c>
      <c r="B289" t="inlineStr">
        <is>
          <t>False</t>
        </is>
      </c>
      <c r="C289" t="inlineStr">
        <is>
          <t>B07BYJF7L7</t>
        </is>
      </c>
      <c r="D289" t="inlineStr">
        <is>
          <t>SOME BY MI</t>
        </is>
      </c>
      <c r="E289" t="inlineStr">
        <is>
          <t>False</t>
        </is>
      </c>
      <c r="F289" t="inlineStr">
        <is>
          <t>SOME BY MI AHA BHA PHA 30 Days Miracle Toner - 5.07Oz, 150ml - Made from Tea Tree Water for Sensitive Skin - Mild Exfoliating Daily Face Toner - Skin Wastes, Sebum and Oiliness Care - Korean Skin Care</t>
        </is>
      </c>
      <c r="G289">
        <v>1</v>
      </c>
      <c r="H289" s="2" t="str">
        <f>HYPERLINK("https://www.amazon.com/dp/B07BYJF7L7", "https://www.amazon.com/dp/B07BYJF7L7")</f>
      </c>
      <c r="I289" s="3">
        <v>9495</v>
      </c>
      <c r="J289" s="11">
        <v>2.41</v>
      </c>
      <c r="K289" s="5">
        <v>0.16620000000000001</v>
      </c>
      <c r="L289" s="15">
        <v>0.4017</v>
      </c>
      <c r="M289" t="inlineStr">
        <is>
          <t>True</t>
        </is>
      </c>
      <c r="N289" t="inlineStr">
        <is>
          <t>Beauty &amp; Personal Care</t>
        </is>
      </c>
      <c r="O289" s="6">
        <v>1573</v>
      </c>
      <c r="P289" s="6">
        <v>1242</v>
      </c>
      <c r="Q289" s="6">
        <v>521</v>
      </c>
      <c r="R289" s="6">
        <v>315</v>
      </c>
      <c r="S289" s="7">
        <v>6</v>
      </c>
      <c r="T289" s="7">
        <v>14.5</v>
      </c>
      <c r="U289">
        <v>14.08</v>
      </c>
      <c r="V289" s="8">
        <v>0</v>
      </c>
      <c r="W289" s="7">
        <v>0</v>
      </c>
      <c r="X289" s="7">
        <v>0</v>
      </c>
      <c r="Y289">
        <v>0.42</v>
      </c>
      <c r="Z289" s="9">
        <v>0.08</v>
      </c>
      <c r="AB289">
        <v>0</v>
      </c>
      <c r="AC289">
        <v>0</v>
      </c>
      <c r="AD289">
        <v>48</v>
      </c>
      <c r="AE289">
        <v>28</v>
      </c>
      <c r="AF289">
        <v>20</v>
      </c>
      <c r="AG289">
        <v>15</v>
      </c>
      <c r="AH289">
        <v>0</v>
      </c>
      <c r="AI289" t="inlineStr">
        <is>
          <t>False</t>
        </is>
      </c>
      <c r="AJ289" s="2" t="str">
        <f>HYPERLINK("https://keepa.com/#!product/1-B07BYJF7L7", "https://keepa.com/#!product/1-B07BYJF7L7")</f>
      </c>
      <c r="AK289" s="2" t="str">
        <f>HYPERLINK("https://camelcamelcamel.com/search?sq=B07BYJF7L7", "https://camelcamelcamel.com/search?sq=B07BYJF7L7")</f>
      </c>
      <c r="AL289" t="inlineStr">
        <is>
          <t/>
        </is>
      </c>
      <c r="AM289" s="10">
        <v>45417.11111111111</v>
      </c>
      <c r="AN289" t="inlineStr">
        <is>
          <t>SOME BY MI AHA BHA PHA 30 Days Miracle Toner - 5.07Oz, 150ml - Made from Tea Tree Water for Sensitive Skin - Mild Exfoliating Daily Face Toner - Skin Wastes, Sebum and Oiliness Care - Korean Skin Care</t>
        </is>
      </c>
      <c r="AO289" t="inlineStr">
        <is>
          <t>3000</t>
        </is>
      </c>
      <c r="AP289" t="inlineStr">
        <is>
          <t>1000</t>
        </is>
      </c>
    </row>
    <row r="290">
      <c r="A290" t="inlineStr">
        <is>
          <t>B07C4KBJ1X</t>
        </is>
      </c>
      <c r="B290" t="inlineStr">
        <is>
          <t>False</t>
        </is>
      </c>
      <c r="C290" t="inlineStr">
        <is>
          <t>B07C4KBJ1X</t>
        </is>
      </c>
      <c r="D290" t="inlineStr">
        <is>
          <t>NATIONAL GEOGRAPHIC</t>
        </is>
      </c>
      <c r="E290" t="inlineStr">
        <is>
          <t>True</t>
        </is>
      </c>
      <c r="F290" t="inlineStr">
        <is>
          <t>NATIONAL GEOGRAPHIC Da Vinci Model Kit - Catapult Kit for Kids, 3D Puzzle Building Toy for Boys and Girls, Wood Building Kit for Kids, A Great STEM Project, Engineering Model Kit (Amazon Exclusive)</t>
        </is>
      </c>
      <c r="G290">
        <v>1</v>
      </c>
      <c r="H290" s="2" t="str">
        <f>HYPERLINK("https://www.amazon.com/dp/B07C4KBJ1X", "https://www.amazon.com/dp/B07C4KBJ1X")</f>
      </c>
      <c r="I290" s="3">
        <v>364</v>
      </c>
      <c r="J290" s="11">
        <v>2.36</v>
      </c>
      <c r="K290" s="5">
        <v>0.0787</v>
      </c>
      <c r="L290" s="5">
        <v>0.1349</v>
      </c>
      <c r="M290" t="inlineStr">
        <is>
          <t>True</t>
        </is>
      </c>
      <c r="N290" t="inlineStr">
        <is>
          <t>Toys &amp; Games</t>
        </is>
      </c>
      <c r="O290" s="6">
        <v>26419</v>
      </c>
      <c r="P290" s="6">
        <v>19047</v>
      </c>
      <c r="Q290" s="6">
        <v>6849</v>
      </c>
      <c r="R290" s="6">
        <v>228</v>
      </c>
      <c r="S290" s="7">
        <v>17.5</v>
      </c>
      <c r="T290" s="7">
        <v>29.99</v>
      </c>
      <c r="U290">
        <v>28.88</v>
      </c>
      <c r="V290" s="8">
        <v>0</v>
      </c>
      <c r="W290" s="7">
        <v>0</v>
      </c>
      <c r="X290" s="7">
        <v>0</v>
      </c>
      <c r="Y290">
        <v>1.42</v>
      </c>
      <c r="Z290" s="9">
        <v>1</v>
      </c>
      <c r="AB290">
        <v>0</v>
      </c>
      <c r="AC290">
        <v>0</v>
      </c>
      <c r="AD290">
        <v>4</v>
      </c>
      <c r="AE290">
        <v>1</v>
      </c>
      <c r="AF290">
        <v>0</v>
      </c>
      <c r="AG290">
        <v>1</v>
      </c>
      <c r="AH290">
        <v>1</v>
      </c>
      <c r="AI290" t="inlineStr">
        <is>
          <t>False</t>
        </is>
      </c>
      <c r="AJ290" s="2" t="str">
        <f>HYPERLINK("https://keepa.com/#!product/1-B07C4KBJ1X", "https://keepa.com/#!product/1-B07C4KBJ1X")</f>
      </c>
      <c r="AK290" s="2" t="str">
        <f>HYPERLINK("https://camelcamelcamel.com/search?sq=B07C4KBJ1X", "https://camelcamelcamel.com/search?sq=B07C4KBJ1X")</f>
      </c>
      <c r="AL290" t="inlineStr">
        <is>
          <t/>
        </is>
      </c>
      <c r="AM290" s="10">
        <v>45417.11111111111</v>
      </c>
      <c r="AN290" t="inlineStr">
        <is>
          <t>NATIONAL GEOGRAPHIC Da Vinci Model Kit - Catapult Kit for Kids, 3D Puzzle Building Toy for Boys and Girls, Wood Building Kit for Kids, A Great STEM Project, Engineering Model Kit (Amazon Exclusive)</t>
        </is>
      </c>
      <c r="AO290" t="inlineStr">
        <is>
          <t>1000</t>
        </is>
      </c>
      <c r="AP290" t="inlineStr">
        <is>
          <t>TAKE ALL</t>
        </is>
      </c>
    </row>
    <row r="291">
      <c r="A291" t="inlineStr">
        <is>
          <t>B07C7S9Q4F</t>
        </is>
      </c>
      <c r="B291" t="inlineStr">
        <is>
          <t>False</t>
        </is>
      </c>
      <c r="C291" t="inlineStr">
        <is>
          <t>B07C7S9Q4F</t>
        </is>
      </c>
      <c r="D291" t="inlineStr">
        <is>
          <t>Sports Research</t>
        </is>
      </c>
      <c r="E291" t="inlineStr">
        <is>
          <t>False</t>
        </is>
      </c>
      <c r="F291" t="inlineStr">
        <is>
          <t>Sports Research Collagen Peptides - Hydrolyzed Type 1 &amp; 3 Collagen Powder Protein Supplement for Healthy Skin, Nails, &amp; Joints - Easy Mixing Vital Nutrients &amp; Proteins, Collagen for Women &amp; Men</t>
        </is>
      </c>
      <c r="G291">
        <v>1</v>
      </c>
      <c r="H291" s="2" t="str">
        <f>HYPERLINK("https://www.amazon.com/dp/B07C7S9Q4F", "https://www.amazon.com/dp/B07C7S9Q4F")</f>
      </c>
      <c r="I291" s="3">
        <v>8078</v>
      </c>
      <c r="J291" s="4">
        <v>6.47</v>
      </c>
      <c r="K291" s="5">
        <v>0.1166</v>
      </c>
      <c r="L291" s="5">
        <v>0.1875</v>
      </c>
      <c r="M291" t="inlineStr">
        <is>
          <t>True</t>
        </is>
      </c>
      <c r="N291" t="inlineStr">
        <is>
          <t>Health &amp; Household</t>
        </is>
      </c>
      <c r="O291" s="6">
        <v>3109</v>
      </c>
      <c r="P291" s="6">
        <v>732</v>
      </c>
      <c r="Q291" s="6">
        <v>64</v>
      </c>
      <c r="R291" s="6">
        <v>290</v>
      </c>
      <c r="S291" s="7">
        <v>34.5</v>
      </c>
      <c r="T291" s="7">
        <v>55.47</v>
      </c>
      <c r="U291">
        <v>57.42</v>
      </c>
      <c r="V291" s="8">
        <v>0</v>
      </c>
      <c r="W291" s="7">
        <v>0</v>
      </c>
      <c r="X291" s="7">
        <v>0</v>
      </c>
      <c r="Y291">
        <v>2.31</v>
      </c>
      <c r="Z291" s="8">
        <v>0</v>
      </c>
      <c r="AB291">
        <v>0</v>
      </c>
      <c r="AC291">
        <v>0</v>
      </c>
      <c r="AD291">
        <v>8</v>
      </c>
      <c r="AE291">
        <v>3</v>
      </c>
      <c r="AF291">
        <v>5</v>
      </c>
      <c r="AG291">
        <v>1</v>
      </c>
      <c r="AH291">
        <v>1</v>
      </c>
      <c r="AI291" t="inlineStr">
        <is>
          <t>False</t>
        </is>
      </c>
      <c r="AJ291" s="2" t="str">
        <f>HYPERLINK("https://keepa.com/#!product/1-B07C7S9Q4F", "https://keepa.com/#!product/1-B07C7S9Q4F")</f>
      </c>
      <c r="AK291" s="2" t="str">
        <f>HYPERLINK("https://camelcamelcamel.com/search?sq=B07C7S9Q4F", "https://camelcamelcamel.com/search?sq=B07C7S9Q4F")</f>
      </c>
      <c r="AL291" t="inlineStr">
        <is>
          <t/>
        </is>
      </c>
      <c r="AM291" s="10">
        <v>45417.11111111111</v>
      </c>
      <c r="AN291" t="inlineStr">
        <is>
          <t>Sports Research Collagen Peptides - Hydrolyzed Type 1 &amp; 3 Collagen Powder Protein Supplement for Healthy Skin, Nails, &amp; Joints - Easy Mixing Vital Nutrients &amp; Proteins, Collagen for Women &amp; Men</t>
        </is>
      </c>
      <c r="AO291" t="inlineStr">
        <is>
          <t>2500</t>
        </is>
      </c>
      <c r="AP291" t="inlineStr">
        <is>
          <t>500</t>
        </is>
      </c>
    </row>
    <row r="292">
      <c r="A292" t="inlineStr">
        <is>
          <t>B07C89B9PX</t>
        </is>
      </c>
      <c r="B292" t="inlineStr">
        <is>
          <t>False</t>
        </is>
      </c>
      <c r="C292" t="inlineStr">
        <is>
          <t>B07C89B9PX</t>
        </is>
      </c>
      <c r="D292" t="inlineStr">
        <is>
          <t>Alka Seltzer PM</t>
        </is>
      </c>
      <c r="E292" t="inlineStr">
        <is>
          <t>False</t>
        </is>
      </c>
      <c r="F292" t="inlineStr">
        <is>
          <t>Alka Seltzer PM Heartburn Relief + Sleep Support, Mixed Berry Gummies, 46 Count (Pack of 2)</t>
        </is>
      </c>
      <c r="G292">
        <v>2</v>
      </c>
      <c r="H292" s="2" t="str">
        <f>HYPERLINK("https://www.amazon.com/dp/B07C89B9PX", "https://www.amazon.com/dp/B07C89B9PX")</f>
      </c>
      <c r="I292" s="3">
        <v>264</v>
      </c>
      <c r="J292" s="12">
        <v>-7.41</v>
      </c>
      <c r="K292" s="13">
        <v>-0.3599</v>
      </c>
      <c r="L292" s="13">
        <v>-0.38</v>
      </c>
      <c r="M292" t="inlineStr">
        <is>
          <t>True</t>
        </is>
      </c>
      <c r="N292" t="inlineStr">
        <is>
          <t>Health &amp; Household</t>
        </is>
      </c>
      <c r="O292" s="6">
        <v>57046</v>
      </c>
      <c r="P292" s="6">
        <v>45815</v>
      </c>
      <c r="Q292" s="6">
        <v>26059</v>
      </c>
      <c r="R292" s="6">
        <v>128</v>
      </c>
      <c r="S292" s="7">
        <v>9.75</v>
      </c>
      <c r="T292" s="7">
        <v>20.59</v>
      </c>
      <c r="U292">
        <v>17.59</v>
      </c>
      <c r="V292" s="8">
        <v>0</v>
      </c>
      <c r="W292" s="7">
        <v>0</v>
      </c>
      <c r="X292" s="7">
        <v>0</v>
      </c>
      <c r="Y292">
        <v>1.5</v>
      </c>
      <c r="Z292" s="8">
        <v>0</v>
      </c>
      <c r="AB292">
        <v>0</v>
      </c>
      <c r="AC292">
        <v>0</v>
      </c>
      <c r="AD292">
        <v>14</v>
      </c>
      <c r="AE292">
        <v>2</v>
      </c>
      <c r="AF292">
        <v>12</v>
      </c>
      <c r="AG292">
        <v>1</v>
      </c>
      <c r="AH292">
        <v>0</v>
      </c>
      <c r="AI292" t="inlineStr">
        <is>
          <t>False</t>
        </is>
      </c>
      <c r="AJ292" s="2" t="str">
        <f>HYPERLINK("https://keepa.com/#!product/1-B07C89B9PX", "https://keepa.com/#!product/1-B07C89B9PX")</f>
      </c>
      <c r="AK292" s="2" t="str">
        <f>HYPERLINK("https://camelcamelcamel.com/search?sq=B07C89B9PX", "https://camelcamelcamel.com/search?sq=B07C89B9PX")</f>
      </c>
      <c r="AL292" t="inlineStr">
        <is>
          <t/>
        </is>
      </c>
      <c r="AM292" s="10">
        <v>45417.11111111111</v>
      </c>
      <c r="AN292" t="inlineStr">
        <is>
          <t>Alka Seltzer PM Heartburn Relief + Sleep Support, Mixed Berry Gummies, 46 Count (Pack of 2)</t>
        </is>
      </c>
      <c r="AO292" t="inlineStr">
        <is>
          <t>200</t>
        </is>
      </c>
      <c r="AP292" t="inlineStr">
        <is>
          <t>TAKE ALL</t>
        </is>
      </c>
    </row>
    <row r="293">
      <c r="A293" t="inlineStr">
        <is>
          <t>B07CVXRYBK</t>
        </is>
      </c>
      <c r="B293" t="inlineStr">
        <is>
          <t>False</t>
        </is>
      </c>
      <c r="C293" t="inlineStr">
        <is>
          <t>B07CVXRYBK</t>
        </is>
      </c>
      <c r="D293" t="inlineStr">
        <is>
          <t>Clif Bar</t>
        </is>
      </c>
      <c r="E293" t="inlineStr">
        <is>
          <t>False</t>
        </is>
      </c>
      <c r="F293" t="inlineStr">
        <is>
          <t>CLIF BAR - Chocolate Chip - Made with Organic Oats - 10g Protein - Non-GMO - Plant Based - Energy Bars - 2.4 oz. (18 Pack)</t>
        </is>
      </c>
      <c r="G293">
        <v>1</v>
      </c>
      <c r="H293" s="2" t="str">
        <f>HYPERLINK("https://www.amazon.com/dp/B07CVXRYBK", "https://www.amazon.com/dp/B07CVXRYBK")</f>
      </c>
      <c r="I293" s="3">
        <v>30442</v>
      </c>
      <c r="J293" s="11">
        <v>2.71</v>
      </c>
      <c r="K293" s="5">
        <v>0.1233</v>
      </c>
      <c r="L293" s="5">
        <v>0.293</v>
      </c>
      <c r="M293" t="inlineStr">
        <is>
          <t>True</t>
        </is>
      </c>
      <c r="N293" t="inlineStr">
        <is>
          <t>Health &amp; Household</t>
        </is>
      </c>
      <c r="O293" s="6">
        <v>448</v>
      </c>
      <c r="P293" s="6">
        <v>539</v>
      </c>
      <c r="Q293" s="6">
        <v>302</v>
      </c>
      <c r="R293" s="6">
        <v>287</v>
      </c>
      <c r="S293" s="7">
        <v>9.25</v>
      </c>
      <c r="T293" s="7">
        <v>21.98</v>
      </c>
      <c r="U293">
        <v>21.2</v>
      </c>
      <c r="V293" s="8">
        <v>0</v>
      </c>
      <c r="W293" s="7">
        <v>0</v>
      </c>
      <c r="X293" s="7">
        <v>0</v>
      </c>
      <c r="Y293">
        <v>2.76</v>
      </c>
      <c r="Z293" s="9">
        <v>1</v>
      </c>
      <c r="AB293">
        <v>0</v>
      </c>
      <c r="AC293">
        <v>0</v>
      </c>
      <c r="AD293">
        <v>13</v>
      </c>
      <c r="AE293">
        <v>6</v>
      </c>
      <c r="AF293">
        <v>7</v>
      </c>
      <c r="AG293">
        <v>6</v>
      </c>
      <c r="AH293">
        <v>8</v>
      </c>
      <c r="AI293" t="inlineStr">
        <is>
          <t>False</t>
        </is>
      </c>
      <c r="AJ293" s="2" t="str">
        <f>HYPERLINK("https://keepa.com/#!product/1-B07CVXRYBK", "https://keepa.com/#!product/1-B07CVXRYBK")</f>
      </c>
      <c r="AK293" s="2" t="str">
        <f>HYPERLINK("https://camelcamelcamel.com/search?sq=B07CVXRYBK", "https://camelcamelcamel.com/search?sq=B07CVXRYBK")</f>
      </c>
      <c r="AL293" t="inlineStr">
        <is>
          <t/>
        </is>
      </c>
      <c r="AM293" s="10">
        <v>45417.11111111111</v>
      </c>
      <c r="AN293" t="inlineStr">
        <is>
          <t>CLIF BAR - Chocolate Chip - Made with Organic Oats - 10g Protein - Non-GMO - Plant Based - Energy Bars - 2.4 oz. (18 Pack)</t>
        </is>
      </c>
      <c r="AO293" t="inlineStr">
        <is>
          <t>600</t>
        </is>
      </c>
      <c r="AP293" t="inlineStr">
        <is>
          <t>230</t>
        </is>
      </c>
    </row>
    <row r="294">
      <c r="A294" t="inlineStr">
        <is>
          <t>B07CZDXDG8</t>
        </is>
      </c>
      <c r="B294" t="inlineStr">
        <is>
          <t>False</t>
        </is>
      </c>
      <c r="C294" t="inlineStr">
        <is>
          <t>B07CZDXDG8</t>
        </is>
      </c>
      <c r="D294" t="inlineStr">
        <is>
          <t>INIU</t>
        </is>
      </c>
      <c r="E294" t="inlineStr">
        <is>
          <t>False</t>
        </is>
      </c>
      <c r="F294" t="inlineStr">
        <is>
          <t>INIU Portable Charger, Slimmest 10000mAh 5V/3A Power Bank, USB C in&amp;Out High-Speed Charging Battery Pack, External Phone Powerbank Compatible with iPhone 15 14 13 12 X Samsung S22 S21 Google iPad etc</t>
        </is>
      </c>
      <c r="G294">
        <v>1</v>
      </c>
      <c r="H294" s="2" t="str">
        <f>HYPERLINK("https://www.amazon.com/dp/B07CZDXDG8", "https://www.amazon.com/dp/B07CZDXDG8")</f>
      </c>
      <c r="I294" s="3">
        <v>60781</v>
      </c>
      <c r="J294" s="11">
        <v>1.02</v>
      </c>
      <c r="K294" s="5">
        <v>0.0567</v>
      </c>
      <c r="L294" s="5">
        <v>0.102</v>
      </c>
      <c r="M294" t="inlineStr">
        <is>
          <t>True</t>
        </is>
      </c>
      <c r="N294" t="inlineStr">
        <is>
          <t>Cell Phones &amp; Accessories</t>
        </is>
      </c>
      <c r="O294" s="6">
        <v>5</v>
      </c>
      <c r="P294" s="6">
        <v>6</v>
      </c>
      <c r="Q294" s="6">
        <v>3</v>
      </c>
      <c r="R294" s="6">
        <v>109</v>
      </c>
      <c r="S294" s="7">
        <v>10</v>
      </c>
      <c r="T294" s="7">
        <v>17.99</v>
      </c>
      <c r="U294">
        <v>18.78</v>
      </c>
      <c r="V294" s="8">
        <v>0</v>
      </c>
      <c r="W294" s="7">
        <v>0</v>
      </c>
      <c r="X294" s="7">
        <v>0</v>
      </c>
      <c r="Y294">
        <v>0.53</v>
      </c>
      <c r="Z294" s="9">
        <v>1</v>
      </c>
      <c r="AB294">
        <v>0</v>
      </c>
      <c r="AC294">
        <v>0</v>
      </c>
      <c r="AD294">
        <v>182</v>
      </c>
      <c r="AE294">
        <v>7</v>
      </c>
      <c r="AF294">
        <v>1</v>
      </c>
      <c r="AG294">
        <v>1</v>
      </c>
      <c r="AH294">
        <v>5</v>
      </c>
      <c r="AI294" t="inlineStr">
        <is>
          <t>True</t>
        </is>
      </c>
      <c r="AJ294" s="2" t="str">
        <f>HYPERLINK("https://keepa.com/#!product/1-B07CZDXDG8", "https://keepa.com/#!product/1-B07CZDXDG8")</f>
      </c>
      <c r="AK294" s="2" t="str">
        <f>HYPERLINK("https://camelcamelcamel.com/search?sq=B07CZDXDG8", "https://camelcamelcamel.com/search?sq=B07CZDXDG8")</f>
      </c>
      <c r="AL294" t="inlineStr">
        <is>
          <t/>
        </is>
      </c>
      <c r="AM294" s="10">
        <v>45417.11111111111</v>
      </c>
      <c r="AN294" t="inlineStr">
        <is>
          <t>INIU Portable Charger, Slimmest 10000mAh 5V/3A Power Bank, USB C in&amp;out High-Speed Charging Battery Pack, External Phone Powerbank Compatible with iPhone 15 14 13 12 11 Samsung S22 S21 Google iPad etc</t>
        </is>
      </c>
      <c r="AO294" t="inlineStr">
        <is>
          <t>3000</t>
        </is>
      </c>
      <c r="AP294" t="inlineStr">
        <is>
          <t>TAKE ALL</t>
        </is>
      </c>
    </row>
    <row r="295">
      <c r="A295" t="inlineStr">
        <is>
          <t>B07D2LJM3S</t>
        </is>
      </c>
      <c r="B295" t="inlineStr">
        <is>
          <t>False</t>
        </is>
      </c>
      <c r="C295" t="inlineStr">
        <is>
          <t>B07D2LJM3S</t>
        </is>
      </c>
      <c r="D295" t="inlineStr">
        <is>
          <t>Brentwood</t>
        </is>
      </c>
      <c r="E295" t="inlineStr">
        <is>
          <t>False</t>
        </is>
      </c>
      <c r="F295" t="inlineStr">
        <is>
          <t>Brentwood Select Slow Cooker, 7 Quart, Copper</t>
        </is>
      </c>
      <c r="G295">
        <v>1</v>
      </c>
      <c r="H295" s="2" t="str">
        <f>HYPERLINK("https://www.amazon.com/dp/B07D2LJM3S", "https://www.amazon.com/dp/B07D2LJM3S")</f>
      </c>
      <c r="I295" s="16">
        <v>47</v>
      </c>
      <c r="J295" s="11">
        <v>2.43</v>
      </c>
      <c r="K295" s="5">
        <v>0.045</v>
      </c>
      <c r="L295" s="5">
        <v>0.08310000000000001</v>
      </c>
      <c r="M295" t="inlineStr">
        <is>
          <t>True</t>
        </is>
      </c>
      <c r="N295" t="inlineStr">
        <is>
          <t>Kitchen &amp; Dining</t>
        </is>
      </c>
      <c r="O295" s="6">
        <v>111036</v>
      </c>
      <c r="P295" s="6">
        <v>75047</v>
      </c>
      <c r="Q295" s="6">
        <v>36419</v>
      </c>
      <c r="R295" s="6">
        <v>132</v>
      </c>
      <c r="S295" s="7">
        <v>29.25</v>
      </c>
      <c r="T295" s="7">
        <v>54.05</v>
      </c>
      <c r="U295">
        <v>53.47</v>
      </c>
      <c r="V295" s="8">
        <v>0</v>
      </c>
      <c r="W295" s="7">
        <v>0</v>
      </c>
      <c r="X295" s="7">
        <v>0</v>
      </c>
      <c r="Y295">
        <v>13</v>
      </c>
      <c r="Z295" s="8">
        <v>0</v>
      </c>
      <c r="AB295">
        <v>0</v>
      </c>
      <c r="AC295">
        <v>0</v>
      </c>
      <c r="AD295">
        <v>11</v>
      </c>
      <c r="AE295">
        <v>7</v>
      </c>
      <c r="AF295">
        <v>4</v>
      </c>
      <c r="AG295">
        <v>5</v>
      </c>
      <c r="AH295">
        <v>2</v>
      </c>
      <c r="AI295" t="inlineStr">
        <is>
          <t>False</t>
        </is>
      </c>
      <c r="AJ295" s="2" t="str">
        <f>HYPERLINK("https://keepa.com/#!product/1-B07D2LJM3S", "https://keepa.com/#!product/1-B07D2LJM3S")</f>
      </c>
      <c r="AK295" s="2" t="str">
        <f>HYPERLINK("https://camelcamelcamel.com/search?sq=B07D2LJM3S", "https://camelcamelcamel.com/search?sq=B07D2LJM3S")</f>
      </c>
      <c r="AL295" t="inlineStr">
        <is>
          <t/>
        </is>
      </c>
      <c r="AM295" s="10">
        <v>45417.11111111111</v>
      </c>
      <c r="AN295" t="inlineStr">
        <is>
          <t>Brentwood Select Slow Cooker, 7 Quart, Copper</t>
        </is>
      </c>
      <c r="AO295" t="inlineStr">
        <is>
          <t>480</t>
        </is>
      </c>
      <c r="AP295" t="inlineStr">
        <is>
          <t>200</t>
        </is>
      </c>
    </row>
    <row r="296">
      <c r="A296" t="inlineStr">
        <is>
          <t>B07D6FSQYD</t>
        </is>
      </c>
      <c r="B296" t="inlineStr">
        <is>
          <t>False</t>
        </is>
      </c>
      <c r="C296" t="inlineStr">
        <is>
          <t>B07D6FSQYD</t>
        </is>
      </c>
      <c r="D296" t="inlineStr">
        <is>
          <t>Glade</t>
        </is>
      </c>
      <c r="E296" t="inlineStr">
        <is>
          <t>False</t>
        </is>
      </c>
      <c r="F296" t="inlineStr">
        <is>
          <t>Glade Carpet and Room Powder, Lavender and Peach Blossom, 32-Ounce, 2-Pack</t>
        </is>
      </c>
      <c r="G296">
        <v>1</v>
      </c>
      <c r="H296" s="2" t="str">
        <f>HYPERLINK("https://www.amazon.com/dp/B07D6FSQYD", "https://www.amazon.com/dp/B07D6FSQYD")</f>
      </c>
      <c r="I296" s="3">
        <v>2299</v>
      </c>
      <c r="J296" s="11">
        <v>0.03</v>
      </c>
      <c r="K296" s="5">
        <v>0.0016</v>
      </c>
      <c r="L296" s="5">
        <v>0.0036</v>
      </c>
      <c r="M296" t="inlineStr">
        <is>
          <t>True</t>
        </is>
      </c>
      <c r="N296" t="inlineStr">
        <is>
          <t>Health &amp; Household</t>
        </is>
      </c>
      <c r="O296" s="6">
        <v>11267</v>
      </c>
      <c r="P296" s="6">
        <v>11848</v>
      </c>
      <c r="Q296" s="6">
        <v>6097</v>
      </c>
      <c r="R296" s="6">
        <v>170</v>
      </c>
      <c r="S296" s="7">
        <v>8.25</v>
      </c>
      <c r="T296" s="7">
        <v>18.55</v>
      </c>
      <c r="U296">
        <v>18.86</v>
      </c>
      <c r="V296" s="8">
        <v>0</v>
      </c>
      <c r="W296" s="7">
        <v>0</v>
      </c>
      <c r="X296" s="7">
        <v>0</v>
      </c>
      <c r="Y296">
        <v>4.3</v>
      </c>
      <c r="Z296" s="8">
        <v>0</v>
      </c>
      <c r="AB296">
        <v>0</v>
      </c>
      <c r="AC296">
        <v>0</v>
      </c>
      <c r="AD296">
        <v>23</v>
      </c>
      <c r="AE296">
        <v>15</v>
      </c>
      <c r="AF296">
        <v>8</v>
      </c>
      <c r="AG296">
        <v>3</v>
      </c>
      <c r="AH296">
        <v>1</v>
      </c>
      <c r="AI296" t="inlineStr">
        <is>
          <t>False</t>
        </is>
      </c>
      <c r="AJ296" s="2" t="str">
        <f>HYPERLINK("https://keepa.com/#!product/1-B07D6FSQYD", "https://keepa.com/#!product/1-B07D6FSQYD")</f>
      </c>
      <c r="AK296" s="2" t="str">
        <f>HYPERLINK("https://camelcamelcamel.com/search?sq=B07D6FSQYD", "https://camelcamelcamel.com/search?sq=B07D6FSQYD")</f>
      </c>
      <c r="AL296" t="inlineStr">
        <is>
          <t/>
        </is>
      </c>
      <c r="AM296" s="10">
        <v>45417.11111111111</v>
      </c>
      <c r="AN296" t="inlineStr">
        <is>
          <t>Glade Carpet and Room Powder, Lavender and Peach Blossom, 32-Ounce, 2-Pack</t>
        </is>
      </c>
      <c r="AO296" t="inlineStr">
        <is>
          <t>1000</t>
        </is>
      </c>
      <c r="AP296" t="inlineStr">
        <is>
          <t>350</t>
        </is>
      </c>
    </row>
    <row r="297">
      <c r="A297" t="inlineStr">
        <is>
          <t>B07DDN9WPC</t>
        </is>
      </c>
      <c r="B297" t="inlineStr">
        <is>
          <t>False</t>
        </is>
      </c>
      <c r="C297" t="inlineStr">
        <is>
          <t>B07DDN9WPC</t>
        </is>
      </c>
      <c r="D297" t="inlineStr">
        <is>
          <t>REDCON1</t>
        </is>
      </c>
      <c r="E297" t="inlineStr">
        <is>
          <t>False</t>
        </is>
      </c>
      <c r="F297" t="inlineStr">
        <is>
          <t>MRE Bar - Meal Replacement Bar (1 Box/12 Bars) Crunchy Chocolate Peanut Butter</t>
        </is>
      </c>
      <c r="G297">
        <v>1</v>
      </c>
      <c r="H297" s="2" t="str">
        <f>HYPERLINK("https://www.amazon.com/dp/B07DDN9WPC", "https://www.amazon.com/dp/B07DDN9WPC")</f>
      </c>
      <c r="I297" s="3">
        <v>70</v>
      </c>
      <c r="J297" s="4">
        <v>8.4</v>
      </c>
      <c r="K297" s="5">
        <v>0.23399999999999999</v>
      </c>
      <c r="L297" s="15">
        <v>0.5169</v>
      </c>
      <c r="M297" t="inlineStr">
        <is>
          <t>True</t>
        </is>
      </c>
      <c r="N297" t="inlineStr">
        <is>
          <t>Health &amp; Household</t>
        </is>
      </c>
      <c r="O297" s="6">
        <v>124530</v>
      </c>
      <c r="P297" s="6">
        <v>120463</v>
      </c>
      <c r="Q297" s="6">
        <v>63296</v>
      </c>
      <c r="R297" s="6">
        <v>104</v>
      </c>
      <c r="S297" s="7">
        <v>16.25</v>
      </c>
      <c r="T297" s="7">
        <v>35.9</v>
      </c>
      <c r="U297">
        <v>34.43</v>
      </c>
      <c r="V297" s="8">
        <v>0</v>
      </c>
      <c r="W297" s="7">
        <v>0</v>
      </c>
      <c r="X297" s="7">
        <v>0</v>
      </c>
      <c r="Y297">
        <v>1.96</v>
      </c>
      <c r="Z297" s="8">
        <v>0</v>
      </c>
      <c r="AB297">
        <v>0</v>
      </c>
      <c r="AC297">
        <v>0</v>
      </c>
      <c r="AD297">
        <v>7</v>
      </c>
      <c r="AE297">
        <v>2</v>
      </c>
      <c r="AF297">
        <v>5</v>
      </c>
      <c r="AG297">
        <v>2</v>
      </c>
      <c r="AH297">
        <v>0</v>
      </c>
      <c r="AI297" t="inlineStr">
        <is>
          <t>False</t>
        </is>
      </c>
      <c r="AJ297" s="2" t="str">
        <f>HYPERLINK("https://keepa.com/#!product/1-B07DDN9WPC", "https://keepa.com/#!product/1-B07DDN9WPC")</f>
      </c>
      <c r="AK297" s="2" t="str">
        <f>HYPERLINK("https://camelcamelcamel.com/search?sq=B07DDN9WPC", "https://camelcamelcamel.com/search?sq=B07DDN9WPC")</f>
      </c>
      <c r="AL297" t="inlineStr">
        <is>
          <t/>
        </is>
      </c>
      <c r="AM297" s="10">
        <v>45417.11111111111</v>
      </c>
      <c r="AN297" t="inlineStr">
        <is>
          <t>MRE Bar - Meal Replacement Bar (1 Box/12 Bars) Crunchy Chocolate Peanut Butter</t>
        </is>
      </c>
      <c r="AO297" t="inlineStr">
        <is>
          <t>500</t>
        </is>
      </c>
      <c r="AP297" t="inlineStr">
        <is>
          <t>TAKE ALL</t>
        </is>
      </c>
    </row>
    <row r="298">
      <c r="A298" t="inlineStr">
        <is>
          <t>B07DHX9QKW</t>
        </is>
      </c>
      <c r="B298" t="inlineStr">
        <is>
          <t>False</t>
        </is>
      </c>
      <c r="C298" t="inlineStr">
        <is>
          <t>B07DHX9QKW</t>
        </is>
      </c>
      <c r="D298" t="inlineStr">
        <is>
          <t>Vita Coco</t>
        </is>
      </c>
      <c r="E298" t="inlineStr">
        <is>
          <t>False</t>
        </is>
      </c>
      <c r="F298" t="inlineStr">
        <is>
          <t>Vita Coco Coconut Water, Pure Organic | Refreshing Coconut Taste | Natural Electrolytes | Vital Nutrients | 16.9 Oz (Pack Of 12)</t>
        </is>
      </c>
      <c r="G298">
        <v>1</v>
      </c>
      <c r="H298" s="2" t="str">
        <f>HYPERLINK("https://www.amazon.com/dp/B07DHX9QKW", "https://www.amazon.com/dp/B07DHX9QKW")</f>
      </c>
      <c r="I298" s="3">
        <v>4354</v>
      </c>
      <c r="J298" s="11">
        <v>3.13</v>
      </c>
      <c r="K298" s="5">
        <v>0.1188</v>
      </c>
      <c r="L298" s="5">
        <v>0.2981</v>
      </c>
      <c r="M298" t="inlineStr">
        <is>
          <t>True</t>
        </is>
      </c>
      <c r="N298" t="inlineStr">
        <is>
          <t>Grocery &amp; Gourmet Food</t>
        </is>
      </c>
      <c r="O298" s="6">
        <v>1351</v>
      </c>
      <c r="P298" s="6">
        <v>994</v>
      </c>
      <c r="Q298" s="6">
        <v>717</v>
      </c>
      <c r="R298" s="6">
        <v>275</v>
      </c>
      <c r="S298" s="7">
        <v>10.5</v>
      </c>
      <c r="T298" s="7">
        <v>26.34</v>
      </c>
      <c r="U298">
        <v>26.72</v>
      </c>
      <c r="V298" s="8">
        <v>0</v>
      </c>
      <c r="W298" s="7">
        <v>0</v>
      </c>
      <c r="X298" s="7">
        <v>0</v>
      </c>
      <c r="Y298">
        <v>10.12</v>
      </c>
      <c r="Z298" s="9">
        <v>1</v>
      </c>
      <c r="AB298">
        <v>0</v>
      </c>
      <c r="AC298">
        <v>0</v>
      </c>
      <c r="AD298">
        <v>18</v>
      </c>
      <c r="AE298">
        <v>4</v>
      </c>
      <c r="AF298">
        <v>14</v>
      </c>
      <c r="AG298">
        <v>4</v>
      </c>
      <c r="AH298">
        <v>8</v>
      </c>
      <c r="AI298" t="inlineStr">
        <is>
          <t>False</t>
        </is>
      </c>
      <c r="AJ298" s="2" t="str">
        <f>HYPERLINK("https://keepa.com/#!product/1-B07DHX9QKW", "https://keepa.com/#!product/1-B07DHX9QKW")</f>
      </c>
      <c r="AK298" s="2" t="str">
        <f>HYPERLINK("https://camelcamelcamel.com/search?sq=B07DHX9QKW", "https://camelcamelcamel.com/search?sq=B07DHX9QKW")</f>
      </c>
      <c r="AL298" t="inlineStr">
        <is>
          <t/>
        </is>
      </c>
      <c r="AM298" s="10">
        <v>45417.11111111111</v>
      </c>
      <c r="AN298" t="inlineStr">
        <is>
          <t>Vita Coco Coconut Water, Pure Organic | Refreshing Coconut Taste | Natural Electrolytes | Sustainably Farmed | 16.9 Oz (Pack Of 12)</t>
        </is>
      </c>
      <c r="AO298" t="inlineStr">
        <is>
          <t>1200</t>
        </is>
      </c>
      <c r="AP298" t="inlineStr">
        <is>
          <t>600</t>
        </is>
      </c>
    </row>
    <row r="299">
      <c r="A299" t="inlineStr">
        <is>
          <t>B07DKVR5Q1</t>
        </is>
      </c>
      <c r="B299" t="inlineStr">
        <is>
          <t>False</t>
        </is>
      </c>
      <c r="C299" t="inlineStr">
        <is>
          <t>B07DKVR5Q1</t>
        </is>
      </c>
      <c r="D299" t="inlineStr">
        <is>
          <t>Gibson Soho Lounge</t>
        </is>
      </c>
      <c r="E299" t="inlineStr">
        <is>
          <t>False</t>
        </is>
      </c>
      <c r="F299" t="inlineStr">
        <is>
          <t>Gibson 99813.16R Elite Soho Lounge 16 Piece Reactive Glaze Dinnerware Set, Teal/Black Tutone</t>
        </is>
      </c>
      <c r="G299">
        <v>1</v>
      </c>
      <c r="H299" s="2" t="str">
        <f>HYPERLINK("https://www.amazon.com/dp/B07DKVR5Q1", "https://www.amazon.com/dp/B07DKVR5Q1")</f>
      </c>
      <c r="I299" s="14">
        <v>5</v>
      </c>
      <c r="J299" s="12">
        <v>-4.07</v>
      </c>
      <c r="K299" s="13">
        <v>-0.0814</v>
      </c>
      <c r="L299" s="13">
        <v>-0.14800000000000002</v>
      </c>
      <c r="M299" t="inlineStr">
        <is>
          <t>True</t>
        </is>
      </c>
      <c r="N299" t="inlineStr">
        <is>
          <t>Kitchen</t>
        </is>
      </c>
      <c r="P299" s="6">
        <v>0</v>
      </c>
      <c r="Q299" s="6">
        <v>0</v>
      </c>
      <c r="R299" s="6">
        <v>0</v>
      </c>
      <c r="S299" s="7">
        <v>27.5</v>
      </c>
      <c r="T299" s="7">
        <v>49.99</v>
      </c>
      <c r="U299">
        <v>55.71</v>
      </c>
      <c r="V299" s="8">
        <v>0</v>
      </c>
      <c r="W299" s="7">
        <v>0</v>
      </c>
      <c r="X299" s="7">
        <v>0</v>
      </c>
      <c r="Y299">
        <v>26.3</v>
      </c>
      <c r="Z299" s="9">
        <v>1</v>
      </c>
      <c r="AB299">
        <v>0</v>
      </c>
      <c r="AC299">
        <v>0</v>
      </c>
      <c r="AD299">
        <v>9</v>
      </c>
      <c r="AE299">
        <v>3</v>
      </c>
      <c r="AF299">
        <v>1</v>
      </c>
      <c r="AG299">
        <v>1</v>
      </c>
      <c r="AH299">
        <v>12</v>
      </c>
      <c r="AI299" t="inlineStr">
        <is>
          <t>False</t>
        </is>
      </c>
      <c r="AJ299" s="2" t="str">
        <f>HYPERLINK("https://keepa.com/#!product/1-B07DKVR5Q1", "https://keepa.com/#!product/1-B07DKVR5Q1")</f>
      </c>
      <c r="AK299" s="2" t="str">
        <f>HYPERLINK("https://camelcamelcamel.com/search?sq=B07DKVR5Q1", "https://camelcamelcamel.com/search?sq=B07DKVR5Q1")</f>
      </c>
      <c r="AL299" t="inlineStr">
        <is>
          <t/>
        </is>
      </c>
      <c r="AM299" s="10">
        <v>45417.11111111111</v>
      </c>
      <c r="AN299" t="inlineStr">
        <is>
          <t>Gibson 99813.16R Elite Soho Lounge 16 Piece Reactive Glaze Dinnerware Set, Teal/Black Tutone</t>
        </is>
      </c>
      <c r="AO299" t="inlineStr">
        <is>
          <t>300</t>
        </is>
      </c>
      <c r="AP299" t="inlineStr">
        <is>
          <t>100</t>
        </is>
      </c>
    </row>
    <row r="300">
      <c r="A300" t="inlineStr">
        <is>
          <t>B07DQSC9B5</t>
        </is>
      </c>
      <c r="B300" t="inlineStr">
        <is>
          <t>False</t>
        </is>
      </c>
      <c r="C300" t="inlineStr">
        <is>
          <t>B07DQSC9B5</t>
        </is>
      </c>
      <c r="D300" t="inlineStr">
        <is>
          <t>Waterpik</t>
        </is>
      </c>
      <c r="E300" t="inlineStr">
        <is>
          <t>False</t>
        </is>
      </c>
      <c r="F300" t="inlineStr">
        <is>
          <t>Waterpik Cordless Water Flosser, Battery Operated &amp; Portable for Travel &amp; Home, ADA Accepted Cordless Express, White WF-02(Packaging may vary)</t>
        </is>
      </c>
      <c r="G300">
        <v>1</v>
      </c>
      <c r="H300" s="2" t="str">
        <f>HYPERLINK("https://www.amazon.com/dp/B07DQSC9B5", "https://www.amazon.com/dp/B07DQSC9B5")</f>
      </c>
      <c r="I300" s="3">
        <v>11454</v>
      </c>
      <c r="J300" s="12">
        <v>-0.86</v>
      </c>
      <c r="K300" s="13">
        <v>-0.0258</v>
      </c>
      <c r="L300" s="13">
        <v>-0.0337</v>
      </c>
      <c r="M300" t="inlineStr">
        <is>
          <t>True</t>
        </is>
      </c>
      <c r="N300" t="inlineStr">
        <is>
          <t>Health &amp; Household</t>
        </is>
      </c>
      <c r="O300" s="6">
        <v>2013</v>
      </c>
      <c r="P300" s="6">
        <v>1527</v>
      </c>
      <c r="Q300" s="6">
        <v>538</v>
      </c>
      <c r="R300" s="6">
        <v>264</v>
      </c>
      <c r="S300" s="7">
        <v>25.5</v>
      </c>
      <c r="T300" s="7">
        <v>33.29</v>
      </c>
      <c r="U300">
        <v>35.99</v>
      </c>
      <c r="V300" s="8">
        <v>0</v>
      </c>
      <c r="W300" s="7">
        <v>0</v>
      </c>
      <c r="X300" s="7">
        <v>0</v>
      </c>
      <c r="Y300">
        <v>0.95</v>
      </c>
      <c r="Z300" s="9">
        <v>1</v>
      </c>
      <c r="AB300">
        <v>0</v>
      </c>
      <c r="AC300">
        <v>0</v>
      </c>
      <c r="AD300">
        <v>10</v>
      </c>
      <c r="AE300">
        <v>5</v>
      </c>
      <c r="AF300">
        <v>4</v>
      </c>
      <c r="AG300">
        <v>2</v>
      </c>
      <c r="AH300">
        <v>2</v>
      </c>
      <c r="AI300" t="inlineStr">
        <is>
          <t>False</t>
        </is>
      </c>
      <c r="AJ300" s="2" t="str">
        <f>HYPERLINK("https://keepa.com/#!product/1-B07DQSC9B5", "https://keepa.com/#!product/1-B07DQSC9B5")</f>
      </c>
      <c r="AK300" s="2" t="str">
        <f>HYPERLINK("https://camelcamelcamel.com/search?sq=B07DQSC9B5", "https://camelcamelcamel.com/search?sq=B07DQSC9B5")</f>
      </c>
      <c r="AL300" t="inlineStr">
        <is>
          <t/>
        </is>
      </c>
      <c r="AM300" s="10">
        <v>45417.11111111111</v>
      </c>
      <c r="AN300" t="inlineStr">
        <is>
          <t>Waterpik Cordless Water Flosser, Battery Operated &amp; Portable for Travel &amp; Home, ADA Accepted Cordless Express, White WF-02</t>
        </is>
      </c>
      <c r="AO300" t="inlineStr">
        <is>
          <t>2300</t>
        </is>
      </c>
      <c r="AP300" t="inlineStr">
        <is>
          <t>500</t>
        </is>
      </c>
    </row>
    <row r="301">
      <c r="A301" t="inlineStr">
        <is>
          <t>B07F4JJH1Z</t>
        </is>
      </c>
      <c r="B301" t="inlineStr">
        <is>
          <t>False</t>
        </is>
      </c>
      <c r="C301" t="inlineStr">
        <is>
          <t>B07F4JJH1Z</t>
        </is>
      </c>
      <c r="D301" t="inlineStr">
        <is>
          <t>Braun</t>
        </is>
      </c>
      <c r="E301" t="inlineStr">
        <is>
          <t>True</t>
        </is>
      </c>
      <c r="F301" t="inlineStr">
        <is>
          <t>Braun ThermoScan 7 – Digital Ear Thermometer for Kids, Babies, Toddlers and Adults – Fast, Gentle, and Accurate Results in 2 Seconds - Black, IRT6520</t>
        </is>
      </c>
      <c r="G301">
        <v>1</v>
      </c>
      <c r="H301" s="2" t="str">
        <f>HYPERLINK("https://www.amazon.com/dp/B07F4JJH1Z", "https://www.amazon.com/dp/B07F4JJH1Z")</f>
      </c>
      <c r="I301" s="3">
        <v>5495</v>
      </c>
      <c r="J301" s="11">
        <v>3.65</v>
      </c>
      <c r="K301" s="5">
        <v>0.0654</v>
      </c>
      <c r="L301" s="5">
        <v>0.0924</v>
      </c>
      <c r="M301" t="inlineStr">
        <is>
          <t>True</t>
        </is>
      </c>
      <c r="N301" t="inlineStr">
        <is>
          <t>Health &amp; Household</t>
        </is>
      </c>
      <c r="O301" s="6">
        <v>4809</v>
      </c>
      <c r="P301" s="6">
        <v>3294</v>
      </c>
      <c r="Q301" s="6">
        <v>1914</v>
      </c>
      <c r="R301" s="6">
        <v>280</v>
      </c>
      <c r="S301" s="7">
        <v>39.5</v>
      </c>
      <c r="T301" s="7">
        <v>55.83</v>
      </c>
      <c r="U301">
        <v>57.85</v>
      </c>
      <c r="V301" s="8">
        <v>0</v>
      </c>
      <c r="W301" s="7">
        <v>0</v>
      </c>
      <c r="X301" s="7">
        <v>0</v>
      </c>
      <c r="Y301">
        <v>0.68</v>
      </c>
      <c r="Z301" s="9">
        <v>1</v>
      </c>
      <c r="AB301">
        <v>0</v>
      </c>
      <c r="AC301">
        <v>0</v>
      </c>
      <c r="AD301">
        <v>15</v>
      </c>
      <c r="AE301">
        <v>5</v>
      </c>
      <c r="AF301">
        <v>10</v>
      </c>
      <c r="AG301">
        <v>4</v>
      </c>
      <c r="AH301">
        <v>1</v>
      </c>
      <c r="AI301" t="inlineStr">
        <is>
          <t>True</t>
        </is>
      </c>
      <c r="AJ301" s="2" t="str">
        <f>HYPERLINK("https://keepa.com/#!product/1-B07F4JJH1Z", "https://keepa.com/#!product/1-B07F4JJH1Z")</f>
      </c>
      <c r="AK301" s="2" t="str">
        <f>HYPERLINK("https://camelcamelcamel.com/search?sq=B07F4JJH1Z", "https://camelcamelcamel.com/search?sq=B07F4JJH1Z")</f>
      </c>
      <c r="AL301" t="inlineStr">
        <is>
          <t/>
        </is>
      </c>
      <c r="AM301" s="10">
        <v>45417.11111111111</v>
      </c>
      <c r="AN301" t="inlineStr">
        <is>
          <t>Braun ThermoScan 7 â€“ Digital Ear Thermometer for Kids, Babies, Toddlers and Adults â€“ Fast, Gentle, and Accurate Results in 2 Seconds - Black, IRT6520</t>
        </is>
      </c>
      <c r="AO301" t="inlineStr">
        <is>
          <t>720</t>
        </is>
      </c>
      <c r="AP301" t="inlineStr">
        <is>
          <t>TAKE ALL</t>
        </is>
      </c>
    </row>
    <row r="302">
      <c r="A302" t="inlineStr">
        <is>
          <t>B07FFV7T4H</t>
        </is>
      </c>
      <c r="B302" t="inlineStr">
        <is>
          <t>False</t>
        </is>
      </c>
      <c r="C302" t="inlineStr">
        <is>
          <t>B07FFV7T4H</t>
        </is>
      </c>
      <c r="D302" t="inlineStr">
        <is>
          <t>Macally</t>
        </is>
      </c>
      <c r="E302" t="inlineStr">
        <is>
          <t>False</t>
        </is>
      </c>
      <c r="F302" t="inlineStr">
        <is>
          <t>Macally Ultra-Slim USB Wired Keyboard with Number Keypad for Apple Mac Pro, MacBook Pro/Air, iMac, Mac Mini, Laptop Computers, Windows Desktop PC Laptops, Silver (SLIMKEYPROA)</t>
        </is>
      </c>
      <c r="G302">
        <v>1</v>
      </c>
      <c r="H302" s="2" t="str">
        <f>HYPERLINK("https://www.amazon.com/dp/B07FFV7T4H", "https://www.amazon.com/dp/B07FFV7T4H")</f>
      </c>
      <c r="I302" s="14">
        <v>5</v>
      </c>
      <c r="J302" s="11">
        <v>3.15</v>
      </c>
      <c r="K302" s="5">
        <v>0.0788</v>
      </c>
      <c r="L302" s="5">
        <v>0.126</v>
      </c>
      <c r="M302" t="inlineStr">
        <is>
          <t>False</t>
        </is>
      </c>
      <c r="N302" t="inlineStr">
        <is>
          <t>Computer Keyboards</t>
        </is>
      </c>
      <c r="O302" s="6">
        <v>91</v>
      </c>
      <c r="P302" s="6">
        <v>0</v>
      </c>
      <c r="Q302" s="6">
        <v>0</v>
      </c>
      <c r="R302" s="6">
        <v>0</v>
      </c>
      <c r="S302" s="7">
        <v>25</v>
      </c>
      <c r="T302" s="7">
        <v>39.99</v>
      </c>
      <c r="U302">
        <v>39.76</v>
      </c>
      <c r="V302" s="8">
        <v>0</v>
      </c>
      <c r="W302" s="7">
        <v>0</v>
      </c>
      <c r="X302" s="7">
        <v>0</v>
      </c>
      <c r="Y302">
        <v>1.79</v>
      </c>
      <c r="Z302" s="9">
        <v>0.1</v>
      </c>
      <c r="AB302">
        <v>0</v>
      </c>
      <c r="AC302">
        <v>0</v>
      </c>
      <c r="AD302">
        <v>4</v>
      </c>
      <c r="AE302">
        <v>1</v>
      </c>
      <c r="AF302">
        <v>0</v>
      </c>
      <c r="AG302">
        <v>1</v>
      </c>
      <c r="AH302">
        <v>2</v>
      </c>
      <c r="AI302" t="inlineStr">
        <is>
          <t>False</t>
        </is>
      </c>
      <c r="AJ302" s="2" t="str">
        <f>HYPERLINK("https://keepa.com/#!product/1-B07FFV7T4H", "https://keepa.com/#!product/1-B07FFV7T4H")</f>
      </c>
      <c r="AK302" s="2" t="str">
        <f>HYPERLINK("https://camelcamelcamel.com/search?sq=B07FFV7T4H", "https://camelcamelcamel.com/search?sq=B07FFV7T4H")</f>
      </c>
      <c r="AL302" t="inlineStr">
        <is>
          <t/>
        </is>
      </c>
      <c r="AM302" s="10">
        <v>45417.11111111111</v>
      </c>
      <c r="AN302" t="inlineStr">
        <is>
          <t>Macally Ultra-Slim USB Wired Keyboard with Number Keypad for Apple Mac Pro, MacBook Pro/Air, iMac, Mac Mini, Laptop Computers, Windows Desktop PC Laptops, Silver (SLIMKEYPROA)</t>
        </is>
      </c>
      <c r="AO302" t="inlineStr">
        <is>
          <t>90</t>
        </is>
      </c>
      <c r="AP302" t="inlineStr">
        <is>
          <t>TAKE ALL</t>
        </is>
      </c>
    </row>
    <row r="303">
      <c r="A303" t="inlineStr">
        <is>
          <t>B07FMMS9N8</t>
        </is>
      </c>
      <c r="B303" t="inlineStr">
        <is>
          <t>False</t>
        </is>
      </c>
      <c r="C303" t="inlineStr">
        <is>
          <t>B07FMMS9N8</t>
        </is>
      </c>
      <c r="D303" t="inlineStr">
        <is>
          <t>Jovial</t>
        </is>
      </c>
      <c r="E303" t="inlineStr">
        <is>
          <t>True</t>
        </is>
      </c>
      <c r="F303" t="inlineStr">
        <is>
          <t>Jovial 100% Organic Einkorn All-Purpose Flour, 2 lb. Bag, 3 Count</t>
        </is>
      </c>
      <c r="G303">
        <v>1</v>
      </c>
      <c r="H303" s="2" t="str">
        <f>HYPERLINK("https://www.amazon.com/dp/B07FMMS9N8", "https://www.amazon.com/dp/B07FMMS9N8")</f>
      </c>
      <c r="I303" s="3">
        <v>2589</v>
      </c>
      <c r="J303" s="4">
        <v>5.28</v>
      </c>
      <c r="K303" s="5">
        <v>0.1654</v>
      </c>
      <c r="L303" s="15">
        <v>0.384</v>
      </c>
      <c r="M303" t="inlineStr">
        <is>
          <t>True</t>
        </is>
      </c>
      <c r="N303" t="inlineStr">
        <is>
          <t>Grocery &amp; Gourmet Food</t>
        </is>
      </c>
      <c r="O303" s="6">
        <v>2929</v>
      </c>
      <c r="P303" s="6">
        <v>2966</v>
      </c>
      <c r="Q303" s="6">
        <v>1844</v>
      </c>
      <c r="R303" s="6">
        <v>209</v>
      </c>
      <c r="S303" s="7">
        <v>13.75</v>
      </c>
      <c r="T303" s="7">
        <v>31.93</v>
      </c>
      <c r="U303">
        <v>32.58</v>
      </c>
      <c r="V303" s="8">
        <v>0</v>
      </c>
      <c r="W303" s="7">
        <v>0</v>
      </c>
      <c r="X303" s="7">
        <v>0</v>
      </c>
      <c r="Y303">
        <v>6.26</v>
      </c>
      <c r="Z303" s="9">
        <v>0.01</v>
      </c>
      <c r="AB303">
        <v>0</v>
      </c>
      <c r="AC303">
        <v>0</v>
      </c>
      <c r="AD303">
        <v>2</v>
      </c>
      <c r="AE303">
        <v>2</v>
      </c>
      <c r="AF303">
        <v>0</v>
      </c>
      <c r="AG303">
        <v>1</v>
      </c>
      <c r="AH303">
        <v>2</v>
      </c>
      <c r="AI303" t="inlineStr">
        <is>
          <t>False</t>
        </is>
      </c>
      <c r="AJ303" s="2" t="str">
        <f>HYPERLINK("https://keepa.com/#!product/1-B07FMMS9N8", "https://keepa.com/#!product/1-B07FMMS9N8")</f>
      </c>
      <c r="AK303" s="2" t="str">
        <f>HYPERLINK("https://camelcamelcamel.com/search?sq=B07FMMS9N8", "https://camelcamelcamel.com/search?sq=B07FMMS9N8")</f>
      </c>
      <c r="AL303" t="inlineStr">
        <is>
          <t/>
        </is>
      </c>
      <c r="AM303" s="10">
        <v>45417.11111111111</v>
      </c>
      <c r="AN303" t="inlineStr">
        <is>
          <t>Jovial 100% Organic Einkorn All-Purpose Flour, 2 lb. Bag, 3 Count</t>
        </is>
      </c>
      <c r="AO303" t="inlineStr">
        <is>
          <t>500</t>
        </is>
      </c>
      <c r="AP303" t="inlineStr">
        <is>
          <t>250</t>
        </is>
      </c>
    </row>
    <row r="304">
      <c r="A304" t="inlineStr">
        <is>
          <t>B07FP5RWR4</t>
        </is>
      </c>
      <c r="B304" t="inlineStr">
        <is>
          <t>False</t>
        </is>
      </c>
      <c r="C304" t="inlineStr">
        <is>
          <t>B07FP5RWR4</t>
        </is>
      </c>
      <c r="D304" t="inlineStr">
        <is>
          <t>Filtrete</t>
        </is>
      </c>
      <c r="E304" t="inlineStr">
        <is>
          <t>False</t>
        </is>
      </c>
      <c r="F304" t="inlineStr">
        <is>
          <t>Filtrete 16x25x1 AC Furnace Air Filter, MERV 13, MPR 2200, Elite Allergen, Bacteria &amp; Virus Filter, 3-Month Pleated 1-Inch Electrostatic Air Cleaning Filter, 6-Pack (Actual Size 15.69x24.69x0.78 in)</t>
        </is>
      </c>
      <c r="G304">
        <v>1</v>
      </c>
      <c r="H304" s="2" t="str">
        <f>HYPERLINK("https://www.amazon.com/dp/B07FP5RWR4", "https://www.amazon.com/dp/B07FP5RWR4")</f>
      </c>
      <c r="I304" s="3">
        <v>422</v>
      </c>
      <c r="J304" s="4">
        <v>39.44</v>
      </c>
      <c r="K304" s="15">
        <v>0.3173</v>
      </c>
      <c r="L304" s="15">
        <v>0.8131999999999999</v>
      </c>
      <c r="M304" t="inlineStr">
        <is>
          <t>True</t>
        </is>
      </c>
      <c r="N304" t="inlineStr">
        <is>
          <t>Tools &amp; Home Improvement</t>
        </is>
      </c>
      <c r="O304" s="6">
        <v>23397</v>
      </c>
      <c r="P304" s="6">
        <v>16106</v>
      </c>
      <c r="Q304" s="6">
        <v>642</v>
      </c>
      <c r="R304" s="6">
        <v>151</v>
      </c>
      <c r="S304" s="7">
        <v>48.5</v>
      </c>
      <c r="T304" s="7">
        <v>124.28</v>
      </c>
      <c r="U304">
        <v>101.26</v>
      </c>
      <c r="V304" s="8">
        <v>0</v>
      </c>
      <c r="W304" s="7">
        <v>0</v>
      </c>
      <c r="X304" s="7">
        <v>0</v>
      </c>
      <c r="Y304">
        <v>4.4</v>
      </c>
      <c r="Z304" s="9">
        <v>1</v>
      </c>
      <c r="AB304">
        <v>0</v>
      </c>
      <c r="AC304">
        <v>0</v>
      </c>
      <c r="AD304">
        <v>6</v>
      </c>
      <c r="AE304">
        <v>2</v>
      </c>
      <c r="AF304">
        <v>2</v>
      </c>
      <c r="AG304">
        <v>2</v>
      </c>
      <c r="AH304">
        <v>0</v>
      </c>
      <c r="AI304" t="inlineStr">
        <is>
          <t>False</t>
        </is>
      </c>
      <c r="AJ304" s="2" t="str">
        <f>HYPERLINK("https://keepa.com/#!product/1-B07FP5RWR4", "https://keepa.com/#!product/1-B07FP5RWR4")</f>
      </c>
      <c r="AK304" s="2" t="str">
        <f>HYPERLINK("https://camelcamelcamel.com/search?sq=B07FP5RWR4", "https://camelcamelcamel.com/search?sq=B07FP5RWR4")</f>
      </c>
      <c r="AL304" t="inlineStr">
        <is>
          <t/>
        </is>
      </c>
      <c r="AM304" s="10">
        <v>45417.11111111111</v>
      </c>
      <c r="AN304" t="inlineStr">
        <is>
          <t>Filtrete 16x25x1 Air Filter, MPR 2200, MERV 13, Healthy Living Elite Allergen 3-Month Pleated 1-Inch Air Filters, 6 Filters</t>
        </is>
      </c>
      <c r="AO304" t="inlineStr">
        <is>
          <t>200</t>
        </is>
      </c>
      <c r="AP304" t="inlineStr">
        <is>
          <t>100</t>
        </is>
      </c>
    </row>
    <row r="305">
      <c r="A305" t="inlineStr">
        <is>
          <t>B07FPTQSYP</t>
        </is>
      </c>
      <c r="B305" t="inlineStr">
        <is>
          <t>False</t>
        </is>
      </c>
      <c r="C305" t="inlineStr">
        <is>
          <t>B07FPTQSYP</t>
        </is>
      </c>
      <c r="D305" t="inlineStr">
        <is>
          <t>Peptiva</t>
        </is>
      </c>
      <c r="E305" t="inlineStr">
        <is>
          <t>False</t>
        </is>
      </c>
      <c r="F305" t="inlineStr">
        <is>
          <t>Peptiva Digestive Enzyme Supplement + ProDigest - Helps with Bloating, Gas, Constipation - 30 Count</t>
        </is>
      </c>
      <c r="G305">
        <v>1</v>
      </c>
      <c r="H305" s="2" t="str">
        <f>HYPERLINK("https://www.amazon.com/dp/B07FPTQSYP", "https://www.amazon.com/dp/B07FPTQSYP")</f>
      </c>
      <c r="I305" s="3">
        <v>562</v>
      </c>
      <c r="J305" s="11">
        <v>1.1</v>
      </c>
      <c r="K305" s="5">
        <v>0.049800000000000004</v>
      </c>
      <c r="L305" s="5">
        <v>0.08</v>
      </c>
      <c r="M305" t="inlineStr">
        <is>
          <t>True</t>
        </is>
      </c>
      <c r="N305" t="inlineStr">
        <is>
          <t>Health &amp; Household</t>
        </is>
      </c>
      <c r="O305" s="6">
        <v>34300</v>
      </c>
      <c r="P305" s="6">
        <v>22454</v>
      </c>
      <c r="Q305" s="6">
        <v>12726</v>
      </c>
      <c r="R305" s="6">
        <v>175</v>
      </c>
      <c r="S305" s="7">
        <v>13.75</v>
      </c>
      <c r="T305" s="7">
        <v>22.1</v>
      </c>
      <c r="U305">
        <v>24.3</v>
      </c>
      <c r="V305" s="8">
        <v>0</v>
      </c>
      <c r="W305" s="7">
        <v>0</v>
      </c>
      <c r="X305" s="7">
        <v>0</v>
      </c>
      <c r="Y305">
        <v>0.11</v>
      </c>
      <c r="Z305" s="8">
        <v>0</v>
      </c>
      <c r="AB305">
        <v>0</v>
      </c>
      <c r="AC305">
        <v>0</v>
      </c>
      <c r="AD305">
        <v>5</v>
      </c>
      <c r="AE305">
        <v>5</v>
      </c>
      <c r="AF305">
        <v>0</v>
      </c>
      <c r="AG305">
        <v>3</v>
      </c>
      <c r="AH305">
        <v>2</v>
      </c>
      <c r="AI305" t="inlineStr">
        <is>
          <t>False</t>
        </is>
      </c>
      <c r="AJ305" s="2" t="str">
        <f>HYPERLINK("https://keepa.com/#!product/1-B07FPTQSYP", "https://keepa.com/#!product/1-B07FPTQSYP")</f>
      </c>
      <c r="AK305" s="2" t="str">
        <f>HYPERLINK("https://camelcamelcamel.com/search?sq=B07FPTQSYP", "https://camelcamelcamel.com/search?sq=B07FPTQSYP")</f>
      </c>
      <c r="AL305" t="inlineStr">
        <is>
          <t/>
        </is>
      </c>
      <c r="AM305" s="10">
        <v>45417.11111111111</v>
      </c>
      <c r="AN305" t="inlineStr">
        <is>
          <t>Peptiva Digestive Enzyme Supplement + ProDigest - Helps with Bloating, Gas, Constipation - 30 Count</t>
        </is>
      </c>
      <c r="AO305" t="inlineStr">
        <is>
          <t>500</t>
        </is>
      </c>
      <c r="AP305" t="inlineStr">
        <is>
          <t>250</t>
        </is>
      </c>
    </row>
    <row r="306">
      <c r="A306" t="inlineStr">
        <is>
          <t>B07FWNV1JR</t>
        </is>
      </c>
      <c r="B306" t="inlineStr">
        <is>
          <t>False</t>
        </is>
      </c>
      <c r="C306" t="inlineStr">
        <is>
          <t>B07FWNV1JR</t>
        </is>
      </c>
      <c r="D306" t="inlineStr">
        <is>
          <t>RENPURE</t>
        </is>
      </c>
      <c r="E306" t="inlineStr">
        <is>
          <t>False</t>
        </is>
      </c>
      <c r="F306" t="inlineStr">
        <is>
          <t>RENPURE Plant Based Beauty Sage 5 in 1 Leavein Treatment Mist, Lemon,Tea Tree, 8 Fl Oz</t>
        </is>
      </c>
      <c r="G306">
        <v>1</v>
      </c>
      <c r="H306" s="2" t="str">
        <f>HYPERLINK("https://www.amazon.com/dp/B07FWNV1JR", "https://www.amazon.com/dp/B07FWNV1JR")</f>
      </c>
      <c r="I306" s="3">
        <v>123</v>
      </c>
      <c r="J306" s="11">
        <v>1.73</v>
      </c>
      <c r="K306" s="5">
        <v>0.12359999999999999</v>
      </c>
      <c r="L306" s="5">
        <v>0.2883</v>
      </c>
      <c r="M306" t="inlineStr">
        <is>
          <t>True</t>
        </is>
      </c>
      <c r="N306" t="inlineStr">
        <is>
          <t>Beauty &amp; Personal Care</t>
        </is>
      </c>
      <c r="O306" s="6">
        <v>82799</v>
      </c>
      <c r="P306" s="6">
        <v>238957</v>
      </c>
      <c r="Q306" s="6">
        <v>83482</v>
      </c>
      <c r="R306" s="6">
        <v>19</v>
      </c>
      <c r="S306" s="7">
        <v>6</v>
      </c>
      <c r="T306" s="7">
        <v>14</v>
      </c>
      <c r="U306">
        <v>13.97</v>
      </c>
      <c r="V306" s="8">
        <v>0</v>
      </c>
      <c r="W306" s="7">
        <v>0</v>
      </c>
      <c r="X306" s="7">
        <v>0</v>
      </c>
      <c r="Y306">
        <v>0.62</v>
      </c>
      <c r="Z306" s="8">
        <v>0</v>
      </c>
      <c r="AB306">
        <v>0</v>
      </c>
      <c r="AC306">
        <v>0</v>
      </c>
      <c r="AD306">
        <v>1</v>
      </c>
      <c r="AE306">
        <v>1</v>
      </c>
      <c r="AF306">
        <v>0</v>
      </c>
      <c r="AG306">
        <v>1</v>
      </c>
      <c r="AH306">
        <v>2</v>
      </c>
      <c r="AI306" t="inlineStr">
        <is>
          <t>False</t>
        </is>
      </c>
      <c r="AJ306" s="2" t="str">
        <f>HYPERLINK("https://keepa.com/#!product/1-B07FWNV1JR", "https://keepa.com/#!product/1-B07FWNV1JR")</f>
      </c>
      <c r="AK306" s="2" t="str">
        <f>HYPERLINK("https://camelcamelcamel.com/search?sq=B07FWNV1JR", "https://camelcamelcamel.com/search?sq=B07FWNV1JR")</f>
      </c>
      <c r="AL306" t="inlineStr">
        <is>
          <t/>
        </is>
      </c>
      <c r="AM306" s="10">
        <v>45417.11111111111</v>
      </c>
      <c r="AN306" t="inlineStr">
        <is>
          <t>RENPURE Plant Based Beauty Sage 5 in 1 Leavein Treatment Mist, Lemon,Tea Tree, 8 Fl Oz</t>
        </is>
      </c>
      <c r="AO306" t="inlineStr">
        <is>
          <t>480</t>
        </is>
      </c>
      <c r="AP306" t="inlineStr">
        <is>
          <t>TAKE ALL</t>
        </is>
      </c>
    </row>
    <row r="307">
      <c r="A307" t="inlineStr">
        <is>
          <t>B07FXYPR1F</t>
        </is>
      </c>
      <c r="B307" t="inlineStr">
        <is>
          <t>False</t>
        </is>
      </c>
      <c r="C307" t="inlineStr">
        <is>
          <t>B07FXYPR1F</t>
        </is>
      </c>
      <c r="D307" t="inlineStr">
        <is>
          <t>Isagenix</t>
        </is>
      </c>
      <c r="E307" t="inlineStr">
        <is>
          <t>False</t>
        </is>
      </c>
      <c r="F307" t="inlineStr">
        <is>
          <t>Isagenix IsaLean Shake - Meal Replacement Protein Shake Supports Healthy Weight &amp; Muscle Growth - Protein Powder Enriched with 23 Vitamins - Strawberry Cream, 29.1 Oz (14 Servings)</t>
        </is>
      </c>
      <c r="G307">
        <v>1</v>
      </c>
      <c r="H307" s="2" t="str">
        <f>HYPERLINK("https://www.amazon.com/dp/B07FXYPR1F", "https://www.amazon.com/dp/B07FXYPR1F")</f>
      </c>
      <c r="I307" s="3">
        <v>3597</v>
      </c>
      <c r="J307" s="4">
        <v>6.01</v>
      </c>
      <c r="K307" s="5">
        <v>0.10890000000000001</v>
      </c>
      <c r="L307" s="5">
        <v>0.172</v>
      </c>
      <c r="M307" t="inlineStr">
        <is>
          <t>True</t>
        </is>
      </c>
      <c r="N307" t="inlineStr">
        <is>
          <t>Grocery &amp; Gourmet Food</t>
        </is>
      </c>
      <c r="O307" s="6">
        <v>1829</v>
      </c>
      <c r="P307" s="6">
        <v>2059</v>
      </c>
      <c r="Q307" s="6">
        <v>1504</v>
      </c>
      <c r="R307" s="6">
        <v>429</v>
      </c>
      <c r="S307" s="7">
        <v>34.95</v>
      </c>
      <c r="T307" s="7">
        <v>55.2</v>
      </c>
      <c r="U307">
        <v>54.49</v>
      </c>
      <c r="V307" s="8">
        <v>0</v>
      </c>
      <c r="W307" s="7">
        <v>0</v>
      </c>
      <c r="X307" s="7">
        <v>0</v>
      </c>
      <c r="Y307">
        <v>2.09</v>
      </c>
      <c r="Z307" s="8">
        <v>0</v>
      </c>
      <c r="AB307">
        <v>0</v>
      </c>
      <c r="AC307">
        <v>0</v>
      </c>
      <c r="AD307">
        <v>2</v>
      </c>
      <c r="AE307">
        <v>2</v>
      </c>
      <c r="AF307">
        <v>0</v>
      </c>
      <c r="AG307">
        <v>2</v>
      </c>
      <c r="AH307">
        <v>5</v>
      </c>
      <c r="AI307" t="inlineStr">
        <is>
          <t>False</t>
        </is>
      </c>
      <c r="AJ307" s="2" t="str">
        <f>HYPERLINK("https://keepa.com/#!product/1-B07FXYPR1F", "https://keepa.com/#!product/1-B07FXYPR1F")</f>
      </c>
      <c r="AK307" s="2" t="str">
        <f>HYPERLINK("https://camelcamelcamel.com/search?sq=B07FXYPR1F", "https://camelcamelcamel.com/search?sq=B07FXYPR1F")</f>
      </c>
      <c r="AL307" t="inlineStr">
        <is>
          <t/>
        </is>
      </c>
      <c r="AM307" s="10">
        <v>45417.11111111111</v>
      </c>
      <c r="AN307" t="inlineStr">
        <is>
          <t>Isagenix IsaLean Shake - Meal Replacement Protein Shake Supports Healthy Weight &amp; Muscle Growth - Protein Powder Enriched with 23 Vitamins - Strawberry Cream, 29.1 Oz (14 Servings)</t>
        </is>
      </c>
      <c r="AO307" t="inlineStr">
        <is>
          <t>1000</t>
        </is>
      </c>
      <c r="AP307" t="inlineStr">
        <is>
          <t>250</t>
        </is>
      </c>
    </row>
    <row r="308">
      <c r="A308" t="inlineStr">
        <is>
          <t>B07FYY2CMH</t>
        </is>
      </c>
      <c r="B308" t="inlineStr">
        <is>
          <t>False</t>
        </is>
      </c>
      <c r="C308" t="inlineStr">
        <is>
          <t>B07FYY2CMH</t>
        </is>
      </c>
      <c r="D308" t="inlineStr">
        <is>
          <t>ASTRO Gaming</t>
        </is>
      </c>
      <c r="E308" t="inlineStr">
        <is>
          <t>False</t>
        </is>
      </c>
      <c r="F308" t="inlineStr">
        <is>
          <t>ASTRO Gaming A40 TR X-Edition Headset For Xbox Series X | S|One, PS5, PS4, PC, Mac, Nintendo Switch - Black/Red</t>
        </is>
      </c>
      <c r="G308">
        <v>1</v>
      </c>
      <c r="H308" s="2" t="str">
        <f>HYPERLINK("https://www.amazon.com/dp/B07FYY2CMH", "https://www.amazon.com/dp/B07FYY2CMH")</f>
      </c>
      <c r="I308" s="3">
        <v>214</v>
      </c>
      <c r="J308" s="4">
        <v>28.23</v>
      </c>
      <c r="K308" s="5">
        <v>0.168</v>
      </c>
      <c r="L308" s="5">
        <v>0.2509</v>
      </c>
      <c r="M308" t="inlineStr">
        <is>
          <t>True</t>
        </is>
      </c>
      <c r="N308" t="inlineStr">
        <is>
          <t>Video Games</t>
        </is>
      </c>
      <c r="O308" s="6">
        <v>4505</v>
      </c>
      <c r="P308" s="6">
        <v>11023</v>
      </c>
      <c r="Q308" s="6">
        <v>2828</v>
      </c>
      <c r="R308" s="6">
        <v>199</v>
      </c>
      <c r="S308" s="7">
        <v>112.5</v>
      </c>
      <c r="T308" s="7">
        <v>168</v>
      </c>
      <c r="U308">
        <v>165.75</v>
      </c>
      <c r="V308" s="8">
        <v>0</v>
      </c>
      <c r="W308" s="7">
        <v>0</v>
      </c>
      <c r="X308" s="7">
        <v>0</v>
      </c>
      <c r="Y308">
        <v>2.38</v>
      </c>
      <c r="Z308" s="9">
        <v>0.02</v>
      </c>
      <c r="AB308">
        <v>0</v>
      </c>
      <c r="AC308">
        <v>0</v>
      </c>
      <c r="AD308">
        <v>4</v>
      </c>
      <c r="AE308">
        <v>3</v>
      </c>
      <c r="AF308">
        <v>0</v>
      </c>
      <c r="AG308">
        <v>3</v>
      </c>
      <c r="AH308">
        <v>9</v>
      </c>
      <c r="AI308" t="inlineStr">
        <is>
          <t>False</t>
        </is>
      </c>
      <c r="AJ308" s="2" t="str">
        <f>HYPERLINK("https://keepa.com/#!product/1-B07FYY2CMH", "https://keepa.com/#!product/1-B07FYY2CMH")</f>
      </c>
      <c r="AK308" s="2" t="str">
        <f>HYPERLINK("https://camelcamelcamel.com/search?sq=B07FYY2CMH", "https://camelcamelcamel.com/search?sq=B07FYY2CMH")</f>
      </c>
      <c r="AL308" t="inlineStr">
        <is>
          <t/>
        </is>
      </c>
      <c r="AM308" s="10">
        <v>45417.11111111111</v>
      </c>
      <c r="AN308" t="inlineStr">
        <is>
          <t>ASTRO Deal</t>
        </is>
      </c>
      <c r="AO308" t="inlineStr">
        <is>
          <t>600</t>
        </is>
      </c>
      <c r="AP308" t="inlineStr">
        <is>
          <t>TAKE ALL</t>
        </is>
      </c>
    </row>
    <row r="309">
      <c r="A309" t="inlineStr">
        <is>
          <t>B07G3V9K17</t>
        </is>
      </c>
      <c r="B309" t="inlineStr">
        <is>
          <t>False</t>
        </is>
      </c>
      <c r="C309" t="inlineStr">
        <is>
          <t>B07G3V9K17</t>
        </is>
      </c>
      <c r="D309" t="inlineStr">
        <is>
          <t>Philips Kitchen Appliances</t>
        </is>
      </c>
      <c r="E309" t="inlineStr">
        <is>
          <t>False</t>
        </is>
      </c>
      <c r="F309" t="inlineStr">
        <is>
          <t>Philips Premium Airfryer XXL, Fat Removal Technology, 3lb/7qt, Rapid Air Technology, Digital Display, Keep Warm Mode, 5 Cooking Presets, NutriU App, Family Sized, Black (HD9650/96)</t>
        </is>
      </c>
      <c r="G309">
        <v>1</v>
      </c>
      <c r="H309" s="2" t="str">
        <f>HYPERLINK("https://www.amazon.com/dp/B07G3V9K17", "https://www.amazon.com/dp/B07G3V9K17")</f>
      </c>
      <c r="I309" s="3">
        <v>262</v>
      </c>
      <c r="J309" s="4">
        <v>16.47</v>
      </c>
      <c r="K309" s="5">
        <v>0.0915</v>
      </c>
      <c r="L309" s="5">
        <v>0.1411</v>
      </c>
      <c r="M309" t="inlineStr">
        <is>
          <t>True</t>
        </is>
      </c>
      <c r="N309" t="inlineStr">
        <is>
          <t>Kitchen &amp; Dining</t>
        </is>
      </c>
      <c r="O309" s="6">
        <v>27628</v>
      </c>
      <c r="P309" s="6">
        <v>20798</v>
      </c>
      <c r="Q309" s="6">
        <v>10998</v>
      </c>
      <c r="R309" s="6">
        <v>216</v>
      </c>
      <c r="S309" s="7">
        <v>116.75</v>
      </c>
      <c r="T309" s="7">
        <v>179.99</v>
      </c>
      <c r="U309">
        <v>175.67</v>
      </c>
      <c r="V309" s="8">
        <v>0</v>
      </c>
      <c r="W309" s="7">
        <v>0</v>
      </c>
      <c r="X309" s="7">
        <v>0</v>
      </c>
      <c r="Y309">
        <v>23.81</v>
      </c>
      <c r="Z309" s="9">
        <v>0.61</v>
      </c>
      <c r="AB309">
        <v>0</v>
      </c>
      <c r="AC309">
        <v>0</v>
      </c>
      <c r="AD309">
        <v>17</v>
      </c>
      <c r="AE309">
        <v>6</v>
      </c>
      <c r="AF309">
        <v>2</v>
      </c>
      <c r="AG309">
        <v>2</v>
      </c>
      <c r="AH309">
        <v>1</v>
      </c>
      <c r="AI309" t="inlineStr">
        <is>
          <t>False</t>
        </is>
      </c>
      <c r="AJ309" s="2" t="str">
        <f>HYPERLINK("https://keepa.com/#!product/1-B07G3V9K17", "https://keepa.com/#!product/1-B07G3V9K17")</f>
      </c>
      <c r="AK309" s="2" t="str">
        <f>HYPERLINK("https://camelcamelcamel.com/search?sq=B07G3V9K17", "https://camelcamelcamel.com/search?sq=B07G3V9K17")</f>
      </c>
      <c r="AL309" t="inlineStr">
        <is>
          <t/>
        </is>
      </c>
      <c r="AM309" s="10">
        <v>45417.11111111111</v>
      </c>
      <c r="AN309" t="inlineStr">
        <is>
          <t>Philips Premium Airfryer XXL, Fat Removal Technology, 3lb/7qt, Rapid Air Technology, Digital Display, Keep Warm Mode, 5 Cooking Presets, NutriU App, Family Sized, Black (HD9650/96)</t>
        </is>
      </c>
      <c r="AO309" t="inlineStr">
        <is>
          <t>1088</t>
        </is>
      </c>
      <c r="AP309" t="inlineStr">
        <is>
          <t>TAKE ALL</t>
        </is>
      </c>
    </row>
    <row r="310">
      <c r="A310" t="inlineStr">
        <is>
          <t>B07G94KFYL</t>
        </is>
      </c>
      <c r="B310" t="inlineStr">
        <is>
          <t>False</t>
        </is>
      </c>
      <c r="C310" t="inlineStr">
        <is>
          <t>B07G94KFYL</t>
        </is>
      </c>
      <c r="D310" t="inlineStr">
        <is>
          <t>Applied Nutrition</t>
        </is>
      </c>
      <c r="E310" t="inlineStr">
        <is>
          <t>False</t>
        </is>
      </c>
      <c r="F310" t="inlineStr">
        <is>
          <t>Applied Nutrition Liquid Collagen Drink Mix 4000 mg, 30 Tubes (2 Pack)</t>
        </is>
      </c>
      <c r="G310">
        <v>1</v>
      </c>
      <c r="H310" s="2" t="str">
        <f>HYPERLINK("https://www.amazon.com/dp/B07G94KFYL", "https://www.amazon.com/dp/B07G94KFYL")</f>
      </c>
      <c r="I310" s="3">
        <v>567</v>
      </c>
      <c r="J310" s="4">
        <v>8.21</v>
      </c>
      <c r="K310" s="5">
        <v>0.17850000000000002</v>
      </c>
      <c r="L310" s="15">
        <v>0.3284</v>
      </c>
      <c r="M310" t="inlineStr">
        <is>
          <t>True</t>
        </is>
      </c>
      <c r="N310" t="inlineStr">
        <is>
          <t>Health &amp; Household</t>
        </is>
      </c>
      <c r="O310" s="6">
        <v>34255</v>
      </c>
      <c r="P310" s="6">
        <v>42896</v>
      </c>
      <c r="Q310" s="6">
        <v>22032</v>
      </c>
      <c r="R310" s="6">
        <v>192</v>
      </c>
      <c r="S310" s="7">
        <v>25</v>
      </c>
      <c r="T310" s="7">
        <v>46</v>
      </c>
      <c r="U310">
        <v>46.82</v>
      </c>
      <c r="V310" s="8">
        <v>0</v>
      </c>
      <c r="W310" s="7">
        <v>0</v>
      </c>
      <c r="X310" s="7">
        <v>0</v>
      </c>
      <c r="Y310">
        <v>0.97</v>
      </c>
      <c r="Z310" s="8">
        <v>0</v>
      </c>
      <c r="AB310">
        <v>0</v>
      </c>
      <c r="AC310">
        <v>0</v>
      </c>
      <c r="AD310">
        <v>62</v>
      </c>
      <c r="AE310">
        <v>5</v>
      </c>
      <c r="AF310">
        <v>57</v>
      </c>
      <c r="AG310">
        <v>3</v>
      </c>
      <c r="AH310">
        <v>1</v>
      </c>
      <c r="AI310" t="inlineStr">
        <is>
          <t>False</t>
        </is>
      </c>
      <c r="AJ310" s="2" t="str">
        <f>HYPERLINK("https://keepa.com/#!product/1-B07G94KFYL", "https://keepa.com/#!product/1-B07G94KFYL")</f>
      </c>
      <c r="AK310" s="2" t="str">
        <f>HYPERLINK("https://camelcamelcamel.com/search?sq=B07G94KFYL", "https://camelcamelcamel.com/search?sq=B07G94KFYL")</f>
      </c>
      <c r="AL310" t="inlineStr">
        <is>
          <t/>
        </is>
      </c>
      <c r="AM310" s="10">
        <v>45417.11111111111</v>
      </c>
      <c r="AN310" t="inlineStr">
        <is>
          <t>Applied Nutrition Liquid Collagen Drink Mix 4000 mg, 30 Tubes (2 Pack)</t>
        </is>
      </c>
      <c r="AO310" t="inlineStr">
        <is>
          <t>300</t>
        </is>
      </c>
      <c r="AP310" t="inlineStr">
        <is>
          <t>TAKE ALL</t>
        </is>
      </c>
    </row>
    <row r="311">
      <c r="A311" t="inlineStr">
        <is>
          <t>B07GC86WMY</t>
        </is>
      </c>
      <c r="B311" t="inlineStr">
        <is>
          <t>False</t>
        </is>
      </c>
      <c r="C311" t="inlineStr">
        <is>
          <t>B07GC86WMY</t>
        </is>
      </c>
      <c r="D311" t="inlineStr">
        <is>
          <t>MaryRuth Organics</t>
        </is>
      </c>
      <c r="E311" t="inlineStr">
        <is>
          <t>False</t>
        </is>
      </c>
      <c r="F311" t="inlineStr">
        <is>
          <t>MaryRuth Organics Calcium with Vitamin D &amp; Vitamin K2, 2 Month Supply, Calcium Supplement Supports Bone Health &amp; Joint Support, with Vitamins D3 K2 Gummies, Vegan, Non-GMO, Gluten Free, 60 Count</t>
        </is>
      </c>
      <c r="G311">
        <v>1</v>
      </c>
      <c r="H311" s="2" t="str">
        <f>HYPERLINK("https://www.amazon.com/dp/B07GC86WMY", "https://www.amazon.com/dp/B07GC86WMY")</f>
      </c>
      <c r="I311" s="3">
        <v>11330</v>
      </c>
      <c r="J311" s="12">
        <v>-1.07</v>
      </c>
      <c r="K311" s="13">
        <v>-0.047599999999999996</v>
      </c>
      <c r="L311" s="13">
        <v>-0.0669</v>
      </c>
      <c r="M311" t="inlineStr">
        <is>
          <t>True</t>
        </is>
      </c>
      <c r="N311" t="inlineStr">
        <is>
          <t>Health &amp; Household</t>
        </is>
      </c>
      <c r="O311" s="6">
        <v>2042</v>
      </c>
      <c r="P311" s="6">
        <v>4020</v>
      </c>
      <c r="Q311" s="6">
        <v>1821</v>
      </c>
      <c r="R311" s="6">
        <v>323</v>
      </c>
      <c r="S311" s="7">
        <v>16</v>
      </c>
      <c r="T311" s="7">
        <v>22.46</v>
      </c>
      <c r="U311">
        <v>29.18</v>
      </c>
      <c r="V311" s="8">
        <v>0</v>
      </c>
      <c r="W311" s="7">
        <v>0</v>
      </c>
      <c r="X311" s="7">
        <v>0</v>
      </c>
      <c r="Y311">
        <v>0.53</v>
      </c>
      <c r="Z311" s="8">
        <v>0</v>
      </c>
      <c r="AB311">
        <v>0</v>
      </c>
      <c r="AC311">
        <v>0</v>
      </c>
      <c r="AD311">
        <v>9</v>
      </c>
      <c r="AE311">
        <v>8</v>
      </c>
      <c r="AF311">
        <v>1</v>
      </c>
      <c r="AG311">
        <v>2</v>
      </c>
      <c r="AH311">
        <v>1</v>
      </c>
      <c r="AI311" t="inlineStr">
        <is>
          <t>False</t>
        </is>
      </c>
      <c r="AJ311" s="2" t="str">
        <f>HYPERLINK("https://keepa.com/#!product/1-B07GC86WMY", "https://keepa.com/#!product/1-B07GC86WMY")</f>
      </c>
      <c r="AK311" s="2" t="str">
        <f>HYPERLINK("https://camelcamelcamel.com/search?sq=B07GC86WMY", "https://camelcamelcamel.com/search?sq=B07GC86WMY")</f>
      </c>
      <c r="AL311" t="inlineStr">
        <is>
          <t/>
        </is>
      </c>
      <c r="AM311" s="10">
        <v>45417.11111111111</v>
      </c>
      <c r="AN311" t="inlineStr">
        <is>
          <t>MaryRuth Organics Calcium with Vitamin D &amp; Vitamin K2, 2 Month Supply, Calcium Supplement Supports Bone Health &amp; Joint Support, with Vitamins D3 K2 Gummies, Vegan, Non-GMO, Gluten Free, 60 Count</t>
        </is>
      </c>
      <c r="AO311" t="inlineStr">
        <is>
          <t>3000</t>
        </is>
      </c>
      <c r="AP311" t="inlineStr">
        <is>
          <t>1060</t>
        </is>
      </c>
    </row>
    <row r="312">
      <c r="A312" t="inlineStr">
        <is>
          <t>B07GDJ5HJR</t>
        </is>
      </c>
      <c r="B312" t="inlineStr">
        <is>
          <t>False</t>
        </is>
      </c>
      <c r="C312" t="inlineStr">
        <is>
          <t>B07GDJ5HJR</t>
        </is>
      </c>
      <c r="D312" t="inlineStr">
        <is>
          <t>Generic</t>
        </is>
      </c>
      <c r="E312" t="inlineStr">
        <is>
          <t>False</t>
        </is>
      </c>
      <c r="F312" t="inlineStr">
        <is>
          <t>ICSPOID Poolside Basketball Hoop Portable Swimming Pool Height-Adjustable Basketball Goal System for Adults Youth White</t>
        </is>
      </c>
      <c r="G312">
        <v>1</v>
      </c>
      <c r="H312" s="2" t="str">
        <f>HYPERLINK("https://www.amazon.com/dp/B07GDJ5HJR", "https://www.amazon.com/dp/B07GDJ5HJR")</f>
      </c>
      <c r="I312" s="14">
        <v>5</v>
      </c>
      <c r="J312" s="4">
        <v>7.96</v>
      </c>
      <c r="K312" s="5">
        <v>0.0663</v>
      </c>
      <c r="L312" s="5">
        <v>0.22579999999999997</v>
      </c>
      <c r="M312" t="inlineStr">
        <is>
          <t>True</t>
        </is>
      </c>
      <c r="N312" t="inlineStr">
        <is>
          <t>Sports &amp; Outdoors</t>
        </is>
      </c>
      <c r="O312" s="6">
        <v>429246</v>
      </c>
      <c r="P312" s="6">
        <v>328664</v>
      </c>
      <c r="Q312" s="6">
        <v>96007</v>
      </c>
      <c r="R312" s="6">
        <v>14</v>
      </c>
      <c r="S312" s="7">
        <v>35.25</v>
      </c>
      <c r="T312" s="7">
        <v>119.99</v>
      </c>
      <c r="U312">
        <v>119.65</v>
      </c>
      <c r="V312" s="8">
        <v>0</v>
      </c>
      <c r="W312" s="7">
        <v>0</v>
      </c>
      <c r="X312" s="7">
        <v>0</v>
      </c>
      <c r="Y312">
        <v>28.05</v>
      </c>
      <c r="Z312" s="8">
        <v>0</v>
      </c>
      <c r="AB312">
        <v>0</v>
      </c>
      <c r="AC312">
        <v>0</v>
      </c>
      <c r="AD312">
        <v>1</v>
      </c>
      <c r="AE312">
        <v>0</v>
      </c>
      <c r="AF312">
        <v>1</v>
      </c>
      <c r="AG312">
        <v>1</v>
      </c>
      <c r="AH312">
        <v>1</v>
      </c>
      <c r="AI312" t="inlineStr">
        <is>
          <t>False</t>
        </is>
      </c>
      <c r="AJ312" s="2" t="str">
        <f>HYPERLINK("https://keepa.com/#!product/1-B07GDJ5HJR", "https://keepa.com/#!product/1-B07GDJ5HJR")</f>
      </c>
      <c r="AK312" s="2" t="str">
        <f>HYPERLINK("https://camelcamelcamel.com/search?sq=B07GDJ5HJR", "https://camelcamelcamel.com/search?sq=B07GDJ5HJR")</f>
      </c>
      <c r="AL312" t="inlineStr">
        <is>
          <t/>
        </is>
      </c>
      <c r="AM312" s="10">
        <v>45417.11111111111</v>
      </c>
      <c r="AN312" t="inlineStr">
        <is>
          <t>ICSPOID Poolside Basketball Hoop Portable Swimming Pool Height-Adjustable Basketball Goal System for Adults Youth</t>
        </is>
      </c>
      <c r="AO312" t="inlineStr">
        <is>
          <t>485</t>
        </is>
      </c>
      <c r="AP312" t="inlineStr">
        <is>
          <t>TAKE ALL</t>
        </is>
      </c>
    </row>
    <row r="313">
      <c r="A313" t="inlineStr">
        <is>
          <t>B07H3CKT12</t>
        </is>
      </c>
      <c r="B313" t="inlineStr">
        <is>
          <t>False</t>
        </is>
      </c>
      <c r="C313" t="inlineStr">
        <is>
          <t>B07H3CKT12</t>
        </is>
      </c>
      <c r="D313" t="inlineStr">
        <is>
          <t>Philips Norelco</t>
        </is>
      </c>
      <c r="E313" t="inlineStr">
        <is>
          <t>True</t>
        </is>
      </c>
      <c r="F313" t="inlineStr">
        <is>
          <t>Philips Norelco Exclusive Bodygroom Series 7000 Showerproof Body &amp; Manscaping Trimmer &amp; Shaver with case and Replacement Head for Above and Below The Belt, BG7040/42 (Frustration Free Packaging)</t>
        </is>
      </c>
      <c r="G313">
        <v>1</v>
      </c>
      <c r="H313" s="2" t="str">
        <f>HYPERLINK("https://www.amazon.com/dp/B07H3CKT12", "https://www.amazon.com/dp/B07H3CKT12")</f>
      </c>
      <c r="I313" s="3">
        <v>7567</v>
      </c>
      <c r="J313" s="4">
        <v>20.56</v>
      </c>
      <c r="K313" s="5">
        <v>0.2938</v>
      </c>
      <c r="L313" s="15">
        <v>0.6527</v>
      </c>
      <c r="M313" t="inlineStr">
        <is>
          <t>True</t>
        </is>
      </c>
      <c r="N313" t="inlineStr">
        <is>
          <t>Beauty &amp; Personal Care</t>
        </is>
      </c>
      <c r="O313" s="6">
        <v>2126</v>
      </c>
      <c r="P313" s="6">
        <v>6712</v>
      </c>
      <c r="Q313" s="6">
        <v>2126</v>
      </c>
      <c r="R313" s="6">
        <v>293</v>
      </c>
      <c r="S313" s="7">
        <v>31.5</v>
      </c>
      <c r="T313" s="7">
        <v>69.99</v>
      </c>
      <c r="U313">
        <v>71.78</v>
      </c>
      <c r="V313" s="8">
        <v>0</v>
      </c>
      <c r="W313" s="7">
        <v>0</v>
      </c>
      <c r="X313" s="7">
        <v>0</v>
      </c>
      <c r="Y313">
        <v>1.06</v>
      </c>
      <c r="Z313" s="9">
        <v>1</v>
      </c>
      <c r="AB313">
        <v>0</v>
      </c>
      <c r="AC313">
        <v>0</v>
      </c>
      <c r="AD313">
        <v>4</v>
      </c>
      <c r="AE313">
        <v>1</v>
      </c>
      <c r="AF313">
        <v>1</v>
      </c>
      <c r="AG313">
        <v>1</v>
      </c>
      <c r="AH313">
        <v>2</v>
      </c>
      <c r="AI313" t="inlineStr">
        <is>
          <t>True</t>
        </is>
      </c>
      <c r="AJ313" s="2" t="str">
        <f>HYPERLINK("https://keepa.com/#!product/1-B07H3CKT12", "https://keepa.com/#!product/1-B07H3CKT12")</f>
      </c>
      <c r="AK313" s="2" t="str">
        <f>HYPERLINK("https://camelcamelcamel.com/search?sq=B07H3CKT12", "https://camelcamelcamel.com/search?sq=B07H3CKT12")</f>
      </c>
      <c r="AL313" t="inlineStr">
        <is>
          <t/>
        </is>
      </c>
      <c r="AM313" s="10">
        <v>45417.11111111111</v>
      </c>
      <c r="AN313" t="inlineStr">
        <is>
          <t>Philips Norelco Exclusive Bodygroom Series 7000 Showerproof Body &amp; Manscaping Trimmer &amp; Shaver with case and Replacement Head for Above and Below The Belt, BG7040/42 (Frustration Free Packaging)</t>
        </is>
      </c>
      <c r="AO313" t="inlineStr">
        <is>
          <t>1500</t>
        </is>
      </c>
      <c r="AP313" t="inlineStr">
        <is>
          <t>TAKE ALL</t>
        </is>
      </c>
    </row>
    <row r="314">
      <c r="A314" t="inlineStr">
        <is>
          <t>B07H5HFTWC</t>
        </is>
      </c>
      <c r="B314" t="inlineStr">
        <is>
          <t>False</t>
        </is>
      </c>
      <c r="C314" t="inlineStr">
        <is>
          <t>B07H5HFTWC</t>
        </is>
      </c>
      <c r="D314" t="inlineStr">
        <is>
          <t>Monopoly</t>
        </is>
      </c>
      <c r="E314" t="inlineStr">
        <is>
          <t>False</t>
        </is>
      </c>
      <c r="F314" t="inlineStr">
        <is>
          <t>Monopoly Deal Quick-Playing Card Game for Families, Kids Ages 8 and Up and 2-5 Players</t>
        </is>
      </c>
      <c r="G314">
        <v>1</v>
      </c>
      <c r="H314" s="2" t="str">
        <f>HYPERLINK("https://www.amazon.com/dp/B07H5HFTWC", "https://www.amazon.com/dp/B07H5HFTWC")</f>
      </c>
      <c r="I314" s="3">
        <v>2076</v>
      </c>
      <c r="J314" s="12">
        <v>-1.8</v>
      </c>
      <c r="K314" s="13">
        <v>-0.2158</v>
      </c>
      <c r="L314" s="13">
        <v>-0.313</v>
      </c>
      <c r="M314" t="inlineStr">
        <is>
          <t>True</t>
        </is>
      </c>
      <c r="N314" t="inlineStr">
        <is>
          <t>Toys &amp; Games</t>
        </is>
      </c>
      <c r="O314" s="6">
        <v>3861</v>
      </c>
      <c r="P314" s="6">
        <v>2378</v>
      </c>
      <c r="Q314" s="6">
        <v>153</v>
      </c>
      <c r="R314" s="6">
        <v>323</v>
      </c>
      <c r="S314" s="7">
        <v>5.75</v>
      </c>
      <c r="T314" s="7">
        <v>8.34</v>
      </c>
      <c r="U314">
        <v>8.92</v>
      </c>
      <c r="V314" s="8">
        <v>0</v>
      </c>
      <c r="W314" s="7">
        <v>0</v>
      </c>
      <c r="X314" s="7">
        <v>0</v>
      </c>
      <c r="Y314">
        <v>0.37</v>
      </c>
      <c r="Z314" s="9">
        <v>0.42</v>
      </c>
      <c r="AB314">
        <v>0</v>
      </c>
      <c r="AC314">
        <v>0</v>
      </c>
      <c r="AD314">
        <v>26</v>
      </c>
      <c r="AE314">
        <v>6</v>
      </c>
      <c r="AF314">
        <v>19</v>
      </c>
      <c r="AG314">
        <v>1</v>
      </c>
      <c r="AH314">
        <v>1</v>
      </c>
      <c r="AI314" t="inlineStr">
        <is>
          <t>False</t>
        </is>
      </c>
      <c r="AJ314" s="2" t="str">
        <f>HYPERLINK("https://keepa.com/#!product/1-B07H5HFTWC", "https://keepa.com/#!product/1-B07H5HFTWC")</f>
      </c>
      <c r="AK314" s="2" t="str">
        <f>HYPERLINK("https://camelcamelcamel.com/search?sq=B07H5HFTWC", "https://camelcamelcamel.com/search?sq=B07H5HFTWC")</f>
      </c>
      <c r="AL314" t="inlineStr">
        <is>
          <t/>
        </is>
      </c>
      <c r="AM314" s="10">
        <v>45417.11111111111</v>
      </c>
      <c r="AN314" t="inlineStr">
        <is>
          <t>Monopoly Deal Quick-Playing Card Game for Families, Kids Ages 8 and Up and 2-5 Players</t>
        </is>
      </c>
      <c r="AO314" t="inlineStr">
        <is>
          <t>8000</t>
        </is>
      </c>
      <c r="AP314" t="inlineStr">
        <is>
          <t>200</t>
        </is>
      </c>
    </row>
    <row r="315">
      <c r="A315" t="inlineStr">
        <is>
          <t>B07H7CMVWH</t>
        </is>
      </c>
      <c r="B315" t="inlineStr">
        <is>
          <t>False</t>
        </is>
      </c>
      <c r="C315" t="inlineStr">
        <is>
          <t>B07H7CMVWH</t>
        </is>
      </c>
      <c r="D315" t="inlineStr">
        <is>
          <t>iRobot</t>
        </is>
      </c>
      <c r="E315" t="inlineStr">
        <is>
          <t>False</t>
        </is>
      </c>
      <c r="F315" t="inlineStr">
        <is>
          <t>iRobot Roomba Authentic Replacement Parts - Roomba e, i, &amp; j Series Replenishment Kit, (3 High-Efficiency Filters, 3 Edge-Sweeping Brushes, and 1 Set of Multi-Surface Rubber Brushes),Green - 4639168</t>
        </is>
      </c>
      <c r="G315">
        <v>1</v>
      </c>
      <c r="H315" s="2" t="str">
        <f>HYPERLINK("https://www.amazon.com/dp/B07H7CMVWH", "https://www.amazon.com/dp/B07H7CMVWH")</f>
      </c>
      <c r="I315" s="3">
        <v>970</v>
      </c>
      <c r="J315" s="4">
        <v>11.93</v>
      </c>
      <c r="K315" s="5">
        <v>0.19879999999999998</v>
      </c>
      <c r="L315" s="15">
        <v>0.35090000000000005</v>
      </c>
      <c r="M315" t="inlineStr">
        <is>
          <t>True</t>
        </is>
      </c>
      <c r="N315" t="inlineStr">
        <is>
          <t>Home &amp; Kitchen</t>
        </is>
      </c>
      <c r="O315" s="6">
        <v>27310</v>
      </c>
      <c r="P315" s="6">
        <v>39943</v>
      </c>
      <c r="Q315" s="6">
        <v>17646</v>
      </c>
      <c r="R315" s="6">
        <v>190</v>
      </c>
      <c r="S315" s="7">
        <v>34</v>
      </c>
      <c r="T315" s="7">
        <v>60</v>
      </c>
      <c r="U315">
        <v>63.25</v>
      </c>
      <c r="V315" s="8">
        <v>0</v>
      </c>
      <c r="W315" s="7">
        <v>0</v>
      </c>
      <c r="X315" s="7">
        <v>0</v>
      </c>
      <c r="Y315">
        <v>0.49</v>
      </c>
      <c r="Z315" s="8">
        <v>0</v>
      </c>
      <c r="AB315">
        <v>0</v>
      </c>
      <c r="AC315">
        <v>0</v>
      </c>
      <c r="AD315">
        <v>7</v>
      </c>
      <c r="AE315">
        <v>7</v>
      </c>
      <c r="AF315">
        <v>0</v>
      </c>
      <c r="AG315">
        <v>4</v>
      </c>
      <c r="AH315">
        <v>0</v>
      </c>
      <c r="AI315" t="inlineStr">
        <is>
          <t>False</t>
        </is>
      </c>
      <c r="AJ315" s="2" t="str">
        <f>HYPERLINK("https://keepa.com/#!product/1-B07H7CMVWH", "https://keepa.com/#!product/1-B07H7CMVWH")</f>
      </c>
      <c r="AK315" s="2" t="str">
        <f>HYPERLINK("https://camelcamelcamel.com/search?sq=B07H7CMVWH", "https://camelcamelcamel.com/search?sq=B07H7CMVWH")</f>
      </c>
      <c r="AL315" t="inlineStr">
        <is>
          <t/>
        </is>
      </c>
      <c r="AM315" s="10">
        <v>45417.11111111111</v>
      </c>
      <c r="AN315" t="inlineStr">
        <is>
          <t>iRobot Roomba Authentic Replacement Parts - Roomba e, i, &amp; j Series Replenishment Kit, (3 High-Efficiency Filters, 3 Edge-Sweeping Brushes, and 1 Set of Multi-Surface Rubber Brushes),Green - 4639168</t>
        </is>
      </c>
      <c r="AO315" t="inlineStr">
        <is>
          <t>500</t>
        </is>
      </c>
      <c r="AP315" t="inlineStr">
        <is>
          <t>TAKE ALL</t>
        </is>
      </c>
    </row>
    <row r="316">
      <c r="A316" t="inlineStr">
        <is>
          <t>B07HBNC1PL</t>
        </is>
      </c>
      <c r="B316" t="inlineStr">
        <is>
          <t>False</t>
        </is>
      </c>
      <c r="C316" t="inlineStr">
        <is>
          <t>B07HBNC1PL</t>
        </is>
      </c>
      <c r="D316" t="inlineStr">
        <is>
          <t>GE</t>
        </is>
      </c>
      <c r="E316" t="inlineStr">
        <is>
          <t>False</t>
        </is>
      </c>
      <c r="F316" t="inlineStr">
        <is>
          <t>GE Classic 2-Pack 50 W Equivalent Dimmable Warm White Par20 LED Light Fixture Light Bulbs</t>
        </is>
      </c>
      <c r="G316">
        <v>2</v>
      </c>
      <c r="H316" s="2" t="str">
        <f>HYPERLINK("https://www.amazon.com/dp/B07HBNC1PL", "https://www.amazon.com/dp/B07HBNC1PL")</f>
      </c>
      <c r="I316" s="3">
        <v>217</v>
      </c>
      <c r="J316" s="12">
        <v>-4.15</v>
      </c>
      <c r="K316" s="13">
        <v>-0.28059999999999996</v>
      </c>
      <c r="L316" s="13">
        <v>-0.32420000000000004</v>
      </c>
      <c r="M316" t="inlineStr">
        <is>
          <t>True</t>
        </is>
      </c>
      <c r="N316" t="inlineStr">
        <is>
          <t>Industrial &amp; Scientific</t>
        </is>
      </c>
      <c r="O316" s="6">
        <v>17332</v>
      </c>
      <c r="P316" s="6">
        <v>19475</v>
      </c>
      <c r="Q316" s="6">
        <v>8706</v>
      </c>
      <c r="R316" s="6">
        <v>72</v>
      </c>
      <c r="S316" s="7">
        <v>6.4</v>
      </c>
      <c r="T316" s="7">
        <v>14.79</v>
      </c>
      <c r="U316">
        <v>15.07</v>
      </c>
      <c r="V316" s="8">
        <v>0</v>
      </c>
      <c r="W316" s="7">
        <v>0</v>
      </c>
      <c r="X316" s="7">
        <v>0</v>
      </c>
      <c r="Y316">
        <v>0.49</v>
      </c>
      <c r="Z316" s="8">
        <v>0</v>
      </c>
      <c r="AB316">
        <v>0</v>
      </c>
      <c r="AC316">
        <v>0</v>
      </c>
      <c r="AD316">
        <v>6</v>
      </c>
      <c r="AE316">
        <v>6</v>
      </c>
      <c r="AF316">
        <v>0</v>
      </c>
      <c r="AG316">
        <v>4</v>
      </c>
      <c r="AH316">
        <v>2</v>
      </c>
      <c r="AI316" t="inlineStr">
        <is>
          <t>False</t>
        </is>
      </c>
      <c r="AJ316" s="2" t="str">
        <f>HYPERLINK("https://keepa.com/#!product/1-B07HBNC1PL", "https://keepa.com/#!product/1-B07HBNC1PL")</f>
      </c>
      <c r="AK316" s="2" t="str">
        <f>HYPERLINK("https://camelcamelcamel.com/search?sq=B07HBNC1PL", "https://camelcamelcamel.com/search?sq=B07HBNC1PL")</f>
      </c>
      <c r="AL316" t="inlineStr">
        <is>
          <t/>
        </is>
      </c>
      <c r="AM316" s="10">
        <v>45417.11111111111</v>
      </c>
      <c r="AN316" t="inlineStr">
        <is>
          <t>GE Classic 2-Pack 50 W Equivalent Dimmable Warm White Par20 LED Light Fixture Light Bulbs</t>
        </is>
      </c>
      <c r="AO316" t="inlineStr">
        <is>
          <t>19000</t>
        </is>
      </c>
      <c r="AP316" t="inlineStr">
        <is>
          <t>1920</t>
        </is>
      </c>
    </row>
    <row r="317">
      <c r="A317" t="inlineStr">
        <is>
          <t>B07HJS45XQ</t>
        </is>
      </c>
      <c r="B317" t="inlineStr">
        <is>
          <t>False</t>
        </is>
      </c>
      <c r="C317" t="inlineStr">
        <is>
          <t>B07HJS45XQ</t>
        </is>
      </c>
      <c r="D317" t="inlineStr">
        <is>
          <t>iRobot</t>
        </is>
      </c>
      <c r="E317" t="inlineStr">
        <is>
          <t>False</t>
        </is>
      </c>
      <c r="F317" t="inlineStr">
        <is>
          <t>iRobot Authentic Replacement Parts - 3-Pack Dirt Disposal Bags Compatible with Roomba Clean Base Models i1+, i3+, i4+, i5+, i7+, i8+, Combo j8+, j9+</t>
        </is>
      </c>
      <c r="G317">
        <v>1</v>
      </c>
      <c r="H317" s="2" t="str">
        <f>HYPERLINK("https://www.amazon.com/dp/B07HJS45XQ", "https://www.amazon.com/dp/B07HJS45XQ")</f>
      </c>
      <c r="I317" s="3">
        <v>17724</v>
      </c>
      <c r="J317" s="11">
        <v>1.53</v>
      </c>
      <c r="K317" s="5">
        <v>0.09570000000000001</v>
      </c>
      <c r="L317" s="5">
        <v>0.2186</v>
      </c>
      <c r="M317" t="inlineStr">
        <is>
          <t>True</t>
        </is>
      </c>
      <c r="N317" t="inlineStr">
        <is>
          <t>Home &amp; Kitchen</t>
        </is>
      </c>
      <c r="O317" s="6">
        <v>238</v>
      </c>
      <c r="P317" s="6">
        <v>238</v>
      </c>
      <c r="Q317" s="6">
        <v>163</v>
      </c>
      <c r="R317" s="6">
        <v>286</v>
      </c>
      <c r="S317" s="7">
        <v>7</v>
      </c>
      <c r="T317" s="7">
        <v>15.99</v>
      </c>
      <c r="U317">
        <v>16.07</v>
      </c>
      <c r="V317" s="8">
        <v>0</v>
      </c>
      <c r="W317" s="7">
        <v>0</v>
      </c>
      <c r="X317" s="7">
        <v>0</v>
      </c>
      <c r="Y317">
        <v>0.35</v>
      </c>
      <c r="Z317" s="9">
        <v>1</v>
      </c>
      <c r="AB317">
        <v>0</v>
      </c>
      <c r="AC317">
        <v>0</v>
      </c>
      <c r="AD317">
        <v>10</v>
      </c>
      <c r="AE317">
        <v>2</v>
      </c>
      <c r="AF317">
        <v>4</v>
      </c>
      <c r="AG317">
        <v>1</v>
      </c>
      <c r="AH317">
        <v>0</v>
      </c>
      <c r="AI317" t="inlineStr">
        <is>
          <t>False</t>
        </is>
      </c>
      <c r="AJ317" s="2" t="str">
        <f>HYPERLINK("https://keepa.com/#!product/1-B07HJS45XQ", "https://keepa.com/#!product/1-B07HJS45XQ")</f>
      </c>
      <c r="AK317" s="2" t="str">
        <f>HYPERLINK("https://camelcamelcamel.com/search?sq=B07HJS45XQ", "https://camelcamelcamel.com/search?sq=B07HJS45XQ")</f>
      </c>
      <c r="AL317" t="inlineStr">
        <is>
          <t/>
        </is>
      </c>
      <c r="AM317" s="10">
        <v>45417.11111111111</v>
      </c>
      <c r="AN317" t="inlineStr">
        <is>
          <t>iRobot Authentic Replacement Parts - 3-Pack Dirt Disposal Bags Compatible with Roomba Clean Base Models i1+, i3+, i4+, i5+, i7+, i8+, Combo j8+, j9+</t>
        </is>
      </c>
      <c r="AO317" t="inlineStr">
        <is>
          <t>1000</t>
        </is>
      </c>
      <c r="AP317" t="inlineStr">
        <is>
          <t>TAKE ALL</t>
        </is>
      </c>
    </row>
    <row r="318">
      <c r="A318" t="inlineStr">
        <is>
          <t>B07HKC1J8Q</t>
        </is>
      </c>
      <c r="B318" t="inlineStr">
        <is>
          <t>False</t>
        </is>
      </c>
      <c r="C318" t="inlineStr">
        <is>
          <t>B07HKC1J8Q</t>
        </is>
      </c>
      <c r="D318" t="inlineStr">
        <is>
          <t>SWANN-MORTON</t>
        </is>
      </c>
      <c r="E318" t="inlineStr">
        <is>
          <t>False</t>
        </is>
      </c>
      <c r="F318" t="inlineStr">
        <is>
          <t>Swann-Morton #10R Sterile Surgical Blades, Stainless Steel [Individually Packed, Box of 100]</t>
        </is>
      </c>
      <c r="G318">
        <v>1</v>
      </c>
      <c r="H318" s="2" t="str">
        <f>HYPERLINK("https://www.amazon.com/dp/B07HKC1J8Q", "https://www.amazon.com/dp/B07HKC1J8Q")</f>
      </c>
      <c r="I318" s="3">
        <v>2222</v>
      </c>
      <c r="J318" s="4">
        <v>6.85</v>
      </c>
      <c r="K318" s="5">
        <v>0.1957</v>
      </c>
      <c r="L318" s="15">
        <v>0.3605</v>
      </c>
      <c r="M318" t="inlineStr">
        <is>
          <t>True</t>
        </is>
      </c>
      <c r="N318" t="inlineStr">
        <is>
          <t>Industrial &amp; Scientific</t>
        </is>
      </c>
      <c r="O318" s="6">
        <v>1486</v>
      </c>
      <c r="P318" s="6">
        <v>1671</v>
      </c>
      <c r="Q318" s="6">
        <v>991</v>
      </c>
      <c r="R318" s="6">
        <v>294</v>
      </c>
      <c r="S318" s="7">
        <v>19</v>
      </c>
      <c r="T318" s="7">
        <v>35</v>
      </c>
      <c r="U318">
        <v>35.19</v>
      </c>
      <c r="V318" s="8">
        <v>0</v>
      </c>
      <c r="W318" s="7">
        <v>0</v>
      </c>
      <c r="X318" s="7">
        <v>0</v>
      </c>
      <c r="Y318">
        <v>0.29</v>
      </c>
      <c r="Z318" s="8">
        <v>0</v>
      </c>
      <c r="AB318">
        <v>0</v>
      </c>
      <c r="AC318">
        <v>0</v>
      </c>
      <c r="AD318">
        <v>20</v>
      </c>
      <c r="AE318">
        <v>13</v>
      </c>
      <c r="AF318">
        <v>7</v>
      </c>
      <c r="AG318">
        <v>7</v>
      </c>
      <c r="AH318">
        <v>0</v>
      </c>
      <c r="AI318" t="inlineStr">
        <is>
          <t>False</t>
        </is>
      </c>
      <c r="AJ318" s="2" t="str">
        <f>HYPERLINK("https://keepa.com/#!product/1-B07HKC1J8Q", "https://keepa.com/#!product/1-B07HKC1J8Q")</f>
      </c>
      <c r="AK318" s="2" t="str">
        <f>HYPERLINK("https://camelcamelcamel.com/search?sq=B07HKC1J8Q", "https://camelcamelcamel.com/search?sq=B07HKC1J8Q")</f>
      </c>
      <c r="AL318" t="inlineStr">
        <is>
          <t/>
        </is>
      </c>
      <c r="AM318" s="10">
        <v>45417.11111111111</v>
      </c>
      <c r="AN318" t="inlineStr">
        <is>
          <t>Swann-Morton #10R Sterile Surgical Blades, Stainless Steel [Individually Packed, Box of 100</t>
        </is>
      </c>
      <c r="AO318" t="inlineStr">
        <is>
          <t>300</t>
        </is>
      </c>
      <c r="AP318" t="inlineStr">
        <is>
          <t>TAKE ALL</t>
        </is>
      </c>
    </row>
    <row r="319">
      <c r="A319" t="inlineStr">
        <is>
          <t>B07HKNPCM1</t>
        </is>
      </c>
      <c r="B319" t="inlineStr">
        <is>
          <t>False</t>
        </is>
      </c>
      <c r="C319" t="inlineStr">
        <is>
          <t>B07HKNPCM1</t>
        </is>
      </c>
      <c r="D319" t="inlineStr">
        <is>
          <t>Milk-Bone</t>
        </is>
      </c>
      <c r="E319" t="inlineStr">
        <is>
          <t>False</t>
        </is>
      </c>
      <c r="F319" t="inlineStr">
        <is>
          <t>.Milk-Bone Soft &amp; Chewy Dog Snacks (Beef &amp; Filet Mignon Recipe) 37oz (2-Pack (37oz))</t>
        </is>
      </c>
      <c r="G319">
        <v>1</v>
      </c>
      <c r="H319" s="2" t="str">
        <f>HYPERLINK("https://www.amazon.com/dp/B07HKNPCM1", "https://www.amazon.com/dp/B07HKNPCM1")</f>
      </c>
      <c r="I319" s="3">
        <v>1356</v>
      </c>
      <c r="J319" s="4">
        <v>4.77</v>
      </c>
      <c r="K319" s="5">
        <v>0.129</v>
      </c>
      <c r="L319" s="5">
        <v>0.2544</v>
      </c>
      <c r="M319" t="inlineStr">
        <is>
          <t>True</t>
        </is>
      </c>
      <c r="N319" t="inlineStr">
        <is>
          <t>Pet Supplies</t>
        </is>
      </c>
      <c r="O319" s="6">
        <v>6045</v>
      </c>
      <c r="P319" s="6">
        <v>4383</v>
      </c>
      <c r="Q319" s="6">
        <v>570</v>
      </c>
      <c r="R319" s="6">
        <v>321</v>
      </c>
      <c r="S319" s="7">
        <v>18.75</v>
      </c>
      <c r="T319" s="7">
        <v>36.99</v>
      </c>
      <c r="U319">
        <v>39.93</v>
      </c>
      <c r="V319" s="8">
        <v>0</v>
      </c>
      <c r="W319" s="7">
        <v>0</v>
      </c>
      <c r="X319" s="7">
        <v>0</v>
      </c>
      <c r="Y319">
        <v>5.05</v>
      </c>
      <c r="Z319" s="8">
        <v>0</v>
      </c>
      <c r="AB319">
        <v>0</v>
      </c>
      <c r="AC319">
        <v>0</v>
      </c>
      <c r="AD319">
        <v>55</v>
      </c>
      <c r="AE319">
        <v>8</v>
      </c>
      <c r="AF319">
        <v>47</v>
      </c>
      <c r="AG319">
        <v>4</v>
      </c>
      <c r="AH319">
        <v>0</v>
      </c>
      <c r="AI319" t="inlineStr">
        <is>
          <t>False</t>
        </is>
      </c>
      <c r="AJ319" s="2" t="str">
        <f>HYPERLINK("https://keepa.com/#!product/1-B07HKNPCM1", "https://keepa.com/#!product/1-B07HKNPCM1")</f>
      </c>
      <c r="AK319" s="2" t="str">
        <f>HYPERLINK("https://camelcamelcamel.com/search?sq=B07HKNPCM1", "https://camelcamelcamel.com/search?sq=B07HKNPCM1")</f>
      </c>
      <c r="AL319" t="inlineStr">
        <is>
          <t/>
        </is>
      </c>
      <c r="AM319" s="10">
        <v>45417.11111111111</v>
      </c>
      <c r="AN319" t="inlineStr">
        <is>
          <t>Milk-Bone Soft &amp; Chewy Dog Snacks (Beef &amp; Filet Mignon Recipe) 37oz (2-Pack (37oz))</t>
        </is>
      </c>
      <c r="AO319" t="inlineStr">
        <is>
          <t>1200</t>
        </is>
      </c>
      <c r="AP319" t="inlineStr">
        <is>
          <t>600</t>
        </is>
      </c>
    </row>
    <row r="320">
      <c r="A320" t="inlineStr">
        <is>
          <t>B07J2JDQQ3</t>
        </is>
      </c>
      <c r="B320" t="inlineStr">
        <is>
          <t>False</t>
        </is>
      </c>
      <c r="C320" t="inlineStr">
        <is>
          <t>B07J2JDQQ3</t>
        </is>
      </c>
      <c r="D320" t="inlineStr">
        <is>
          <t>NOW</t>
        </is>
      </c>
      <c r="E320" t="inlineStr">
        <is>
          <t>False</t>
        </is>
      </c>
      <c r="F320" t="inlineStr">
        <is>
          <t>NOW Supplements, Activated Charcoal Made from Coconut Shells, Non-GMO Project Verified, Detox Support*, 200 Veg Capsules</t>
        </is>
      </c>
      <c r="G320">
        <v>1</v>
      </c>
      <c r="H320" s="2" t="str">
        <f>HYPERLINK("https://www.amazon.com/dp/B07J2JDQQ3", "https://www.amazon.com/dp/B07J2JDQQ3")</f>
      </c>
      <c r="I320" s="3">
        <v>2181</v>
      </c>
      <c r="J320" s="11">
        <v>1.24</v>
      </c>
      <c r="K320" s="5">
        <v>0.0801</v>
      </c>
      <c r="L320" s="5">
        <v>0.155</v>
      </c>
      <c r="M320" t="inlineStr">
        <is>
          <t>True</t>
        </is>
      </c>
      <c r="N320" t="inlineStr">
        <is>
          <t>Health &amp; Household</t>
        </is>
      </c>
      <c r="O320" s="6">
        <v>11806</v>
      </c>
      <c r="P320" s="6">
        <v>10402</v>
      </c>
      <c r="Q320" s="6">
        <v>6542</v>
      </c>
      <c r="R320" s="6">
        <v>162</v>
      </c>
      <c r="S320" s="7">
        <v>8</v>
      </c>
      <c r="T320" s="7">
        <v>15.48</v>
      </c>
      <c r="U320">
        <v>14.6</v>
      </c>
      <c r="V320" s="8">
        <v>0</v>
      </c>
      <c r="W320" s="7">
        <v>0</v>
      </c>
      <c r="X320" s="7">
        <v>0</v>
      </c>
      <c r="Y320">
        <v>0.33</v>
      </c>
      <c r="Z320" s="9">
        <v>1</v>
      </c>
      <c r="AB320">
        <v>0</v>
      </c>
      <c r="AC320">
        <v>0</v>
      </c>
      <c r="AD320">
        <v>9</v>
      </c>
      <c r="AE320">
        <v>1</v>
      </c>
      <c r="AF320">
        <v>8</v>
      </c>
      <c r="AG320">
        <v>1</v>
      </c>
      <c r="AH320">
        <v>0</v>
      </c>
      <c r="AI320" t="inlineStr">
        <is>
          <t>False</t>
        </is>
      </c>
      <c r="AJ320" s="2" t="str">
        <f>HYPERLINK("https://keepa.com/#!product/1-B07J2JDQQ3", "https://keepa.com/#!product/1-B07J2JDQQ3")</f>
      </c>
      <c r="AK320" s="2" t="str">
        <f>HYPERLINK("https://camelcamelcamel.com/search?sq=B07J2JDQQ3", "https://camelcamelcamel.com/search?sq=B07J2JDQQ3")</f>
      </c>
      <c r="AL320" t="inlineStr">
        <is>
          <t/>
        </is>
      </c>
      <c r="AM320" s="10">
        <v>45417.11111111111</v>
      </c>
      <c r="AN320" t="inlineStr">
        <is>
          <t>NOW Supplements, Activated Charcoal Made from Coconut Shells, Non-GMO Project Verified, Detox Support*, 200 Veg Capsules</t>
        </is>
      </c>
      <c r="AO320" t="inlineStr">
        <is>
          <t>360</t>
        </is>
      </c>
      <c r="AP320" t="inlineStr">
        <is>
          <t>TAKE ALL</t>
        </is>
      </c>
    </row>
    <row r="321">
      <c r="A321" t="inlineStr">
        <is>
          <t>B07J38NVWM</t>
        </is>
      </c>
      <c r="B321" t="inlineStr">
        <is>
          <t>False</t>
        </is>
      </c>
      <c r="C321" t="inlineStr">
        <is>
          <t>B07J38NVWM</t>
        </is>
      </c>
      <c r="D321" t="inlineStr">
        <is>
          <t>Gatorade</t>
        </is>
      </c>
      <c r="E321" t="inlineStr">
        <is>
          <t>False</t>
        </is>
      </c>
      <c r="F321" t="inlineStr">
        <is>
          <t>Gatorade Towel, 24" x 42", Sold Individually , White - 49090</t>
        </is>
      </c>
      <c r="G321">
        <v>1</v>
      </c>
      <c r="H321" s="2" t="str">
        <f>HYPERLINK("https://www.amazon.com/dp/B07J38NVWM", "https://www.amazon.com/dp/B07J38NVWM")</f>
      </c>
      <c r="I321" s="3">
        <v>140</v>
      </c>
      <c r="J321" s="11">
        <v>3.2</v>
      </c>
      <c r="K321" s="5">
        <v>0.16820000000000002</v>
      </c>
      <c r="L321" s="15">
        <v>0.4267</v>
      </c>
      <c r="M321" t="inlineStr">
        <is>
          <t>True</t>
        </is>
      </c>
      <c r="N321" t="inlineStr">
        <is>
          <t>Sports &amp; Outdoors</t>
        </is>
      </c>
      <c r="O321" s="6">
        <v>45278</v>
      </c>
      <c r="P321" s="6">
        <v>79112</v>
      </c>
      <c r="Q321" s="6">
        <v>30491</v>
      </c>
      <c r="R321" s="6">
        <v>94</v>
      </c>
      <c r="S321" s="7">
        <v>7.5</v>
      </c>
      <c r="T321" s="7">
        <v>19.02</v>
      </c>
      <c r="U321">
        <v>19.21</v>
      </c>
      <c r="V321" s="8">
        <v>0</v>
      </c>
      <c r="W321" s="7">
        <v>0</v>
      </c>
      <c r="X321" s="7">
        <v>0</v>
      </c>
      <c r="Y321">
        <v>0.51</v>
      </c>
      <c r="Z321" s="9">
        <v>0.98</v>
      </c>
      <c r="AB321">
        <v>0</v>
      </c>
      <c r="AC321">
        <v>0</v>
      </c>
      <c r="AD321">
        <v>3</v>
      </c>
      <c r="AE321">
        <v>3</v>
      </c>
      <c r="AF321">
        <v>0</v>
      </c>
      <c r="AG321">
        <v>3</v>
      </c>
      <c r="AH321">
        <v>0</v>
      </c>
      <c r="AI321" t="inlineStr">
        <is>
          <t>False</t>
        </is>
      </c>
      <c r="AJ321" s="2" t="str">
        <f>HYPERLINK("https://keepa.com/#!product/1-B07J38NVWM", "https://keepa.com/#!product/1-B07J38NVWM")</f>
      </c>
      <c r="AK321" s="2" t="str">
        <f>HYPERLINK("https://camelcamelcamel.com/search?sq=B07J38NVWM", "https://camelcamelcamel.com/search?sq=B07J38NVWM")</f>
      </c>
      <c r="AL321" t="inlineStr">
        <is>
          <t/>
        </is>
      </c>
      <c r="AM321" s="10">
        <v>45417.11111111111</v>
      </c>
      <c r="AN321" t="inlineStr">
        <is>
          <t>Gatorade Towel, 24" x 42", Sold Individually , White - 49090</t>
        </is>
      </c>
      <c r="AO321" t="inlineStr">
        <is>
          <t>3000</t>
        </is>
      </c>
      <c r="AP321" t="inlineStr">
        <is>
          <t>1000</t>
        </is>
      </c>
    </row>
    <row r="322">
      <c r="A322" t="inlineStr">
        <is>
          <t>B07J6FWK57</t>
        </is>
      </c>
      <c r="B322" t="inlineStr">
        <is>
          <t>False</t>
        </is>
      </c>
      <c r="C322" t="inlineStr">
        <is>
          <t>B07J6FWK57</t>
        </is>
      </c>
      <c r="D322" t="inlineStr">
        <is>
          <t>HUSSELL</t>
        </is>
      </c>
      <c r="E322" t="inlineStr">
        <is>
          <t>False</t>
        </is>
      </c>
      <c r="F322" t="inlineStr">
        <is>
          <t>Hussell Car Charger Adapter - 3.0 Portable USB w/Fast Charge Technology &amp; Dual Ports - Compatible w/Apple iPhone, Android, Tablet or Other USB Device - White Elephant, Stocking Stuffers</t>
        </is>
      </c>
      <c r="G322">
        <v>1</v>
      </c>
      <c r="H322" s="2" t="str">
        <f>HYPERLINK("https://www.amazon.com/dp/B07J6FWK57", "https://www.amazon.com/dp/B07J6FWK57")</f>
      </c>
      <c r="I322" s="3">
        <v>810</v>
      </c>
      <c r="J322" s="11">
        <v>3.59</v>
      </c>
      <c r="K322" s="5">
        <v>0.2177</v>
      </c>
      <c r="L322" s="15">
        <v>0.5318999999999999</v>
      </c>
      <c r="M322" t="inlineStr">
        <is>
          <t>True</t>
        </is>
      </c>
      <c r="N322" t="inlineStr">
        <is>
          <t>Cell Phones &amp; Accessories</t>
        </is>
      </c>
      <c r="O322" s="6">
        <v>5751</v>
      </c>
      <c r="P322" s="6">
        <v>4144</v>
      </c>
      <c r="Q322" s="6">
        <v>1682</v>
      </c>
      <c r="R322" s="6">
        <v>303</v>
      </c>
      <c r="S322" s="7">
        <v>6.75</v>
      </c>
      <c r="T322" s="7">
        <v>16.49</v>
      </c>
      <c r="U322">
        <v>13.4</v>
      </c>
      <c r="V322" s="8">
        <v>0</v>
      </c>
      <c r="W322" s="7">
        <v>0</v>
      </c>
      <c r="X322" s="7">
        <v>0</v>
      </c>
      <c r="Y322">
        <v>0.07</v>
      </c>
      <c r="Z322" s="8">
        <v>0</v>
      </c>
      <c r="AB322">
        <v>0</v>
      </c>
      <c r="AC322">
        <v>0</v>
      </c>
      <c r="AD322">
        <v>1</v>
      </c>
      <c r="AE322">
        <v>1</v>
      </c>
      <c r="AF322">
        <v>0</v>
      </c>
      <c r="AG322">
        <v>1</v>
      </c>
      <c r="AH322">
        <v>0</v>
      </c>
      <c r="AI322" t="inlineStr">
        <is>
          <t>False</t>
        </is>
      </c>
      <c r="AJ322" s="2" t="str">
        <f>HYPERLINK("https://keepa.com/#!product/1-B07J6FWK57", "https://keepa.com/#!product/1-B07J6FWK57")</f>
      </c>
      <c r="AK322" s="2" t="str">
        <f>HYPERLINK("https://camelcamelcamel.com/search?sq=B07J6FWK57", "https://camelcamelcamel.com/search?sq=B07J6FWK57")</f>
      </c>
      <c r="AL322" t="inlineStr">
        <is>
          <t/>
        </is>
      </c>
      <c r="AM322" s="10">
        <v>45417.11111111111</v>
      </c>
      <c r="AN322" t="inlineStr">
        <is>
          <t>Hussell Car Charger Adapter - 3.0 Portable USB w/Fast Charge Technology &amp; Dual Ports - Compatible w/Apple iPhone, Android, Tablet or Other USB Device - White Elephant, Stocking Stuffers</t>
        </is>
      </c>
      <c r="AO322" t="inlineStr">
        <is>
          <t>1000</t>
        </is>
      </c>
      <c r="AP322" t="inlineStr">
        <is>
          <t>500</t>
        </is>
      </c>
    </row>
    <row r="323">
      <c r="A323" t="inlineStr">
        <is>
          <t>B07JVC5GVV</t>
        </is>
      </c>
      <c r="B323" t="inlineStr">
        <is>
          <t>False</t>
        </is>
      </c>
      <c r="C323" t="inlineStr">
        <is>
          <t>B07JVC5GVV</t>
        </is>
      </c>
      <c r="D323" t="inlineStr">
        <is>
          <t>Purina Puppy Chow</t>
        </is>
      </c>
      <c r="E323" t="inlineStr">
        <is>
          <t>False</t>
        </is>
      </c>
      <c r="F323" t="inlineStr">
        <is>
          <t>Purina Puppy Chow Training Treats, Healthy Start Salmon Treats - (5) 7 oz. Pouches</t>
        </is>
      </c>
      <c r="G323">
        <v>1</v>
      </c>
      <c r="H323" s="2" t="str">
        <f>HYPERLINK("https://www.amazon.com/dp/B07JVC5GVV", "https://www.amazon.com/dp/B07JVC5GVV")</f>
      </c>
      <c r="I323" s="3">
        <v>406</v>
      </c>
      <c r="J323" s="12">
        <v>-4.28</v>
      </c>
      <c r="K323" s="13">
        <v>-0.3297</v>
      </c>
      <c r="L323" s="13">
        <v>-0.5035000000000001</v>
      </c>
      <c r="M323" t="inlineStr">
        <is>
          <t>True</t>
        </is>
      </c>
      <c r="N323" t="inlineStr">
        <is>
          <t>Pet Supplies</t>
        </is>
      </c>
      <c r="O323" s="6">
        <v>15453</v>
      </c>
      <c r="P323" s="6">
        <v>66171</v>
      </c>
      <c r="Q323" s="6">
        <v>12573</v>
      </c>
      <c r="R323" s="6">
        <v>122</v>
      </c>
      <c r="S323" s="7">
        <v>8.5</v>
      </c>
      <c r="T323" s="7">
        <v>12.98</v>
      </c>
      <c r="U323">
        <v>14.25</v>
      </c>
      <c r="V323" s="8">
        <v>0</v>
      </c>
      <c r="W323" s="7">
        <v>0</v>
      </c>
      <c r="X323" s="7">
        <v>0</v>
      </c>
      <c r="Y323">
        <v>2.76</v>
      </c>
      <c r="Z323" s="8">
        <v>0</v>
      </c>
      <c r="AB323">
        <v>0</v>
      </c>
      <c r="AC323">
        <v>0</v>
      </c>
      <c r="AD323">
        <v>14</v>
      </c>
      <c r="AE323">
        <v>7</v>
      </c>
      <c r="AF323">
        <v>7</v>
      </c>
      <c r="AG323">
        <v>1</v>
      </c>
      <c r="AH323">
        <v>0</v>
      </c>
      <c r="AI323" t="inlineStr">
        <is>
          <t>False</t>
        </is>
      </c>
      <c r="AJ323" s="2" t="str">
        <f>HYPERLINK("https://keepa.com/#!product/1-B07JVC5GVV", "https://keepa.com/#!product/1-B07JVC5GVV")</f>
      </c>
      <c r="AK323" s="2" t="str">
        <f>HYPERLINK("https://camelcamelcamel.com/search?sq=B07JVC5GVV", "https://camelcamelcamel.com/search?sq=B07JVC5GVV")</f>
      </c>
      <c r="AL323" t="inlineStr">
        <is>
          <t/>
        </is>
      </c>
      <c r="AM323" s="10">
        <v>45417.11111111111</v>
      </c>
      <c r="AN323" t="inlineStr">
        <is>
          <t>Purina Puppy Chow Training Treats, Healthy Start Salmon Treats - (5) 7 oz. Pouches</t>
        </is>
      </c>
      <c r="AO323" t="inlineStr">
        <is>
          <t>300</t>
        </is>
      </c>
      <c r="AP323" t="inlineStr">
        <is>
          <t>TAKE ALL</t>
        </is>
      </c>
    </row>
    <row r="324">
      <c r="A324" t="inlineStr">
        <is>
          <t>B07K37R4VF</t>
        </is>
      </c>
      <c r="B324" t="inlineStr">
        <is>
          <t>False</t>
        </is>
      </c>
      <c r="C324" t="inlineStr">
        <is>
          <t>B07K37R4VF</t>
        </is>
      </c>
      <c r="D324" t="inlineStr">
        <is>
          <t>KOS</t>
        </is>
      </c>
      <c r="E324" t="inlineStr">
        <is>
          <t>False</t>
        </is>
      </c>
      <c r="F324" t="inlineStr">
        <is>
          <t>KOS Organic Inulin Powder, Unflavored &amp; Unsweetened Superfood - Vegan Inulin for Prebiotic Intestinal Support, Digestive Health Promoting - USDA Certified, Non-GMO, Soy &amp; Gluten-Free, 112 Servings Bag</t>
        </is>
      </c>
      <c r="G324">
        <v>1</v>
      </c>
      <c r="H324" s="2" t="str">
        <f>HYPERLINK("https://www.amazon.com/dp/B07K37R4VF", "https://www.amazon.com/dp/B07K37R4VF")</f>
      </c>
      <c r="I324" s="3">
        <v>819</v>
      </c>
      <c r="J324" s="11">
        <v>0.83</v>
      </c>
      <c r="K324" s="5">
        <v>0.0492</v>
      </c>
      <c r="L324" s="5">
        <v>0.09269999999999999</v>
      </c>
      <c r="M324" t="inlineStr">
        <is>
          <t>True</t>
        </is>
      </c>
      <c r="N324" t="inlineStr">
        <is>
          <t>Health &amp; Household</t>
        </is>
      </c>
      <c r="O324" s="6">
        <v>26158</v>
      </c>
      <c r="P324" s="6">
        <v>30085</v>
      </c>
      <c r="Q324" s="6">
        <v>11839</v>
      </c>
      <c r="R324" s="6">
        <v>185</v>
      </c>
      <c r="S324" s="7">
        <v>8.95</v>
      </c>
      <c r="T324" s="7">
        <v>16.88</v>
      </c>
      <c r="U324">
        <v>17.29</v>
      </c>
      <c r="V324" s="8">
        <v>0</v>
      </c>
      <c r="W324" s="7">
        <v>0</v>
      </c>
      <c r="X324" s="7">
        <v>0</v>
      </c>
      <c r="Y324">
        <v>0.97</v>
      </c>
      <c r="Z324" s="8">
        <v>0</v>
      </c>
      <c r="AB324">
        <v>0</v>
      </c>
      <c r="AC324">
        <v>0</v>
      </c>
      <c r="AD324">
        <v>6</v>
      </c>
      <c r="AE324">
        <v>5</v>
      </c>
      <c r="AF324">
        <v>1</v>
      </c>
      <c r="AG324">
        <v>5</v>
      </c>
      <c r="AH324">
        <v>0</v>
      </c>
      <c r="AI324" t="inlineStr">
        <is>
          <t>False</t>
        </is>
      </c>
      <c r="AJ324" s="2" t="str">
        <f>HYPERLINK("https://keepa.com/#!product/1-B07K37R4VF", "https://keepa.com/#!product/1-B07K37R4VF")</f>
      </c>
      <c r="AK324" s="2" t="str">
        <f>HYPERLINK("https://camelcamelcamel.com/search?sq=B07K37R4VF", "https://camelcamelcamel.com/search?sq=B07K37R4VF")</f>
      </c>
      <c r="AL324" t="inlineStr">
        <is>
          <t/>
        </is>
      </c>
      <c r="AM324" s="10">
        <v>45417.11111111111</v>
      </c>
      <c r="AN324" t="inlineStr">
        <is>
          <t>KOS Organic Inulin Powder, Unflavored &amp; Unsweetened Superfood - Vegan Inulin for Prebiotic Intestinal Support, Digestive Health Promoting - USDA Certified, Non-GMO, Soy &amp; Gluten-Free, 112 Servings Bag</t>
        </is>
      </c>
      <c r="AO324" t="inlineStr">
        <is>
          <t>420</t>
        </is>
      </c>
      <c r="AP324" t="inlineStr">
        <is>
          <t>TAKE ALL</t>
        </is>
      </c>
    </row>
    <row r="325">
      <c r="A325" t="inlineStr">
        <is>
          <t>B07KLWQ3RV</t>
        </is>
      </c>
      <c r="B325" t="inlineStr">
        <is>
          <t>False</t>
        </is>
      </c>
      <c r="C325" t="inlineStr">
        <is>
          <t>B07KLWQ3RV</t>
        </is>
      </c>
      <c r="D325" t="inlineStr">
        <is>
          <t>Store - 383</t>
        </is>
      </c>
      <c r="E325" t="inlineStr">
        <is>
          <t>False</t>
        </is>
      </c>
      <c r="F325" t="inlineStr">
        <is>
          <t>Ice Breakers Mints Coolmint 1.5 oz., 8 pks. A1</t>
        </is>
      </c>
      <c r="G325">
        <v>1</v>
      </c>
      <c r="H325" s="2" t="str">
        <f>HYPERLINK("https://www.amazon.com/dp/B07KLWQ3RV", "https://www.amazon.com/dp/B07KLWQ3RV")</f>
      </c>
      <c r="I325" s="3">
        <v>272</v>
      </c>
      <c r="J325" s="12">
        <v>-3.28</v>
      </c>
      <c r="K325" s="13">
        <v>-0.1769</v>
      </c>
      <c r="L325" s="13">
        <v>-0.2343</v>
      </c>
      <c r="M325" t="inlineStr">
        <is>
          <t>True</t>
        </is>
      </c>
      <c r="N325" t="inlineStr">
        <is>
          <t>Grocery &amp; Gourmet Food</t>
        </is>
      </c>
      <c r="O325" s="6">
        <v>26782</v>
      </c>
      <c r="P325" s="6">
        <v>17024</v>
      </c>
      <c r="Q325" s="6">
        <v>10272</v>
      </c>
      <c r="R325" s="6">
        <v>171</v>
      </c>
      <c r="S325" s="7">
        <v>14</v>
      </c>
      <c r="T325" s="7">
        <v>18.54</v>
      </c>
      <c r="U325">
        <v>18.87</v>
      </c>
      <c r="V325" s="8">
        <v>0</v>
      </c>
      <c r="W325" s="7">
        <v>0</v>
      </c>
      <c r="X325" s="7">
        <v>0</v>
      </c>
      <c r="Y325">
        <v>1.04</v>
      </c>
      <c r="Z325" s="8">
        <v>0</v>
      </c>
      <c r="AB325">
        <v>0</v>
      </c>
      <c r="AC325">
        <v>0</v>
      </c>
      <c r="AD325">
        <v>18</v>
      </c>
      <c r="AE325">
        <v>8</v>
      </c>
      <c r="AF325">
        <v>10</v>
      </c>
      <c r="AG325">
        <v>5</v>
      </c>
      <c r="AH325">
        <v>0</v>
      </c>
      <c r="AI325" t="inlineStr">
        <is>
          <t>False</t>
        </is>
      </c>
      <c r="AJ325" s="2" t="str">
        <f>HYPERLINK("https://keepa.com/#!product/1-B07KLWQ3RV", "https://keepa.com/#!product/1-B07KLWQ3RV")</f>
      </c>
      <c r="AK325" s="2" t="str">
        <f>HYPERLINK("https://camelcamelcamel.com/search?sq=B07KLWQ3RV", "https://camelcamelcamel.com/search?sq=B07KLWQ3RV")</f>
      </c>
      <c r="AL325" t="inlineStr">
        <is>
          <t/>
        </is>
      </c>
      <c r="AM325" s="10">
        <v>45417.11111111111</v>
      </c>
      <c r="AN325" t="inlineStr">
        <is>
          <t>Ice Breakers Mints Coolmint 1.5 oz., 8 pks. A1</t>
        </is>
      </c>
      <c r="AO325" t="inlineStr">
        <is>
          <t>1900</t>
        </is>
      </c>
      <c r="AP325" t="inlineStr">
        <is>
          <t>360</t>
        </is>
      </c>
    </row>
    <row r="326">
      <c r="A326" t="inlineStr">
        <is>
          <t>B07KQWXRGM</t>
        </is>
      </c>
      <c r="B326" t="inlineStr">
        <is>
          <t>False</t>
        </is>
      </c>
      <c r="C326" t="inlineStr">
        <is>
          <t>B07KQWXRGM</t>
        </is>
      </c>
      <c r="D326" t="inlineStr">
        <is>
          <t>Balance of Nature</t>
        </is>
      </c>
      <c r="E326" t="inlineStr">
        <is>
          <t>False</t>
        </is>
      </c>
      <c r="F326" t="inlineStr">
        <is>
          <t>Balance of Nature Fruits and Veggies - Whole Food Supplement with Superfood Fruits and Vegetables for Women, Men, and Kids - 90 Fruit Capsules, 90 Veggie Capsules - 1 Set</t>
        </is>
      </c>
      <c r="G326">
        <v>180</v>
      </c>
      <c r="H326" s="2" t="str">
        <f>HYPERLINK("https://www.amazon.com/dp/B07KQWXRGM", "https://www.amazon.com/dp/B07KQWXRGM")</f>
      </c>
      <c r="I326" s="14">
        <v>5</v>
      </c>
      <c r="J326" s="12">
        <v>-9647.47</v>
      </c>
      <c r="K326" s="13">
        <v>-107.25370000000001</v>
      </c>
      <c r="L326" s="13">
        <v>-0.9925</v>
      </c>
      <c r="M326" t="inlineStr">
        <is>
          <t>False</t>
        </is>
      </c>
      <c r="N326" t="inlineStr">
        <is>
          <t>Health and Beauty</t>
        </is>
      </c>
      <c r="P326" s="6">
        <v>821</v>
      </c>
      <c r="Q326" s="6">
        <v>287</v>
      </c>
      <c r="R326" s="6">
        <v>288</v>
      </c>
      <c r="S326" s="7">
        <v>54</v>
      </c>
      <c r="T326" s="7">
        <v>89.95</v>
      </c>
      <c r="U326">
        <v>89.94</v>
      </c>
      <c r="V326" s="8">
        <v>0</v>
      </c>
      <c r="W326" s="7">
        <v>0</v>
      </c>
      <c r="X326" s="7">
        <v>0</v>
      </c>
      <c r="Y326">
        <v>0.45</v>
      </c>
      <c r="Z326" s="8">
        <v>0</v>
      </c>
      <c r="AB326">
        <v>0</v>
      </c>
      <c r="AC326">
        <v>0</v>
      </c>
      <c r="AD326">
        <v>1</v>
      </c>
      <c r="AE326">
        <v>1</v>
      </c>
      <c r="AF326">
        <v>0</v>
      </c>
      <c r="AG326">
        <v>1</v>
      </c>
      <c r="AH326">
        <v>0</v>
      </c>
      <c r="AI326" t="inlineStr">
        <is>
          <t>False</t>
        </is>
      </c>
      <c r="AJ326" s="2" t="str">
        <f>HYPERLINK("https://keepa.com/#!product/1-B07KQWXRGM", "https://keepa.com/#!product/1-B07KQWXRGM")</f>
      </c>
      <c r="AK326" s="2" t="str">
        <f>HYPERLINK("https://camelcamelcamel.com/search?sq=B07KQWXRGM", "https://camelcamelcamel.com/search?sq=B07KQWXRGM")</f>
      </c>
      <c r="AL326" t="inlineStr">
        <is>
          <t/>
        </is>
      </c>
      <c r="AM326" s="10">
        <v>45417.11111111111</v>
      </c>
      <c r="AN326" t="inlineStr">
        <is>
          <t>Balance of Nature Fruits and Veggies - Whole Food Supplement with Superfood Fruits and Vegetables for Women, Men, and Kids - 90 Fruit Capsules, 90 Veggie Capsules - 1 Set</t>
        </is>
      </c>
      <c r="AO326" t="inlineStr">
        <is>
          <t>2000</t>
        </is>
      </c>
      <c r="AP326" t="inlineStr">
        <is>
          <t>250</t>
        </is>
      </c>
    </row>
    <row r="327">
      <c r="A327" t="inlineStr">
        <is>
          <t>B07KRK22ZQ</t>
        </is>
      </c>
      <c r="B327" t="inlineStr">
        <is>
          <t>False</t>
        </is>
      </c>
      <c r="C327" t="inlineStr">
        <is>
          <t>B07KRK22ZQ</t>
        </is>
      </c>
      <c r="D327" t="inlineStr">
        <is>
          <t>SCKVAOU</t>
        </is>
      </c>
      <c r="E327" t="inlineStr">
        <is>
          <t>False</t>
        </is>
      </c>
      <c r="F327" t="inlineStr">
        <is>
          <t>HISTORY - Forged in Fire - Stainless Steel Knives (2 Piece - Stainless Steel Chef and Paring Knife)</t>
        </is>
      </c>
      <c r="G327">
        <v>1</v>
      </c>
      <c r="H327" s="2" t="str">
        <f>HYPERLINK("https://www.amazon.com/dp/B07KRK22ZQ", "https://www.amazon.com/dp/B07KRK22ZQ")</f>
      </c>
      <c r="I327" s="14">
        <v>5</v>
      </c>
      <c r="J327" s="4">
        <v>15.4</v>
      </c>
      <c r="K327" s="15">
        <v>0.3081</v>
      </c>
      <c r="L327" s="15">
        <v>0.6844</v>
      </c>
      <c r="M327" t="inlineStr">
        <is>
          <t>True</t>
        </is>
      </c>
      <c r="N327" t="inlineStr">
        <is>
          <t>Kitchen &amp; Dining</t>
        </is>
      </c>
      <c r="O327" s="6">
        <v>247924</v>
      </c>
      <c r="P327" s="6">
        <v>216252</v>
      </c>
      <c r="Q327" s="6">
        <v>89358</v>
      </c>
      <c r="R327" s="6">
        <v>10</v>
      </c>
      <c r="S327" s="7">
        <v>22.5</v>
      </c>
      <c r="T327" s="7">
        <v>49.99</v>
      </c>
      <c r="U327">
        <v>54.39</v>
      </c>
      <c r="V327" s="8">
        <v>0</v>
      </c>
      <c r="W327" s="7">
        <v>0</v>
      </c>
      <c r="X327" s="7">
        <v>0</v>
      </c>
      <c r="Y327">
        <v>0.86</v>
      </c>
      <c r="Z327" s="8">
        <v>0</v>
      </c>
      <c r="AB327">
        <v>0</v>
      </c>
      <c r="AC327">
        <v>0</v>
      </c>
      <c r="AD327">
        <v>6</v>
      </c>
      <c r="AE327">
        <v>3</v>
      </c>
      <c r="AF327">
        <v>3</v>
      </c>
      <c r="AG327">
        <v>2</v>
      </c>
      <c r="AH327">
        <v>0</v>
      </c>
      <c r="AI327" t="inlineStr">
        <is>
          <t>False</t>
        </is>
      </c>
      <c r="AJ327" s="2" t="str">
        <f>HYPERLINK("https://keepa.com/#!product/1-B07KRK22ZQ", "https://keepa.com/#!product/1-B07KRK22ZQ")</f>
      </c>
      <c r="AK327" s="2" t="str">
        <f>HYPERLINK("https://camelcamelcamel.com/search?sq=B07KRK22ZQ", "https://camelcamelcamel.com/search?sq=B07KRK22ZQ")</f>
      </c>
      <c r="AL327" t="inlineStr">
        <is>
          <t/>
        </is>
      </c>
      <c r="AM327" s="10">
        <v>45417.11111111111</v>
      </c>
      <c r="AN327" t="inlineStr">
        <is>
          <t>HISTORY - Forged in Fire - Stainless Steel Knives (2 Piece - Stainless Steel Chef and Paring Knife)</t>
        </is>
      </c>
      <c r="AO327" t="inlineStr">
        <is>
          <t>500</t>
        </is>
      </c>
      <c r="AP327" t="inlineStr">
        <is>
          <t>TAKE ALL</t>
        </is>
      </c>
    </row>
    <row r="328">
      <c r="A328" t="inlineStr">
        <is>
          <t>B07KT4LS6Z</t>
        </is>
      </c>
      <c r="B328" t="inlineStr">
        <is>
          <t>False</t>
        </is>
      </c>
      <c r="C328" t="inlineStr">
        <is>
          <t>B07KT4LS6Z</t>
        </is>
      </c>
      <c r="D328" t="inlineStr">
        <is>
          <t>GVM Great Video Maker</t>
        </is>
      </c>
      <c r="E328" t="inlineStr">
        <is>
          <t>False</t>
        </is>
      </c>
      <c r="F328" t="inlineStr">
        <is>
          <t>GVM 2 Pack LED Video Lighting Kits with APP Control, Bi-Color Variable 2300K~6800K with Digital Display Brightness of 10~100% for Video Photography, CRI97+ TLCI97 Led Video Light Panel +Barndoor</t>
        </is>
      </c>
      <c r="G328">
        <v>1</v>
      </c>
      <c r="H328" s="2" t="str">
        <f>HYPERLINK("https://www.amazon.com/dp/B07KT4LS6Z", "https://www.amazon.com/dp/B07KT4LS6Z")</f>
      </c>
      <c r="I328" s="14">
        <v>5</v>
      </c>
      <c r="J328" s="4">
        <v>45.95</v>
      </c>
      <c r="K328" s="5">
        <v>0.2643</v>
      </c>
      <c r="L328" s="15">
        <v>0.49950000000000006</v>
      </c>
      <c r="M328" t="inlineStr">
        <is>
          <t>False</t>
        </is>
      </c>
      <c r="N328" t="inlineStr">
        <is>
          <t>Continuous Output Lighting</t>
        </is>
      </c>
      <c r="O328" s="6">
        <v>13</v>
      </c>
      <c r="P328" s="6">
        <v>0</v>
      </c>
      <c r="Q328" s="6">
        <v>0</v>
      </c>
      <c r="R328" s="6">
        <v>0</v>
      </c>
      <c r="S328" s="7">
        <v>92</v>
      </c>
      <c r="T328" s="7">
        <v>173.87</v>
      </c>
      <c r="U328">
        <v>173.77</v>
      </c>
      <c r="V328" s="8">
        <v>0</v>
      </c>
      <c r="W328" s="7">
        <v>0</v>
      </c>
      <c r="X328" s="7">
        <v>0</v>
      </c>
      <c r="Y328">
        <v>16.49</v>
      </c>
      <c r="Z328" s="8">
        <v>0</v>
      </c>
      <c r="AB328">
        <v>0</v>
      </c>
      <c r="AC328">
        <v>0</v>
      </c>
      <c r="AD328">
        <v>3</v>
      </c>
      <c r="AE328">
        <v>2</v>
      </c>
      <c r="AF328">
        <v>0</v>
      </c>
      <c r="AG328">
        <v>1</v>
      </c>
      <c r="AH328">
        <v>0</v>
      </c>
      <c r="AI328" t="inlineStr">
        <is>
          <t>False</t>
        </is>
      </c>
      <c r="AJ328" s="2" t="str">
        <f>HYPERLINK("https://keepa.com/#!product/1-B07KT4LS6Z", "https://keepa.com/#!product/1-B07KT4LS6Z")</f>
      </c>
      <c r="AK328" s="2" t="str">
        <f>HYPERLINK("https://camelcamelcamel.com/search?sq=B07KT4LS6Z", "https://camelcamelcamel.com/search?sq=B07KT4LS6Z")</f>
      </c>
      <c r="AL328" t="inlineStr">
        <is>
          <t/>
        </is>
      </c>
      <c r="AM328" s="10">
        <v>45417.11111111111</v>
      </c>
      <c r="AN328" t="inlineStr">
        <is>
          <t>GVM 2 Pack LED Video Lighting Kits with APP Control, Bi-Color Variable 2300K~6800K with Digital Display Brightness of 10~100% for Video Photography, CRI97+ TLCI97 Led Video Light Panel +Barndoor</t>
        </is>
      </c>
      <c r="AO328" t="inlineStr">
        <is>
          <t>250</t>
        </is>
      </c>
      <c r="AP328" t="inlineStr">
        <is>
          <t>TAKE ALL</t>
        </is>
      </c>
    </row>
    <row r="329">
      <c r="A329" t="inlineStr">
        <is>
          <t>B07KW6NM62</t>
        </is>
      </c>
      <c r="B329" t="inlineStr">
        <is>
          <t>False</t>
        </is>
      </c>
      <c r="C329" t="inlineStr">
        <is>
          <t>B07KW6NM62</t>
        </is>
      </c>
      <c r="D329" t="inlineStr">
        <is>
          <t>Disney Encanto</t>
        </is>
      </c>
      <c r="E329" t="inlineStr">
        <is>
          <t>False</t>
        </is>
      </c>
      <c r="F329" t="inlineStr">
        <is>
          <t>Disney Encanto Magical Madrigal House Playset with Mirabel Doll &amp; 14 Accessories - Features Lights, Sounds &amp; Music!</t>
        </is>
      </c>
      <c r="G329">
        <v>1</v>
      </c>
      <c r="H329" s="2" t="str">
        <f>HYPERLINK("https://www.amazon.com/dp/B07KW6NM62", "https://www.amazon.com/dp/B07KW6NM62")</f>
      </c>
      <c r="I329" s="3">
        <v>1480</v>
      </c>
      <c r="J329" s="12">
        <v>-5.43</v>
      </c>
      <c r="K329" s="13">
        <v>-0.11810000000000001</v>
      </c>
      <c r="L329" s="13">
        <v>-0.18719999999999998</v>
      </c>
      <c r="M329" t="inlineStr">
        <is>
          <t>True</t>
        </is>
      </c>
      <c r="N329" t="inlineStr">
        <is>
          <t>Toys &amp; Games</t>
        </is>
      </c>
      <c r="O329" s="6">
        <v>5959</v>
      </c>
      <c r="P329" s="6">
        <v>11225</v>
      </c>
      <c r="Q329" s="6">
        <v>5835</v>
      </c>
      <c r="R329" s="6">
        <v>242</v>
      </c>
      <c r="S329" s="7">
        <v>29</v>
      </c>
      <c r="T329" s="7">
        <v>45.99</v>
      </c>
      <c r="U329">
        <v>61.97</v>
      </c>
      <c r="V329" s="8">
        <v>0</v>
      </c>
      <c r="W329" s="7">
        <v>0</v>
      </c>
      <c r="X329" s="7">
        <v>0</v>
      </c>
      <c r="Y329">
        <v>10.93</v>
      </c>
      <c r="Z329" s="9">
        <v>0.5</v>
      </c>
      <c r="AB329">
        <v>0</v>
      </c>
      <c r="AC329">
        <v>0</v>
      </c>
      <c r="AD329">
        <v>49</v>
      </c>
      <c r="AE329">
        <v>13</v>
      </c>
      <c r="AF329">
        <v>33</v>
      </c>
      <c r="AG329">
        <v>4</v>
      </c>
      <c r="AH329">
        <v>3</v>
      </c>
      <c r="AI329" t="inlineStr">
        <is>
          <t>False</t>
        </is>
      </c>
      <c r="AJ329" s="2" t="str">
        <f>HYPERLINK("https://keepa.com/#!product/1-B07KW6NM62", "https://keepa.com/#!product/1-B07KW6NM62")</f>
      </c>
      <c r="AK329" s="2" t="str">
        <f>HYPERLINK("https://camelcamelcamel.com/search?sq=B07KW6NM62", "https://camelcamelcamel.com/search?sq=B07KW6NM62")</f>
      </c>
      <c r="AL329" t="inlineStr">
        <is>
          <t/>
        </is>
      </c>
      <c r="AM329" s="10">
        <v>45417.11111111111</v>
      </c>
      <c r="AN329" t="inlineStr">
        <is>
          <t>Disney Encanto Magical Madrigal House Playset with Mirabel Doll &amp; 14 Accessories - Features Lights, Sounds &amp; Music!</t>
        </is>
      </c>
      <c r="AO329" t="inlineStr">
        <is>
          <t>1800</t>
        </is>
      </c>
      <c r="AP329" t="inlineStr">
        <is>
          <t>400</t>
        </is>
      </c>
    </row>
    <row r="330">
      <c r="A330" t="inlineStr">
        <is>
          <t>B07L47DQP8</t>
        </is>
      </c>
      <c r="B330" t="inlineStr">
        <is>
          <t>False</t>
        </is>
      </c>
      <c r="C330" t="inlineStr">
        <is>
          <t>B07L47DQP8</t>
        </is>
      </c>
      <c r="D330" t="inlineStr">
        <is>
          <t>Toblerone</t>
        </is>
      </c>
      <c r="E330" t="inlineStr">
        <is>
          <t>False</t>
        </is>
      </c>
      <c r="F330" t="inlineStr">
        <is>
          <t>Toblerone Milk Chocolate 360gm</t>
        </is>
      </c>
      <c r="G330">
        <v>1</v>
      </c>
      <c r="H330" s="2" t="str">
        <f>HYPERLINK("https://www.amazon.com/dp/B07L47DQP8", "https://www.amazon.com/dp/B07L47DQP8")</f>
      </c>
      <c r="I330" s="3">
        <v>213</v>
      </c>
      <c r="J330" s="11">
        <v>1.55</v>
      </c>
      <c r="K330" s="5">
        <v>0.1107</v>
      </c>
      <c r="L330" s="5">
        <v>0.2296</v>
      </c>
      <c r="M330" t="inlineStr">
        <is>
          <t>True</t>
        </is>
      </c>
      <c r="N330" t="inlineStr">
        <is>
          <t>Grocery &amp; Gourmet Food</t>
        </is>
      </c>
      <c r="O330" s="6">
        <v>31981</v>
      </c>
      <c r="P330" s="6">
        <v>24306</v>
      </c>
      <c r="Q330" s="6">
        <v>5571</v>
      </c>
      <c r="R330" s="6">
        <v>230</v>
      </c>
      <c r="S330" s="7">
        <v>6.75</v>
      </c>
      <c r="T330" s="7">
        <v>14</v>
      </c>
      <c r="U330">
        <v>10.46</v>
      </c>
      <c r="V330" s="8">
        <v>0</v>
      </c>
      <c r="W330" s="7">
        <v>0</v>
      </c>
      <c r="X330" s="7">
        <v>0</v>
      </c>
      <c r="Y330">
        <v>0.82</v>
      </c>
      <c r="Z330" s="8">
        <v>0</v>
      </c>
      <c r="AB330">
        <v>0</v>
      </c>
      <c r="AC330">
        <v>0</v>
      </c>
      <c r="AD330">
        <v>14</v>
      </c>
      <c r="AE330">
        <v>1</v>
      </c>
      <c r="AF330">
        <v>13</v>
      </c>
      <c r="AG330">
        <v>0</v>
      </c>
      <c r="AH330">
        <v>3</v>
      </c>
      <c r="AI330" t="inlineStr">
        <is>
          <t>False</t>
        </is>
      </c>
      <c r="AJ330" s="2" t="str">
        <f>HYPERLINK("https://keepa.com/#!product/1-B07L47DQP8", "https://keepa.com/#!product/1-B07L47DQP8")</f>
      </c>
      <c r="AK330" s="2" t="str">
        <f>HYPERLINK("https://camelcamelcamel.com/search?sq=B07L47DQP8", "https://camelcamelcamel.com/search?sq=B07L47DQP8")</f>
      </c>
      <c r="AL330" t="inlineStr">
        <is>
          <t/>
        </is>
      </c>
      <c r="AM330" s="10">
        <v>45417.11111111111</v>
      </c>
      <c r="AN330" t="inlineStr">
        <is>
          <t>Toblerone Milk Chocolate 360gm</t>
        </is>
      </c>
      <c r="AO330" t="inlineStr">
        <is>
          <t>1000</t>
        </is>
      </c>
      <c r="AP330" t="inlineStr">
        <is>
          <t>500</t>
        </is>
      </c>
    </row>
    <row r="331">
      <c r="A331" t="inlineStr">
        <is>
          <t>B07L6SMQNC</t>
        </is>
      </c>
      <c r="B331" t="inlineStr">
        <is>
          <t>False</t>
        </is>
      </c>
      <c r="C331" t="inlineStr">
        <is>
          <t>B07L6SMQNC</t>
        </is>
      </c>
      <c r="D331" t="inlineStr">
        <is>
          <t>Aveda</t>
        </is>
      </c>
      <c r="E331" t="inlineStr">
        <is>
          <t>True</t>
        </is>
      </c>
      <c r="F331" t="inlineStr">
        <is>
          <t>Aveda Rosemary Mint Purifying Shampoo 1.7 Oz</t>
        </is>
      </c>
      <c r="G331">
        <v>1</v>
      </c>
      <c r="H331" s="2" t="str">
        <f>HYPERLINK("https://www.amazon.com/dp/B07L6SMQNC", "https://www.amazon.com/dp/B07L6SMQNC")</f>
      </c>
      <c r="I331" s="3">
        <v>2415</v>
      </c>
      <c r="J331" s="12">
        <v>-0.65</v>
      </c>
      <c r="K331" s="13">
        <v>-0.0479</v>
      </c>
      <c r="L331" s="13">
        <v>-0.0765</v>
      </c>
      <c r="M331" t="inlineStr">
        <is>
          <t>True</t>
        </is>
      </c>
      <c r="N331" t="inlineStr">
        <is>
          <t>Beauty &amp; Personal Care</t>
        </is>
      </c>
      <c r="O331" s="6">
        <v>7809</v>
      </c>
      <c r="P331" s="6">
        <v>5764</v>
      </c>
      <c r="Q331" s="6">
        <v>3702</v>
      </c>
      <c r="R331" s="6">
        <v>250</v>
      </c>
      <c r="S331" s="7">
        <v>8.5</v>
      </c>
      <c r="T331" s="7">
        <v>13.57</v>
      </c>
      <c r="U331">
        <v>14.79</v>
      </c>
      <c r="V331" s="8">
        <v>0</v>
      </c>
      <c r="W331" s="7">
        <v>0</v>
      </c>
      <c r="X331" s="7">
        <v>0</v>
      </c>
      <c r="Y331">
        <v>0.15</v>
      </c>
      <c r="Z331" s="8">
        <v>0</v>
      </c>
      <c r="AB331">
        <v>0</v>
      </c>
      <c r="AC331">
        <v>0</v>
      </c>
      <c r="AD331">
        <v>10</v>
      </c>
      <c r="AE331">
        <v>5</v>
      </c>
      <c r="AF331">
        <v>5</v>
      </c>
      <c r="AG331">
        <v>0</v>
      </c>
      <c r="AH331">
        <v>7</v>
      </c>
      <c r="AI331" t="inlineStr">
        <is>
          <t>False</t>
        </is>
      </c>
      <c r="AJ331" s="2" t="str">
        <f>HYPERLINK("https://keepa.com/#!product/1-B07L6SMQNC", "https://keepa.com/#!product/1-B07L6SMQNC")</f>
      </c>
      <c r="AK331" s="2" t="str">
        <f>HYPERLINK("https://camelcamelcamel.com/search?sq=B07L6SMQNC", "https://camelcamelcamel.com/search?sq=B07L6SMQNC")</f>
      </c>
      <c r="AL331" t="inlineStr">
        <is>
          <t/>
        </is>
      </c>
      <c r="AM331" s="10">
        <v>45417.11111111111</v>
      </c>
      <c r="AN331" t="inlineStr">
        <is>
          <t>Aveda Rosemary Mint Purifying Shampoo 1.7 Oz</t>
        </is>
      </c>
      <c r="AO331" t="inlineStr">
        <is>
          <t>1200</t>
        </is>
      </c>
      <c r="AP331" t="inlineStr">
        <is>
          <t>TAKE ALL</t>
        </is>
      </c>
    </row>
    <row r="332">
      <c r="A332" t="inlineStr">
        <is>
          <t>B07L76M2ZK</t>
        </is>
      </c>
      <c r="B332" t="inlineStr">
        <is>
          <t>False</t>
        </is>
      </c>
      <c r="C332" t="inlineStr">
        <is>
          <t>B07L76M2ZK</t>
        </is>
      </c>
      <c r="D332" t="inlineStr">
        <is>
          <t>Arm &amp; Hammer</t>
        </is>
      </c>
      <c r="E332" t="inlineStr">
        <is>
          <t>False</t>
        </is>
      </c>
      <c r="F332" t="inlineStr">
        <is>
          <t>Arm &amp; Hammer Plus OxiClean Odor Blasters Fresh Burst, 35 Loads Liquid Laundry Detergent, 61.25 Fl oz</t>
        </is>
      </c>
      <c r="G332">
        <v>1</v>
      </c>
      <c r="H332" s="2" t="str">
        <f>HYPERLINK("https://www.amazon.com/dp/B07L76M2ZK", "https://www.amazon.com/dp/B07L76M2ZK")</f>
      </c>
      <c r="I332" s="3">
        <v>52518</v>
      </c>
      <c r="J332" s="11">
        <v>0.67</v>
      </c>
      <c r="K332" s="5">
        <v>0.0353</v>
      </c>
      <c r="L332" s="5">
        <v>0.067</v>
      </c>
      <c r="M332" t="inlineStr">
        <is>
          <t>True</t>
        </is>
      </c>
      <c r="N332" t="inlineStr">
        <is>
          <t>Health &amp; Household</t>
        </is>
      </c>
      <c r="O332" s="6">
        <v>144</v>
      </c>
      <c r="P332" s="6">
        <v>220</v>
      </c>
      <c r="Q332" s="6">
        <v>86</v>
      </c>
      <c r="R332" s="6">
        <v>215</v>
      </c>
      <c r="S332" s="7">
        <v>10</v>
      </c>
      <c r="T332" s="7">
        <v>18.99</v>
      </c>
      <c r="U332">
        <v>21.07</v>
      </c>
      <c r="V332" s="8">
        <v>0</v>
      </c>
      <c r="W332" s="7">
        <v>0</v>
      </c>
      <c r="X332" s="7">
        <v>0</v>
      </c>
      <c r="Y332">
        <v>0.9</v>
      </c>
      <c r="Z332" s="8">
        <v>0</v>
      </c>
      <c r="AB332">
        <v>0</v>
      </c>
      <c r="AC332">
        <v>0</v>
      </c>
      <c r="AD332">
        <v>5</v>
      </c>
      <c r="AE332">
        <v>2</v>
      </c>
      <c r="AF332">
        <v>3</v>
      </c>
      <c r="AG332">
        <v>1</v>
      </c>
      <c r="AH332">
        <v>8</v>
      </c>
      <c r="AI332" t="inlineStr">
        <is>
          <t>False</t>
        </is>
      </c>
      <c r="AJ332" s="2" t="str">
        <f>HYPERLINK("https://keepa.com/#!product/1-B07L76M2ZK", "https://keepa.com/#!product/1-B07L76M2ZK")</f>
      </c>
      <c r="AK332" s="2" t="str">
        <f>HYPERLINK("https://camelcamelcamel.com/search?sq=B07L76M2ZK", "https://camelcamelcamel.com/search?sq=B07L76M2ZK")</f>
      </c>
      <c r="AL332" t="inlineStr">
        <is>
          <t/>
        </is>
      </c>
      <c r="AM332" s="10">
        <v>45417.11111111111</v>
      </c>
      <c r="AN332" t="inlineStr">
        <is>
          <t>Arm &amp; Hammer Plus OxiClean Odor Blasters Fresh Burst, 35 Loads Liquid Laundry Detergent, 61.25 Fl oz</t>
        </is>
      </c>
      <c r="AO332" t="inlineStr">
        <is>
          <t>1500</t>
        </is>
      </c>
      <c r="AP332" t="inlineStr">
        <is>
          <t>1000</t>
        </is>
      </c>
    </row>
    <row r="333">
      <c r="A333" t="inlineStr">
        <is>
          <t>B07LH5VSX4</t>
        </is>
      </c>
      <c r="B333" t="inlineStr">
        <is>
          <t>False</t>
        </is>
      </c>
      <c r="C333" t="inlineStr">
        <is>
          <t>B07LH5VSX4</t>
        </is>
      </c>
      <c r="D333" t="inlineStr">
        <is>
          <t>ThisWorx for</t>
        </is>
      </c>
      <c r="E333" t="inlineStr">
        <is>
          <t>False</t>
        </is>
      </c>
      <c r="F333" t="inlineStr">
        <is>
          <t>ThisWorx Car Vacuum Cleaner - Car Accessories - Small 12V High Power Handheld Portable Car Vacuum w/Attachments, 16 Ft Cord &amp; Bag - Detailing Kit Essentials for Travel, RV Camper</t>
        </is>
      </c>
      <c r="G333">
        <v>1</v>
      </c>
      <c r="H333" s="2" t="str">
        <f>HYPERLINK("https://www.amazon.com/dp/B07LH5VSX4", "https://www.amazon.com/dp/B07LH5VSX4")</f>
      </c>
      <c r="I333" s="3">
        <v>6124</v>
      </c>
      <c r="J333" s="4">
        <v>17.59</v>
      </c>
      <c r="K333" s="15">
        <v>0.391</v>
      </c>
      <c r="L333" s="15">
        <v>1.2344</v>
      </c>
      <c r="M333" t="inlineStr">
        <is>
          <t>True</t>
        </is>
      </c>
      <c r="N333" t="inlineStr">
        <is>
          <t>Automotive</t>
        </is>
      </c>
      <c r="O333" s="6">
        <v>185</v>
      </c>
      <c r="P333" s="6">
        <v>61</v>
      </c>
      <c r="Q333" s="6">
        <v>5</v>
      </c>
      <c r="R333" s="6">
        <v>237</v>
      </c>
      <c r="S333" s="7">
        <v>14.25</v>
      </c>
      <c r="T333" s="7">
        <v>44.99</v>
      </c>
      <c r="U333">
        <v>37.77</v>
      </c>
      <c r="V333" s="8">
        <v>0</v>
      </c>
      <c r="W333" s="7">
        <v>0</v>
      </c>
      <c r="X333" s="7">
        <v>0</v>
      </c>
      <c r="Y333">
        <v>2.43</v>
      </c>
      <c r="Z333" s="8">
        <v>0</v>
      </c>
      <c r="AB333">
        <v>0</v>
      </c>
      <c r="AC333">
        <v>0</v>
      </c>
      <c r="AD333">
        <v>2</v>
      </c>
      <c r="AE333">
        <v>1</v>
      </c>
      <c r="AF333">
        <v>1</v>
      </c>
      <c r="AG333">
        <v>1</v>
      </c>
      <c r="AH333">
        <v>4</v>
      </c>
      <c r="AI333" t="inlineStr">
        <is>
          <t>False</t>
        </is>
      </c>
      <c r="AJ333" s="2" t="str">
        <f>HYPERLINK("https://keepa.com/#!product/1-B07LH5VSX4", "https://keepa.com/#!product/1-B07LH5VSX4")</f>
      </c>
      <c r="AK333" s="2" t="str">
        <f>HYPERLINK("https://camelcamelcamel.com/search?sq=B07LH5VSX4", "https://camelcamelcamel.com/search?sq=B07LH5VSX4")</f>
      </c>
      <c r="AL333" t="inlineStr">
        <is>
          <t/>
        </is>
      </c>
      <c r="AM333" s="10">
        <v>45417.11111111111</v>
      </c>
      <c r="AN333" t="inlineStr">
        <is>
          <t>ThisWorx Car Vacuum Cleaner - Car Accessories - Small 12V High Power Handheld Portable Car Vacuum w/Attachments, 16 Ft Cord &amp; Bag - Detailing Kit Essentials for Travel, RV Camper</t>
        </is>
      </c>
      <c r="AO333" t="inlineStr">
        <is>
          <t>7000</t>
        </is>
      </c>
      <c r="AP333" t="inlineStr">
        <is>
          <t>1000</t>
        </is>
      </c>
    </row>
    <row r="334">
      <c r="A334" t="inlineStr">
        <is>
          <t>B07M76LRH8</t>
        </is>
      </c>
      <c r="B334" t="inlineStr">
        <is>
          <t>False</t>
        </is>
      </c>
      <c r="C334" t="inlineStr">
        <is>
          <t>B07M76LRH8</t>
        </is>
      </c>
      <c r="D334" t="inlineStr">
        <is>
          <t>Amconsure</t>
        </is>
      </c>
      <c r="E334" t="inlineStr">
        <is>
          <t>False</t>
        </is>
      </c>
      <c r="F334" t="inlineStr">
        <is>
          <t>Amconsure Facial Steamer - Nano Ionic Face Steamer Warm Mist Steamer for Face Home Sauna SPA, Face Humidifier Steamer for Facial Deep Cleaning Unclogs Pores Sinuses - 5 Piece Stainless Steel Skin Kit</t>
        </is>
      </c>
      <c r="G334">
        <v>1</v>
      </c>
      <c r="H334" s="2" t="str">
        <f>HYPERLINK("https://www.amazon.com/dp/B07M76LRH8", "https://www.amazon.com/dp/B07M76LRH8")</f>
      </c>
      <c r="I334" s="3">
        <v>2210</v>
      </c>
      <c r="J334" s="4">
        <v>6.57</v>
      </c>
      <c r="K334" s="5">
        <v>0.19329999999999997</v>
      </c>
      <c r="L334" s="15">
        <v>0.4239</v>
      </c>
      <c r="M334" t="inlineStr">
        <is>
          <t>True</t>
        </is>
      </c>
      <c r="N334" t="inlineStr">
        <is>
          <t>Beauty &amp; Personal Care</t>
        </is>
      </c>
      <c r="O334" s="6">
        <v>8546</v>
      </c>
      <c r="P334" s="6">
        <v>5719</v>
      </c>
      <c r="Q334" s="6">
        <v>2664</v>
      </c>
      <c r="R334" s="6">
        <v>285</v>
      </c>
      <c r="S334" s="7">
        <v>15.5</v>
      </c>
      <c r="T334" s="7">
        <v>33.99</v>
      </c>
      <c r="U334">
        <v>32.35</v>
      </c>
      <c r="V334" s="8">
        <v>0</v>
      </c>
      <c r="W334" s="7">
        <v>0</v>
      </c>
      <c r="X334" s="7">
        <v>0</v>
      </c>
      <c r="Y334">
        <v>2.03</v>
      </c>
      <c r="Z334" s="8">
        <v>0</v>
      </c>
      <c r="AB334">
        <v>0</v>
      </c>
      <c r="AC334">
        <v>0</v>
      </c>
      <c r="AD334">
        <v>3</v>
      </c>
      <c r="AE334">
        <v>3</v>
      </c>
      <c r="AF334">
        <v>0</v>
      </c>
      <c r="AG334">
        <v>1</v>
      </c>
      <c r="AH334">
        <v>3</v>
      </c>
      <c r="AI334" t="inlineStr">
        <is>
          <t>False</t>
        </is>
      </c>
      <c r="AJ334" s="2" t="str">
        <f>HYPERLINK("https://keepa.com/#!product/1-B07M76LRH8", "https://keepa.com/#!product/1-B07M76LRH8")</f>
      </c>
      <c r="AK334" s="2" t="str">
        <f>HYPERLINK("https://camelcamelcamel.com/search?sq=B07M76LRH8", "https://camelcamelcamel.com/search?sq=B07M76LRH8")</f>
      </c>
      <c r="AL334" t="inlineStr">
        <is>
          <t/>
        </is>
      </c>
      <c r="AM334" s="10">
        <v>45417.11111111111</v>
      </c>
      <c r="AN334" t="inlineStr">
        <is>
          <t>Amconsure Facial Steamer - Nano Ionic Face Steamer Warm Mist Steamer for Face Home Sauna SPA, Face Humidifier Steamer for Facial Deep Cleaning Unclogs Pores Sinuses - 5 Piece Stainless Steel Skin Kit</t>
        </is>
      </c>
      <c r="AO334" t="inlineStr">
        <is>
          <t>160</t>
        </is>
      </c>
      <c r="AP334" t="inlineStr">
        <is>
          <t>TAKE ALL</t>
        </is>
      </c>
    </row>
    <row r="335">
      <c r="A335" t="inlineStr">
        <is>
          <t>B07MBFSDP4</t>
        </is>
      </c>
      <c r="B335" t="inlineStr">
        <is>
          <t>False</t>
        </is>
      </c>
      <c r="C335" t="inlineStr">
        <is>
          <t>B07MBFSDP4</t>
        </is>
      </c>
      <c r="D335" t="inlineStr">
        <is>
          <t>Englander</t>
        </is>
      </c>
      <c r="E335" t="inlineStr">
        <is>
          <t>False</t>
        </is>
      </c>
      <c r="F335" t="inlineStr">
        <is>
          <t>Englander Twin Air Mattress - Double High, 300 LB Capacity Luxury Camping Mattress with Built-in Pump, Waterproof and Microfiber</t>
        </is>
      </c>
      <c r="G335">
        <v>1</v>
      </c>
      <c r="H335" s="2" t="str">
        <f>HYPERLINK("https://www.amazon.com/dp/B07MBFSDP4", "https://www.amazon.com/dp/B07MBFSDP4")</f>
      </c>
      <c r="I335" s="3">
        <v>845</v>
      </c>
      <c r="J335" s="4">
        <v>30.27</v>
      </c>
      <c r="K335" s="15">
        <v>0.3155</v>
      </c>
      <c r="L335" s="15">
        <v>0.7568</v>
      </c>
      <c r="M335" t="inlineStr">
        <is>
          <t>True</t>
        </is>
      </c>
      <c r="N335" t="inlineStr">
        <is>
          <t>Home &amp; Kitchen</t>
        </is>
      </c>
      <c r="O335" s="6">
        <v>31776</v>
      </c>
      <c r="P335" s="6">
        <v>14310</v>
      </c>
      <c r="Q335" s="6">
        <v>647</v>
      </c>
      <c r="R335" s="6">
        <v>220</v>
      </c>
      <c r="S335" s="7">
        <v>40</v>
      </c>
      <c r="T335" s="7">
        <v>95.94</v>
      </c>
      <c r="U335">
        <v>62.89</v>
      </c>
      <c r="V335" s="8">
        <v>0</v>
      </c>
      <c r="W335" s="7">
        <v>0</v>
      </c>
      <c r="X335" s="7">
        <v>0</v>
      </c>
      <c r="Y335">
        <v>14.86</v>
      </c>
      <c r="Z335" s="8">
        <v>0</v>
      </c>
      <c r="AB335">
        <v>0</v>
      </c>
      <c r="AC335">
        <v>0</v>
      </c>
      <c r="AD335">
        <v>1</v>
      </c>
      <c r="AE335">
        <v>1</v>
      </c>
      <c r="AF335">
        <v>0</v>
      </c>
      <c r="AG335">
        <v>0</v>
      </c>
      <c r="AH335">
        <v>6</v>
      </c>
      <c r="AI335" t="inlineStr">
        <is>
          <t>False</t>
        </is>
      </c>
      <c r="AJ335" s="2" t="str">
        <f>HYPERLINK("https://keepa.com/#!product/1-B07MBFSDP4", "https://keepa.com/#!product/1-B07MBFSDP4")</f>
      </c>
      <c r="AK335" s="2" t="str">
        <f>HYPERLINK("https://camelcamelcamel.com/search?sq=B07MBFSDP4", "https://camelcamelcamel.com/search?sq=B07MBFSDP4")</f>
      </c>
      <c r="AL335" t="inlineStr">
        <is>
          <t/>
        </is>
      </c>
      <c r="AM335" s="10">
        <v>45417.11111111111</v>
      </c>
      <c r="AN335" t="inlineStr">
        <is>
          <t>Englander Air Mattress w/Built in Pump - Luxury Double High Inflatable Bed for Home, Travel &amp; Camping - Premium Blow Up Bed for Kids &amp; Adults</t>
        </is>
      </c>
      <c r="AO335" t="inlineStr">
        <is>
          <t>5098</t>
        </is>
      </c>
      <c r="AP335" t="inlineStr">
        <is>
          <t>500</t>
        </is>
      </c>
    </row>
    <row r="336">
      <c r="A336" t="inlineStr">
        <is>
          <t>B07MFYYZ5B</t>
        </is>
      </c>
      <c r="B336" t="inlineStr">
        <is>
          <t>False</t>
        </is>
      </c>
      <c r="C336" t="inlineStr">
        <is>
          <t>B07MFYYZ5B</t>
        </is>
      </c>
      <c r="D336" t="inlineStr">
        <is>
          <t>Premier Protein</t>
        </is>
      </c>
      <c r="E336" t="inlineStr">
        <is>
          <t>False</t>
        </is>
      </c>
      <c r="F336" t="inlineStr">
        <is>
          <t>Premier Protein Shake, Cookies &amp; Cream, 30g Protein, 1g Sugar, 24 Vitamins &amp; Minerals, Nutrients to Support Immune Health 11.5 fl oz, 12 Pack</t>
        </is>
      </c>
      <c r="G336">
        <v>1</v>
      </c>
      <c r="H336" s="2" t="str">
        <f>HYPERLINK("https://www.amazon.com/dp/B07MFYYZ5B", "https://www.amazon.com/dp/B07MFYYZ5B")</f>
      </c>
      <c r="I336" s="3">
        <v>5998</v>
      </c>
      <c r="J336" s="4">
        <v>5.19</v>
      </c>
      <c r="K336" s="5">
        <v>0.17309999999999998</v>
      </c>
      <c r="L336" s="15">
        <v>0.45130000000000003</v>
      </c>
      <c r="M336" t="inlineStr">
        <is>
          <t>True</t>
        </is>
      </c>
      <c r="N336" t="inlineStr">
        <is>
          <t>Grocery &amp; Gourmet Food</t>
        </is>
      </c>
      <c r="O336" s="6">
        <v>762</v>
      </c>
      <c r="P336" s="6">
        <v>24</v>
      </c>
      <c r="Q336" s="6">
        <v>1</v>
      </c>
      <c r="R336" s="6">
        <v>67</v>
      </c>
      <c r="S336" s="7">
        <v>11.5</v>
      </c>
      <c r="T336" s="7">
        <v>29.98</v>
      </c>
      <c r="U336">
        <v>29.98</v>
      </c>
      <c r="V336" s="8">
        <v>0</v>
      </c>
      <c r="W336" s="7">
        <v>0</v>
      </c>
      <c r="X336" s="7">
        <v>0</v>
      </c>
      <c r="Y336">
        <v>10.7</v>
      </c>
      <c r="Z336" s="9">
        <v>1</v>
      </c>
      <c r="AB336">
        <v>0</v>
      </c>
      <c r="AC336">
        <v>0</v>
      </c>
      <c r="AD336">
        <v>12</v>
      </c>
      <c r="AE336">
        <v>1</v>
      </c>
      <c r="AF336">
        <v>11</v>
      </c>
      <c r="AG336">
        <v>1</v>
      </c>
      <c r="AH336">
        <v>1</v>
      </c>
      <c r="AI336" t="inlineStr">
        <is>
          <t>False</t>
        </is>
      </c>
      <c r="AJ336" s="2" t="str">
        <f>HYPERLINK("https://keepa.com/#!product/1-B07MFYYZ5B", "https://keepa.com/#!product/1-B07MFYYZ5B")</f>
      </c>
      <c r="AK336" s="2" t="str">
        <f>HYPERLINK("https://camelcamelcamel.com/search?sq=B07MFYYZ5B", "https://camelcamelcamel.com/search?sq=B07MFYYZ5B")</f>
      </c>
      <c r="AL336" t="inlineStr">
        <is>
          <t/>
        </is>
      </c>
      <c r="AM336" s="10">
        <v>45417.11111111111</v>
      </c>
      <c r="AN336" t="inlineStr">
        <is>
          <t>Premier Protein Shake, Cookies &amp; Cream, 30g Protein, 1g Sugar, 24 Vitamins &amp; Minerals, Nutrients to Support Immune Health 11.5 fl oz (12 Pack)</t>
        </is>
      </c>
      <c r="AO336" t="inlineStr">
        <is>
          <t>3224</t>
        </is>
      </c>
      <c r="AP336" t="inlineStr">
        <is>
          <t>TAKE ALL</t>
        </is>
      </c>
    </row>
    <row r="337">
      <c r="A337" t="inlineStr">
        <is>
          <t>B07MJL8NXR</t>
        </is>
      </c>
      <c r="B337" t="inlineStr">
        <is>
          <t>False</t>
        </is>
      </c>
      <c r="C337" t="inlineStr">
        <is>
          <t>B07MJL8NXR</t>
        </is>
      </c>
      <c r="D337" t="inlineStr">
        <is>
          <t>Premier Protein</t>
        </is>
      </c>
      <c r="E337" t="inlineStr">
        <is>
          <t>False</t>
        </is>
      </c>
      <c r="F337" t="inlineStr">
        <is>
          <t>Premier Protein Shake, Chocolate, 30g Protein 1g Sugar 24 Vitamins Minerals Nutrients to Support Immune Health, 11.5 fl oz (Pack of 12)</t>
        </is>
      </c>
      <c r="G337">
        <v>1</v>
      </c>
      <c r="H337" s="2" t="str">
        <f>HYPERLINK("https://www.amazon.com/dp/B07MJL8NXR", "https://www.amazon.com/dp/B07MJL8NXR")</f>
      </c>
      <c r="I337" s="3">
        <v>18517</v>
      </c>
      <c r="J337" s="11">
        <v>1.95</v>
      </c>
      <c r="K337" s="5">
        <v>0.0746</v>
      </c>
      <c r="L337" s="5">
        <v>0.1696</v>
      </c>
      <c r="M337" t="inlineStr">
        <is>
          <t>True</t>
        </is>
      </c>
      <c r="N337" t="inlineStr">
        <is>
          <t>Grocery &amp; Gourmet Food</t>
        </is>
      </c>
      <c r="O337" s="6">
        <v>24</v>
      </c>
      <c r="P337" s="6">
        <v>3</v>
      </c>
      <c r="Q337" s="6">
        <v>1</v>
      </c>
      <c r="R337" s="6">
        <v>71</v>
      </c>
      <c r="S337" s="7">
        <v>11.5</v>
      </c>
      <c r="T337" s="7">
        <v>26.13</v>
      </c>
      <c r="U337">
        <v>28.82</v>
      </c>
      <c r="V337" s="8">
        <v>0</v>
      </c>
      <c r="W337" s="7">
        <v>0</v>
      </c>
      <c r="X337" s="7">
        <v>0</v>
      </c>
      <c r="Y337">
        <v>10.76</v>
      </c>
      <c r="Z337" s="9">
        <v>1</v>
      </c>
      <c r="AB337">
        <v>0</v>
      </c>
      <c r="AC337">
        <v>0</v>
      </c>
      <c r="AD337">
        <v>19</v>
      </c>
      <c r="AE337">
        <v>1</v>
      </c>
      <c r="AF337">
        <v>18</v>
      </c>
      <c r="AG337">
        <v>1</v>
      </c>
      <c r="AH337">
        <v>2</v>
      </c>
      <c r="AI337" t="inlineStr">
        <is>
          <t>False</t>
        </is>
      </c>
      <c r="AJ337" s="2" t="str">
        <f>HYPERLINK("https://keepa.com/#!product/1-B07MJL8NXR", "https://keepa.com/#!product/1-B07MJL8NXR")</f>
      </c>
      <c r="AK337" s="2" t="str">
        <f>HYPERLINK("https://camelcamelcamel.com/search?sq=B07MJL8NXR", "https://camelcamelcamel.com/search?sq=B07MJL8NXR")</f>
      </c>
      <c r="AL337" t="inlineStr">
        <is>
          <t/>
        </is>
      </c>
      <c r="AM337" s="10">
        <v>45417.11111111111</v>
      </c>
      <c r="AN337" t="inlineStr">
        <is>
          <t>HOT Premier Shake Deal</t>
        </is>
      </c>
      <c r="AO337" t="inlineStr">
        <is>
          <t>3000</t>
        </is>
      </c>
      <c r="AP337" t="inlineStr">
        <is>
          <t>1000</t>
        </is>
      </c>
    </row>
    <row r="338">
      <c r="A338" t="inlineStr">
        <is>
          <t>B07MKYV75C</t>
        </is>
      </c>
      <c r="B338" t="inlineStr">
        <is>
          <t>False</t>
        </is>
      </c>
      <c r="C338" t="inlineStr">
        <is>
          <t>B07MKYV75C</t>
        </is>
      </c>
      <c r="D338" t="inlineStr">
        <is>
          <t>Quility</t>
        </is>
      </c>
      <c r="E338" t="inlineStr">
        <is>
          <t>False</t>
        </is>
      </c>
      <c r="F338" t="inlineStr">
        <is>
          <t>Quility Weighted Blanket for Adults - 20 LB King Size Heavy Blanket for Cooling &amp; Heating - 100% Cotton Big Blanket w/ Glass Beads, Machine Washable Blankets - 86"x92", Grey</t>
        </is>
      </c>
      <c r="G338">
        <v>1</v>
      </c>
      <c r="H338" s="2" t="str">
        <f>HYPERLINK("https://www.amazon.com/dp/B07MKYV75C", "https://www.amazon.com/dp/B07MKYV75C")</f>
      </c>
      <c r="I338" s="3">
        <v>1370</v>
      </c>
      <c r="J338" s="4">
        <v>30.89</v>
      </c>
      <c r="K338" s="5">
        <v>0.25120000000000003</v>
      </c>
      <c r="L338" s="15">
        <v>0.5720000000000001</v>
      </c>
      <c r="M338" t="inlineStr">
        <is>
          <t>True</t>
        </is>
      </c>
      <c r="N338" t="inlineStr">
        <is>
          <t>Home &amp; Kitchen</t>
        </is>
      </c>
      <c r="O338" s="6">
        <v>18455</v>
      </c>
      <c r="P338" s="6">
        <v>10858</v>
      </c>
      <c r="Q338" s="6">
        <v>1694</v>
      </c>
      <c r="R338" s="6">
        <v>224</v>
      </c>
      <c r="S338" s="7">
        <v>54</v>
      </c>
      <c r="T338" s="7">
        <v>122.99</v>
      </c>
      <c r="U338">
        <v>122.99</v>
      </c>
      <c r="V338" s="8">
        <v>0</v>
      </c>
      <c r="W338" s="7">
        <v>0</v>
      </c>
      <c r="X338" s="7">
        <v>0</v>
      </c>
      <c r="Y338">
        <v>24.9</v>
      </c>
      <c r="Z338" s="8">
        <v>0</v>
      </c>
      <c r="AB338">
        <v>0</v>
      </c>
      <c r="AC338">
        <v>0</v>
      </c>
      <c r="AD338">
        <v>3</v>
      </c>
      <c r="AE338">
        <v>0</v>
      </c>
      <c r="AF338">
        <v>3</v>
      </c>
      <c r="AG338">
        <v>3</v>
      </c>
      <c r="AH338">
        <v>49</v>
      </c>
      <c r="AI338" t="inlineStr">
        <is>
          <t>False</t>
        </is>
      </c>
      <c r="AJ338" s="2" t="str">
        <f>HYPERLINK("https://keepa.com/#!product/1-B07MKYV75C", "https://keepa.com/#!product/1-B07MKYV75C")</f>
      </c>
      <c r="AK338" s="2" t="str">
        <f>HYPERLINK("https://camelcamelcamel.com/search?sq=B07MKYV75C", "https://camelcamelcamel.com/search?sq=B07MKYV75C")</f>
      </c>
      <c r="AL338" t="inlineStr">
        <is>
          <t/>
        </is>
      </c>
      <c r="AM338" s="10">
        <v>45417.11111111111</v>
      </c>
      <c r="AN338" t="inlineStr">
        <is>
          <t>Quility Weighted Blanket for Adults - 20 LB King Size Heavy Blanket for Cooling &amp; Heating - 100% Cotton Big Blanket w/ Glass Beads, Machine Washable Blankets - 86"x92", Grey</t>
        </is>
      </c>
      <c r="AO338" t="inlineStr">
        <is>
          <t>1500</t>
        </is>
      </c>
      <c r="AP338" t="inlineStr">
        <is>
          <t>100</t>
        </is>
      </c>
    </row>
    <row r="339">
      <c r="A339" t="inlineStr">
        <is>
          <t>B07N28G62S</t>
        </is>
      </c>
      <c r="B339" t="inlineStr">
        <is>
          <t>False</t>
        </is>
      </c>
      <c r="C339" t="inlineStr">
        <is>
          <t>B07N28G62S</t>
        </is>
      </c>
      <c r="D339" t="inlineStr">
        <is>
          <t>Braun</t>
        </is>
      </c>
      <c r="E339" t="inlineStr">
        <is>
          <t>True</t>
        </is>
      </c>
      <c r="F339" t="inlineStr">
        <is>
          <t>Braun Electric Nasal Aspirator for Newborns, Babies and Toddlers</t>
        </is>
      </c>
      <c r="G339">
        <v>1</v>
      </c>
      <c r="H339" s="2" t="str">
        <f>HYPERLINK("https://www.amazon.com/dp/B07N28G62S", "https://www.amazon.com/dp/B07N28G62S")</f>
      </c>
      <c r="I339" s="3">
        <v>545</v>
      </c>
      <c r="J339" s="11">
        <v>0.36</v>
      </c>
      <c r="K339" s="5">
        <v>0.015700000000000002</v>
      </c>
      <c r="L339" s="5">
        <v>0.0248</v>
      </c>
      <c r="M339" t="inlineStr">
        <is>
          <t>True</t>
        </is>
      </c>
      <c r="N339" t="inlineStr">
        <is>
          <t>Baby</t>
        </is>
      </c>
      <c r="O339" s="6">
        <v>7631</v>
      </c>
      <c r="P339" s="6">
        <v>5152</v>
      </c>
      <c r="Q339" s="6">
        <v>3224</v>
      </c>
      <c r="R339" s="6">
        <v>263</v>
      </c>
      <c r="S339" s="7">
        <v>14.5</v>
      </c>
      <c r="T339" s="7">
        <v>22.89</v>
      </c>
      <c r="U339">
        <v>29.1</v>
      </c>
      <c r="V339" s="8">
        <v>0</v>
      </c>
      <c r="W339" s="7">
        <v>0</v>
      </c>
      <c r="X339" s="7">
        <v>0</v>
      </c>
      <c r="Y339">
        <v>0.79</v>
      </c>
      <c r="Z339" s="9">
        <v>1</v>
      </c>
      <c r="AB339">
        <v>0</v>
      </c>
      <c r="AC339">
        <v>0</v>
      </c>
      <c r="AD339">
        <v>29</v>
      </c>
      <c r="AE339">
        <v>14</v>
      </c>
      <c r="AF339">
        <v>15</v>
      </c>
      <c r="AG339">
        <v>2</v>
      </c>
      <c r="AH339">
        <v>1</v>
      </c>
      <c r="AI339" t="inlineStr">
        <is>
          <t>False</t>
        </is>
      </c>
      <c r="AJ339" s="2" t="str">
        <f>HYPERLINK("https://keepa.com/#!product/1-B07N28G62S", "https://keepa.com/#!product/1-B07N28G62S")</f>
      </c>
      <c r="AK339" s="2" t="str">
        <f>HYPERLINK("https://camelcamelcamel.com/search?sq=B07N28G62S", "https://camelcamelcamel.com/search?sq=B07N28G62S")</f>
      </c>
      <c r="AL339" t="inlineStr">
        <is>
          <t/>
        </is>
      </c>
      <c r="AM339" s="10">
        <v>45417.11111111111</v>
      </c>
      <c r="AN339" t="inlineStr">
        <is>
          <t>Braun Electric Nasal Aspirator for Newborns, Babies and Toddlers</t>
        </is>
      </c>
      <c r="AO339" t="inlineStr">
        <is>
          <t>5000</t>
        </is>
      </c>
      <c r="AP339" t="inlineStr">
        <is>
          <t>TAKE ALL</t>
        </is>
      </c>
    </row>
    <row r="340">
      <c r="A340" t="inlineStr">
        <is>
          <t>B07N56163D</t>
        </is>
      </c>
      <c r="B340" t="inlineStr">
        <is>
          <t>False</t>
        </is>
      </c>
      <c r="C340" t="inlineStr">
        <is>
          <t>B07N56163D</t>
        </is>
      </c>
      <c r="D340" t="inlineStr">
        <is>
          <t>VTech</t>
        </is>
      </c>
      <c r="E340" t="inlineStr">
        <is>
          <t>False</t>
        </is>
      </c>
      <c r="F340" t="inlineStr">
        <is>
          <t>VTech VC9511 Wi-Fi IP Camera with 1080p Full HD, Remote Pan &amp; Tilt, Free Live Streaming, Free Motion-Detected Recording, Automatic Infrared Night Vision &amp; Smart Security Alarm</t>
        </is>
      </c>
      <c r="G340">
        <v>1</v>
      </c>
      <c r="H340" s="2" t="str">
        <f>HYPERLINK("https://www.amazon.com/dp/B07N56163D", "https://www.amazon.com/dp/B07N56163D")</f>
      </c>
      <c r="I340" s="14">
        <v>5</v>
      </c>
      <c r="J340" s="4">
        <v>10.78</v>
      </c>
      <c r="K340" s="5">
        <v>0.2433</v>
      </c>
      <c r="L340" s="15">
        <v>0.43119999999999997</v>
      </c>
      <c r="M340" t="inlineStr">
        <is>
          <t>False</t>
        </is>
      </c>
      <c r="N340" t="inlineStr">
        <is>
          <t>Dome Surveillance Cameras</t>
        </is>
      </c>
      <c r="O340" s="6">
        <v>11009</v>
      </c>
      <c r="P340" s="6">
        <v>0</v>
      </c>
      <c r="Q340" s="6">
        <v>0</v>
      </c>
      <c r="R340" s="6">
        <v>0</v>
      </c>
      <c r="S340" s="7">
        <v>25</v>
      </c>
      <c r="T340" s="7">
        <v>44.3</v>
      </c>
      <c r="U340">
        <v>47.22</v>
      </c>
      <c r="V340" s="8">
        <v>0</v>
      </c>
      <c r="W340" s="7">
        <v>0</v>
      </c>
      <c r="X340" s="7">
        <v>0</v>
      </c>
      <c r="Y340">
        <v>1.13</v>
      </c>
      <c r="Z340" s="8">
        <v>0</v>
      </c>
      <c r="AB340">
        <v>0</v>
      </c>
      <c r="AC340">
        <v>0</v>
      </c>
      <c r="AD340">
        <v>4</v>
      </c>
      <c r="AE340">
        <v>0</v>
      </c>
      <c r="AF340">
        <v>3</v>
      </c>
      <c r="AG340">
        <v>2</v>
      </c>
      <c r="AH340">
        <v>0</v>
      </c>
      <c r="AI340" t="inlineStr">
        <is>
          <t>False</t>
        </is>
      </c>
      <c r="AJ340" s="2" t="str">
        <f>HYPERLINK("https://keepa.com/#!product/1-B07N56163D", "https://keepa.com/#!product/1-B07N56163D")</f>
      </c>
      <c r="AK340" s="2" t="str">
        <f>HYPERLINK("https://camelcamelcamel.com/search?sq=B07N56163D", "https://camelcamelcamel.com/search?sq=B07N56163D")</f>
      </c>
      <c r="AL340" t="inlineStr">
        <is>
          <t/>
        </is>
      </c>
      <c r="AM340" s="10">
        <v>45417.11111111111</v>
      </c>
      <c r="AN340" t="inlineStr">
        <is>
          <t>VTech VC9511 Wi-Fi IP Camera with 1080p Full HD, Remote Pan &amp; Tilt, Free Live Streaming, Free Motion-Detected Recording, Automatic Infrared Night Vision &amp; Smart Security Alarm</t>
        </is>
      </c>
      <c r="AO340" t="inlineStr">
        <is>
          <t>300</t>
        </is>
      </c>
      <c r="AP340" t="inlineStr">
        <is>
          <t>TAKE ALL</t>
        </is>
      </c>
    </row>
    <row r="341">
      <c r="A341" t="inlineStr">
        <is>
          <t>B07N5F2FJ7</t>
        </is>
      </c>
      <c r="B341" t="inlineStr">
        <is>
          <t>False</t>
        </is>
      </c>
      <c r="C341" t="inlineStr">
        <is>
          <t>B07N5F2FJ7</t>
        </is>
      </c>
      <c r="D341" t="inlineStr">
        <is>
          <t>SheaMoisture</t>
        </is>
      </c>
      <c r="E341" t="inlineStr">
        <is>
          <t>False</t>
        </is>
      </c>
      <c r="F341" t="inlineStr">
        <is>
          <t>SHEA MOISTURE Jamaican Black Castor Oil Strengthen and Restore Conditioner, 19.5 Ounce</t>
        </is>
      </c>
      <c r="G341">
        <v>1</v>
      </c>
      <c r="H341" s="2" t="str">
        <f>HYPERLINK("https://www.amazon.com/dp/B07N5F2FJ7", "https://www.amazon.com/dp/B07N5F2FJ7")</f>
      </c>
      <c r="I341" s="14">
        <v>5</v>
      </c>
      <c r="J341" s="11">
        <v>1.12</v>
      </c>
      <c r="K341" s="5">
        <v>0.0535</v>
      </c>
      <c r="L341" s="5">
        <v>0.09960000000000001</v>
      </c>
      <c r="M341" t="inlineStr">
        <is>
          <t>True</t>
        </is>
      </c>
      <c r="N341" t="inlineStr">
        <is>
          <t>Beauty &amp; Personal Care</t>
        </is>
      </c>
      <c r="O341" s="6">
        <v>269629</v>
      </c>
      <c r="P341" s="6">
        <v>109554</v>
      </c>
      <c r="Q341" s="6">
        <v>21456</v>
      </c>
      <c r="R341" s="6">
        <v>108</v>
      </c>
      <c r="S341" s="7">
        <v>11.25</v>
      </c>
      <c r="T341" s="7">
        <v>20.95</v>
      </c>
      <c r="U341">
        <v>12.76</v>
      </c>
      <c r="V341" s="8">
        <v>0</v>
      </c>
      <c r="W341" s="7">
        <v>0</v>
      </c>
      <c r="X341" s="7">
        <v>0</v>
      </c>
      <c r="Y341">
        <v>1.41</v>
      </c>
      <c r="Z341" s="8">
        <v>0</v>
      </c>
      <c r="AB341">
        <v>0</v>
      </c>
      <c r="AC341">
        <v>0</v>
      </c>
      <c r="AD341">
        <v>5</v>
      </c>
      <c r="AE341">
        <v>4</v>
      </c>
      <c r="AF341">
        <v>1</v>
      </c>
      <c r="AG341">
        <v>0</v>
      </c>
      <c r="AH341">
        <v>2</v>
      </c>
      <c r="AI341" t="inlineStr">
        <is>
          <t>False</t>
        </is>
      </c>
      <c r="AJ341" s="2" t="str">
        <f>HYPERLINK("https://keepa.com/#!product/1-B07N5F2FJ7", "https://keepa.com/#!product/1-B07N5F2FJ7")</f>
      </c>
      <c r="AK341" s="2" t="str">
        <f>HYPERLINK("https://camelcamelcamel.com/search?sq=B07N5F2FJ7", "https://camelcamelcamel.com/search?sq=B07N5F2FJ7")</f>
      </c>
      <c r="AL341" t="inlineStr">
        <is>
          <t/>
        </is>
      </c>
      <c r="AM341" s="10">
        <v>45417.11111111111</v>
      </c>
      <c r="AN341" t="inlineStr">
        <is>
          <t>SHEA MOISTURE Jamaican Black Castor Oil Strengthen and Restore Conditioner, 19.5 Ounce</t>
        </is>
      </c>
      <c r="AO341" t="inlineStr">
        <is>
          <t>960</t>
        </is>
      </c>
      <c r="AP341" t="inlineStr">
        <is>
          <t>TAKE ALL</t>
        </is>
      </c>
    </row>
    <row r="342">
      <c r="A342" t="inlineStr">
        <is>
          <t>B07NDXKYZB</t>
        </is>
      </c>
      <c r="B342" t="inlineStr">
        <is>
          <t>False</t>
        </is>
      </c>
      <c r="C342" t="inlineStr">
        <is>
          <t>B07NDXKYZB</t>
        </is>
      </c>
      <c r="D342" t="inlineStr">
        <is>
          <t>Hot Wheels</t>
        </is>
      </c>
      <c r="E342" t="inlineStr">
        <is>
          <t>True</t>
        </is>
      </c>
      <c r="F342" t="inlineStr">
        <is>
          <t>Hot Wheels id 70 Ford Escort RS1600</t>
        </is>
      </c>
      <c r="G342">
        <v>1</v>
      </c>
      <c r="H342" s="2" t="str">
        <f>HYPERLINK("https://www.amazon.com/dp/B07NDXKYZB", "https://www.amazon.com/dp/B07NDXKYZB")</f>
      </c>
      <c r="I342" s="16">
        <v>28</v>
      </c>
      <c r="J342" s="12">
        <v>-2.49</v>
      </c>
      <c r="K342" s="13">
        <v>-0.35619999999999996</v>
      </c>
      <c r="L342" s="13">
        <v>-0.45270000000000005</v>
      </c>
      <c r="M342" t="inlineStr">
        <is>
          <t>True</t>
        </is>
      </c>
      <c r="N342" t="inlineStr">
        <is>
          <t>Toys &amp; Games</t>
        </is>
      </c>
      <c r="O342" s="6">
        <v>195925</v>
      </c>
      <c r="P342" s="6">
        <v>258542</v>
      </c>
      <c r="Q342" s="6">
        <v>112131</v>
      </c>
      <c r="R342" s="6">
        <v>13</v>
      </c>
      <c r="S342" s="7">
        <v>5.5</v>
      </c>
      <c r="T342" s="7">
        <v>6.99</v>
      </c>
      <c r="U342">
        <v>12.83</v>
      </c>
      <c r="V342" s="8">
        <v>0</v>
      </c>
      <c r="W342" s="7">
        <v>0</v>
      </c>
      <c r="X342" s="7">
        <v>0</v>
      </c>
      <c r="Y342">
        <v>0.2</v>
      </c>
      <c r="Z342" s="9">
        <v>0.13</v>
      </c>
      <c r="AB342">
        <v>0</v>
      </c>
      <c r="AC342">
        <v>0</v>
      </c>
      <c r="AD342">
        <v>13</v>
      </c>
      <c r="AE342">
        <v>6</v>
      </c>
      <c r="AF342">
        <v>7</v>
      </c>
      <c r="AG342">
        <v>1</v>
      </c>
      <c r="AH342">
        <v>0</v>
      </c>
      <c r="AI342" t="inlineStr">
        <is>
          <t>False</t>
        </is>
      </c>
      <c r="AJ342" s="2" t="str">
        <f>HYPERLINK("https://keepa.com/#!product/1-B07NDXKYZB", "https://keepa.com/#!product/1-B07NDXKYZB")</f>
      </c>
      <c r="AK342" s="2" t="str">
        <f>HYPERLINK("https://camelcamelcamel.com/search?sq=B07NDXKYZB", "https://camelcamelcamel.com/search?sq=B07NDXKYZB")</f>
      </c>
      <c r="AL342" t="inlineStr">
        <is>
          <t/>
        </is>
      </c>
      <c r="AM342" s="10">
        <v>45417.11111111111</v>
      </c>
      <c r="AN342" t="inlineStr">
        <is>
          <t>Hot Wheels iD 70 Ford Escort RS1600</t>
        </is>
      </c>
      <c r="AO342" t="inlineStr">
        <is>
          <t>510</t>
        </is>
      </c>
      <c r="AP342" t="inlineStr">
        <is>
          <t>TAKE ALL</t>
        </is>
      </c>
    </row>
    <row r="343">
      <c r="A343" t="inlineStr">
        <is>
          <t>B07NF9VG2H</t>
        </is>
      </c>
      <c r="B343" t="inlineStr">
        <is>
          <t>False</t>
        </is>
      </c>
      <c r="C343" t="inlineStr">
        <is>
          <t>B07NF9VG2H</t>
        </is>
      </c>
      <c r="D343" t="inlineStr">
        <is>
          <t>Colgate</t>
        </is>
      </c>
      <c r="E343" t="inlineStr">
        <is>
          <t>False</t>
        </is>
      </c>
      <c r="F343" t="inlineStr">
        <is>
          <t>Colgate Total SF Advanced Whitening Toothpaste, 6.4 Ounce (Pack of 5)</t>
        </is>
      </c>
      <c r="G343">
        <v>1</v>
      </c>
      <c r="H343" s="2" t="str">
        <f>HYPERLINK("https://www.amazon.com/dp/B07NF9VG2H", "https://www.amazon.com/dp/B07NF9VG2H")</f>
      </c>
      <c r="I343" s="3">
        <v>357</v>
      </c>
      <c r="J343" s="11">
        <v>1.81</v>
      </c>
      <c r="K343" s="5">
        <v>0.0782</v>
      </c>
      <c r="L343" s="5">
        <v>0.154</v>
      </c>
      <c r="M343" t="inlineStr">
        <is>
          <t>True</t>
        </is>
      </c>
      <c r="N343" t="inlineStr">
        <is>
          <t>Health &amp; Household</t>
        </is>
      </c>
      <c r="O343" s="6">
        <v>47073</v>
      </c>
      <c r="P343" s="6">
        <v>44844</v>
      </c>
      <c r="Q343" s="6">
        <v>20671</v>
      </c>
      <c r="R343" s="6">
        <v>243</v>
      </c>
      <c r="S343" s="7">
        <v>11.75</v>
      </c>
      <c r="T343" s="7">
        <v>23.15</v>
      </c>
      <c r="U343">
        <v>22.24</v>
      </c>
      <c r="V343" s="8">
        <v>0</v>
      </c>
      <c r="W343" s="7">
        <v>0</v>
      </c>
      <c r="X343" s="7">
        <v>0</v>
      </c>
      <c r="Y343">
        <v>2.36</v>
      </c>
      <c r="Z343" s="8">
        <v>0</v>
      </c>
      <c r="AB343">
        <v>0</v>
      </c>
      <c r="AC343">
        <v>0</v>
      </c>
      <c r="AD343">
        <v>28</v>
      </c>
      <c r="AE343">
        <v>6</v>
      </c>
      <c r="AF343">
        <v>22</v>
      </c>
      <c r="AG343">
        <v>4</v>
      </c>
      <c r="AH343">
        <v>0</v>
      </c>
      <c r="AI343" t="inlineStr">
        <is>
          <t>False</t>
        </is>
      </c>
      <c r="AJ343" s="2" t="str">
        <f>HYPERLINK("https://keepa.com/#!product/1-B07NF9VG2H", "https://keepa.com/#!product/1-B07NF9VG2H")</f>
      </c>
      <c r="AK343" s="2" t="str">
        <f>HYPERLINK("https://camelcamelcamel.com/search?sq=B07NF9VG2H", "https://camelcamelcamel.com/search?sq=B07NF9VG2H")</f>
      </c>
      <c r="AL343" t="inlineStr">
        <is>
          <t/>
        </is>
      </c>
      <c r="AM343" s="10">
        <v>45417.11111111111</v>
      </c>
      <c r="AN343" t="inlineStr">
        <is>
          <t>Colgate Total SF Advanced Whitening Toothpaste, 6.4 Ounce (Pack of 5)</t>
        </is>
      </c>
      <c r="AO343" t="inlineStr">
        <is>
          <t>300</t>
        </is>
      </c>
      <c r="AP343" t="inlineStr">
        <is>
          <t>TAKE ALL</t>
        </is>
      </c>
    </row>
    <row r="344">
      <c r="A344" t="inlineStr">
        <is>
          <t>B07NHS4D4T</t>
        </is>
      </c>
      <c r="B344" t="inlineStr">
        <is>
          <t>False</t>
        </is>
      </c>
      <c r="C344" t="inlineStr">
        <is>
          <t>B07NHS4D4T</t>
        </is>
      </c>
      <c r="D344" t="inlineStr">
        <is>
          <t>Osmo</t>
        </is>
      </c>
      <c r="E344" t="inlineStr">
        <is>
          <t>False</t>
        </is>
      </c>
      <c r="F344" t="inlineStr">
        <is>
          <t>Osmo - Genius Starter Kit for iPad &amp; iPhone - 5 Educational Learning Games - Ages 6-10 - Math, Spelling, Creativity &amp; More - STEM Toy Gifts for Kids, Boy &amp; Girl - Ages 6 7 8 9 10 (Osmo Base Included)</t>
        </is>
      </c>
      <c r="G344">
        <v>1</v>
      </c>
      <c r="H344" s="2" t="str">
        <f>HYPERLINK("https://www.amazon.com/dp/B07NHS4D4T", "https://www.amazon.com/dp/B07NHS4D4T")</f>
      </c>
      <c r="I344" s="3">
        <v>587</v>
      </c>
      <c r="J344" s="4">
        <v>28.7</v>
      </c>
      <c r="K344" s="15">
        <v>0.3328</v>
      </c>
      <c r="L344" s="15">
        <v>0.7757</v>
      </c>
      <c r="M344" t="inlineStr">
        <is>
          <t>True</t>
        </is>
      </c>
      <c r="N344" t="inlineStr">
        <is>
          <t>Toys &amp; Games</t>
        </is>
      </c>
      <c r="O344" s="6">
        <v>16725</v>
      </c>
      <c r="P344" s="6">
        <v>13219</v>
      </c>
      <c r="Q344" s="6">
        <v>7103</v>
      </c>
      <c r="R344" s="6">
        <v>227</v>
      </c>
      <c r="S344" s="7">
        <v>37</v>
      </c>
      <c r="T344" s="7">
        <v>86.23</v>
      </c>
      <c r="U344">
        <v>65.27</v>
      </c>
      <c r="V344" s="8">
        <v>0</v>
      </c>
      <c r="W344" s="7">
        <v>0</v>
      </c>
      <c r="X344" s="7">
        <v>0</v>
      </c>
      <c r="Y344">
        <v>2.82</v>
      </c>
      <c r="Z344" s="9">
        <v>1</v>
      </c>
      <c r="AB344">
        <v>0</v>
      </c>
      <c r="AC344">
        <v>0</v>
      </c>
      <c r="AD344">
        <v>13</v>
      </c>
      <c r="AE344">
        <v>1</v>
      </c>
      <c r="AF344">
        <v>2</v>
      </c>
      <c r="AG344">
        <v>1</v>
      </c>
      <c r="AH344">
        <v>3</v>
      </c>
      <c r="AI344" t="inlineStr">
        <is>
          <t>False</t>
        </is>
      </c>
      <c r="AJ344" s="2" t="str">
        <f>HYPERLINK("https://keepa.com/#!product/1-B07NHS4D4T", "https://keepa.com/#!product/1-B07NHS4D4T")</f>
      </c>
      <c r="AK344" s="2" t="str">
        <f>HYPERLINK("https://camelcamelcamel.com/search?sq=B07NHS4D4T", "https://camelcamelcamel.com/search?sq=B07NHS4D4T")</f>
      </c>
      <c r="AL344" t="inlineStr">
        <is>
          <t/>
        </is>
      </c>
      <c r="AM344" s="10">
        <v>45417.11111111111</v>
      </c>
      <c r="AN344" t="inlineStr">
        <is>
          <t>Osmo - Genius Starter Kit for iPad &amp; iPhone - 5 Educational Learning Games - Ages 6-10 - Math, Spelling, Creativity &amp; More - STEM Toy Gifts for Kids, Boy &amp; Girl - Ages 6 7 8 9 10 (Osmo Base Included)</t>
        </is>
      </c>
      <c r="AO344" t="inlineStr">
        <is>
          <t>500</t>
        </is>
      </c>
      <c r="AP344" t="inlineStr">
        <is>
          <t>250</t>
        </is>
      </c>
    </row>
    <row r="345">
      <c r="A345" t="inlineStr">
        <is>
          <t>B07NLHMYH4</t>
        </is>
      </c>
      <c r="B345" t="inlineStr">
        <is>
          <t>False</t>
        </is>
      </c>
      <c r="C345" t="inlineStr">
        <is>
          <t>B07NLHMYH4</t>
        </is>
      </c>
      <c r="D345" t="inlineStr">
        <is>
          <t>Emeril Lagasse</t>
        </is>
      </c>
      <c r="E345" t="inlineStr">
        <is>
          <t>False</t>
        </is>
      </c>
      <c r="F345" t="inlineStr">
        <is>
          <t>Emeril Lagasse Everyday 360 Air Fryer, 360° Quick Cook Technology, XL capacity,12 Pre-Set Cooking Functions including Bake, Rotisserie. Broil, Pizza, Slow Cook, Toaster and Much More, Stainless Steel</t>
        </is>
      </c>
      <c r="G345">
        <v>1</v>
      </c>
      <c r="H345" s="2" t="str">
        <f>HYPERLINK("https://www.amazon.com/dp/B07NLHMYH4", "https://www.amazon.com/dp/B07NLHMYH4")</f>
      </c>
      <c r="I345" s="3">
        <v>1173</v>
      </c>
      <c r="J345" s="4">
        <v>29.44</v>
      </c>
      <c r="K345" s="5">
        <v>0.1924</v>
      </c>
      <c r="L345" s="15">
        <v>0.3823</v>
      </c>
      <c r="M345" t="inlineStr">
        <is>
          <t>True</t>
        </is>
      </c>
      <c r="N345" t="inlineStr">
        <is>
          <t>Kitchen &amp; Dining</t>
        </is>
      </c>
      <c r="O345" s="6">
        <v>6025</v>
      </c>
      <c r="P345" s="6">
        <v>6560</v>
      </c>
      <c r="Q345" s="6">
        <v>3951</v>
      </c>
      <c r="R345" s="6">
        <v>163</v>
      </c>
      <c r="S345" s="7">
        <v>77</v>
      </c>
      <c r="T345" s="7">
        <v>152.99</v>
      </c>
      <c r="U345">
        <v>154.05</v>
      </c>
      <c r="V345" s="8">
        <v>0</v>
      </c>
      <c r="W345" s="7">
        <v>0</v>
      </c>
      <c r="X345" s="7">
        <v>0</v>
      </c>
      <c r="Y345">
        <v>21.8</v>
      </c>
      <c r="Z345" s="9">
        <v>1</v>
      </c>
      <c r="AB345">
        <v>0</v>
      </c>
      <c r="AC345">
        <v>0</v>
      </c>
      <c r="AD345">
        <v>27</v>
      </c>
      <c r="AE345">
        <v>2</v>
      </c>
      <c r="AF345">
        <v>6</v>
      </c>
      <c r="AG345">
        <v>1</v>
      </c>
      <c r="AH345">
        <v>0</v>
      </c>
      <c r="AI345" t="inlineStr">
        <is>
          <t>False</t>
        </is>
      </c>
      <c r="AJ345" s="2" t="str">
        <f>HYPERLINK("https://keepa.com/#!product/1-B07NLHMYH4", "https://keepa.com/#!product/1-B07NLHMYH4")</f>
      </c>
      <c r="AK345" s="2" t="str">
        <f>HYPERLINK("https://camelcamelcamel.com/search?sq=B07NLHMYH4", "https://camelcamelcamel.com/search?sq=B07NLHMYH4")</f>
      </c>
      <c r="AL345" t="inlineStr">
        <is>
          <t/>
        </is>
      </c>
      <c r="AM345" s="10">
        <v>45417.11111111111</v>
      </c>
      <c r="AN345" t="inlineStr">
        <is>
          <t>Emeril Lagasse Everyday 360 Air Fryer, 360Â° Quick Cook Technology, XL capacity,12 Pre-Set Cooking Functions including Bake, Rotisserie. Broil, Pizza, Slow Cook, Toaster and Much More, Stainless Steel</t>
        </is>
      </c>
      <c r="AO345" t="inlineStr">
        <is>
          <t>10000</t>
        </is>
      </c>
      <c r="AP345" t="inlineStr">
        <is>
          <t>TAKE ALL</t>
        </is>
      </c>
    </row>
    <row r="346">
      <c r="A346" t="inlineStr">
        <is>
          <t>B07NZ7XL1B</t>
        </is>
      </c>
      <c r="B346" t="inlineStr">
        <is>
          <t>False</t>
        </is>
      </c>
      <c r="C346" t="inlineStr">
        <is>
          <t>B07NZ7XL1B</t>
        </is>
      </c>
      <c r="D346" t="inlineStr">
        <is>
          <t>VieBeauti</t>
        </is>
      </c>
      <c r="E346" t="inlineStr">
        <is>
          <t>False</t>
        </is>
      </c>
      <c r="F346" t="inlineStr">
        <is>
          <t>VieBeauti Teeth Whitening Pen (3 Pcs), 30+ Uses, Effective, Painless, No Sensitivity, Travel-Friendly, Easy to Use, Beautiful White Smile, Mint Flavor</t>
        </is>
      </c>
      <c r="G346">
        <v>1</v>
      </c>
      <c r="H346" s="2" t="str">
        <f>HYPERLINK("https://www.amazon.com/dp/B07NZ7XL1B", "https://www.amazon.com/dp/B07NZ7XL1B")</f>
      </c>
      <c r="I346" s="3">
        <v>17547</v>
      </c>
      <c r="J346" s="4">
        <v>5.93</v>
      </c>
      <c r="K346" s="5">
        <v>0.2966</v>
      </c>
      <c r="L346" s="15">
        <v>0.7412000000000001</v>
      </c>
      <c r="M346" t="inlineStr">
        <is>
          <t>True</t>
        </is>
      </c>
      <c r="N346" t="inlineStr">
        <is>
          <t>Health &amp; Household</t>
        </is>
      </c>
      <c r="O346" s="6">
        <v>1114</v>
      </c>
      <c r="P346" s="6">
        <v>969</v>
      </c>
      <c r="Q346" s="6">
        <v>465</v>
      </c>
      <c r="R346" s="6">
        <v>297</v>
      </c>
      <c r="S346" s="7">
        <v>8</v>
      </c>
      <c r="T346" s="7">
        <v>19.99</v>
      </c>
      <c r="U346">
        <v>17.26</v>
      </c>
      <c r="V346" s="8">
        <v>0</v>
      </c>
      <c r="W346" s="7">
        <v>0</v>
      </c>
      <c r="X346" s="7">
        <v>0</v>
      </c>
      <c r="Y346">
        <v>0.09</v>
      </c>
      <c r="Z346" s="9">
        <v>0.01</v>
      </c>
      <c r="AB346">
        <v>0</v>
      </c>
      <c r="AC346">
        <v>0</v>
      </c>
      <c r="AD346">
        <v>5</v>
      </c>
      <c r="AE346">
        <v>5</v>
      </c>
      <c r="AF346">
        <v>0</v>
      </c>
      <c r="AG346">
        <v>1</v>
      </c>
      <c r="AH346">
        <v>1</v>
      </c>
      <c r="AI346" t="inlineStr">
        <is>
          <t>False</t>
        </is>
      </c>
      <c r="AJ346" s="2" t="str">
        <f>HYPERLINK("https://keepa.com/#!product/1-B07NZ7XL1B", "https://keepa.com/#!product/1-B07NZ7XL1B")</f>
      </c>
      <c r="AK346" s="2" t="str">
        <f>HYPERLINK("https://camelcamelcamel.com/search?sq=B07NZ7XL1B", "https://camelcamelcamel.com/search?sq=B07NZ7XL1B")</f>
      </c>
      <c r="AL346" t="inlineStr">
        <is>
          <t/>
        </is>
      </c>
      <c r="AM346" s="10">
        <v>45417.11111111111</v>
      </c>
      <c r="AN346" t="inlineStr">
        <is>
          <t>VieBeauti Teeth Whitening Pen (3 Pcs), 30+ Uses, Effective, Painless, No Sensitivity, Travel-Friendly, Easy to Use, Beautiful White Smile, Mint Flavor</t>
        </is>
      </c>
      <c r="AO346" t="inlineStr">
        <is>
          <t>300</t>
        </is>
      </c>
      <c r="AP346" t="inlineStr">
        <is>
          <t>TAKE ALL</t>
        </is>
      </c>
    </row>
    <row r="347">
      <c r="A347" t="inlineStr">
        <is>
          <t>B07P39KTFN</t>
        </is>
      </c>
      <c r="B347" t="inlineStr">
        <is>
          <t>False</t>
        </is>
      </c>
      <c r="C347" t="inlineStr">
        <is>
          <t>B07P39KTFN</t>
        </is>
      </c>
      <c r="D347" t="inlineStr">
        <is>
          <t>Easy Touch</t>
        </is>
      </c>
      <c r="E347" t="inlineStr">
        <is>
          <t>False</t>
        </is>
      </c>
      <c r="F347" t="inlineStr">
        <is>
          <t>EasyTouch U-100 Insulin Syringe with Needle, 31G 1cc 5/16-Inch (8mm), Box of 100</t>
        </is>
      </c>
      <c r="G347">
        <v>100</v>
      </c>
      <c r="H347" s="2" t="str">
        <f>HYPERLINK("https://www.amazon.com/dp/B07P39KTFN", "https://www.amazon.com/dp/B07P39KTFN")</f>
      </c>
      <c r="I347" s="3">
        <v>29172</v>
      </c>
      <c r="J347" s="12">
        <v>-986.15</v>
      </c>
      <c r="K347" s="13">
        <v>-46.981899999999996</v>
      </c>
      <c r="L347" s="13">
        <v>-0.9862000000000001</v>
      </c>
      <c r="M347" t="inlineStr">
        <is>
          <t>True</t>
        </is>
      </c>
      <c r="N347" t="inlineStr">
        <is>
          <t>Industrial &amp; Scientific</t>
        </is>
      </c>
      <c r="O347" s="6">
        <v>25</v>
      </c>
      <c r="P347" s="6">
        <v>22</v>
      </c>
      <c r="Q347" s="6">
        <v>14</v>
      </c>
      <c r="R347" s="6">
        <v>162</v>
      </c>
      <c r="S347" s="7">
        <v>10</v>
      </c>
      <c r="T347" s="7">
        <v>20.99</v>
      </c>
      <c r="U347">
        <v>21.48</v>
      </c>
      <c r="V347" s="8">
        <v>0</v>
      </c>
      <c r="W347" s="7">
        <v>0</v>
      </c>
      <c r="X347" s="7">
        <v>0</v>
      </c>
      <c r="Y347">
        <v>0.9</v>
      </c>
      <c r="Z347" s="8">
        <v>0</v>
      </c>
      <c r="AB347">
        <v>0</v>
      </c>
      <c r="AC347">
        <v>0</v>
      </c>
      <c r="AD347">
        <v>2</v>
      </c>
      <c r="AE347">
        <v>2</v>
      </c>
      <c r="AF347">
        <v>0</v>
      </c>
      <c r="AG347">
        <v>1</v>
      </c>
      <c r="AH347">
        <v>15</v>
      </c>
      <c r="AI347" t="inlineStr">
        <is>
          <t>False</t>
        </is>
      </c>
      <c r="AJ347" s="2" t="str">
        <f>HYPERLINK("https://keepa.com/#!product/1-B07P39KTFN", "https://keepa.com/#!product/1-B07P39KTFN")</f>
      </c>
      <c r="AK347" s="2" t="str">
        <f>HYPERLINK("https://camelcamelcamel.com/search?sq=B07P39KTFN", "https://camelcamelcamel.com/search?sq=B07P39KTFN")</f>
      </c>
      <c r="AL347" t="inlineStr">
        <is>
          <t/>
        </is>
      </c>
      <c r="AM347" s="10">
        <v>45417.11111111111</v>
      </c>
      <c r="AN347" t="inlineStr">
        <is>
          <t>EasyTouch U-100 Insulin Syringe with Needle, 31G 1cc 5/16-Inch (8mm), Box of 100</t>
        </is>
      </c>
      <c r="AO347" t="inlineStr">
        <is>
          <t>1700</t>
        </is>
      </c>
      <c r="AP347" t="inlineStr">
        <is>
          <t>400</t>
        </is>
      </c>
    </row>
    <row r="348">
      <c r="A348" t="inlineStr">
        <is>
          <t>B07PBXXNCY</t>
        </is>
      </c>
      <c r="B348" t="inlineStr">
        <is>
          <t>False</t>
        </is>
      </c>
      <c r="C348" t="inlineStr">
        <is>
          <t>B07PBXXNCY</t>
        </is>
      </c>
      <c r="D348" t="inlineStr">
        <is>
          <t>CLEAN SKIN CLUB</t>
        </is>
      </c>
      <c r="E348" t="inlineStr">
        <is>
          <t>False</t>
        </is>
      </c>
      <c r="F348" t="inlineStr">
        <is>
          <t>Clean Skin Club Clean Towels XL, 100% USDA Biobased Face Towel, Disposable Face Towelette, Makeup Remover Dry Wipes, Ultra Soft, 50 Ct, 1 Pack</t>
        </is>
      </c>
      <c r="G348">
        <v>50</v>
      </c>
      <c r="H348" s="2" t="str">
        <f>HYPERLINK("https://www.amazon.com/dp/B07PBXXNCY", "https://www.amazon.com/dp/B07PBXXNCY")</f>
      </c>
      <c r="I348" s="3">
        <v>113921</v>
      </c>
      <c r="J348" s="12">
        <v>-402.31</v>
      </c>
      <c r="K348" s="13">
        <v>-22.4128</v>
      </c>
      <c r="L348" s="13">
        <v>-0.9753000000000001</v>
      </c>
      <c r="M348" t="inlineStr">
        <is>
          <t>True</t>
        </is>
      </c>
      <c r="N348" t="inlineStr">
        <is>
          <t>Beauty &amp; Personal Care</t>
        </is>
      </c>
      <c r="O348" s="6">
        <v>4</v>
      </c>
      <c r="P348" s="6">
        <v>3</v>
      </c>
      <c r="Q348" s="6">
        <v>2</v>
      </c>
      <c r="R348" s="6">
        <v>46</v>
      </c>
      <c r="S348" s="7">
        <v>8.25</v>
      </c>
      <c r="T348" s="7">
        <v>17.95</v>
      </c>
      <c r="U348">
        <v>17.64</v>
      </c>
      <c r="V348" s="8">
        <v>0</v>
      </c>
      <c r="W348" s="7">
        <v>0</v>
      </c>
      <c r="X348" s="7">
        <v>0</v>
      </c>
      <c r="Y348">
        <v>0.77</v>
      </c>
      <c r="Z348" s="8">
        <v>0</v>
      </c>
      <c r="AB348">
        <v>0</v>
      </c>
      <c r="AC348">
        <v>0</v>
      </c>
      <c r="AD348">
        <v>3</v>
      </c>
      <c r="AE348">
        <v>1</v>
      </c>
      <c r="AF348">
        <v>2</v>
      </c>
      <c r="AG348">
        <v>1</v>
      </c>
      <c r="AH348">
        <v>6</v>
      </c>
      <c r="AI348" t="inlineStr">
        <is>
          <t>False</t>
        </is>
      </c>
      <c r="AJ348" s="2" t="str">
        <f>HYPERLINK("https://keepa.com/#!product/1-B07PBXXNCY", "https://keepa.com/#!product/1-B07PBXXNCY")</f>
      </c>
      <c r="AK348" s="2" t="str">
        <f>HYPERLINK("https://camelcamelcamel.com/search?sq=B07PBXXNCY", "https://camelcamelcamel.com/search?sq=B07PBXXNCY")</f>
      </c>
      <c r="AL348" t="inlineStr">
        <is>
          <t/>
        </is>
      </c>
      <c r="AM348" s="10">
        <v>45417.11111111111</v>
      </c>
      <c r="AN348" t="inlineStr">
        <is>
          <t>Clean Skin Club Clean Towels XL, 100% USDA Biobased Face Towel, Disposable Face Towelette, Makeup Remover Dry Wipes, Ultra Soft, 50 Ct, 1 Pack</t>
        </is>
      </c>
      <c r="AO348" t="inlineStr">
        <is>
          <t>12000</t>
        </is>
      </c>
      <c r="AP348" t="inlineStr">
        <is>
          <t>1000</t>
        </is>
      </c>
    </row>
    <row r="349">
      <c r="A349" t="inlineStr">
        <is>
          <t>B07PNCCLD2</t>
        </is>
      </c>
      <c r="B349" t="inlineStr">
        <is>
          <t>False</t>
        </is>
      </c>
      <c r="C349" t="inlineStr">
        <is>
          <t>B07PNCCLD2</t>
        </is>
      </c>
      <c r="D349" t="inlineStr">
        <is>
          <t>CeraVe</t>
        </is>
      </c>
      <c r="E349" t="inlineStr">
        <is>
          <t>False</t>
        </is>
      </c>
      <c r="F349" t="inlineStr">
        <is>
          <t>CeraVe Vitamin C Serum with Hyaluronic Acid | Skin Brightening Serum for Face with 10% Pure Vitamin C | Fragrance Free | 1 Fl. Oz</t>
        </is>
      </c>
      <c r="G349">
        <v>1</v>
      </c>
      <c r="H349" s="2" t="str">
        <f>HYPERLINK("https://www.amazon.com/dp/B07PNCCLD2", "https://www.amazon.com/dp/B07PNCCLD2")</f>
      </c>
      <c r="I349" s="3">
        <v>31568</v>
      </c>
      <c r="J349" s="12">
        <v>-1.09</v>
      </c>
      <c r="K349" s="13">
        <v>-0.0681</v>
      </c>
      <c r="L349" s="13">
        <v>-0.09910000000000001</v>
      </c>
      <c r="M349" t="inlineStr">
        <is>
          <t>True</t>
        </is>
      </c>
      <c r="N349" t="inlineStr">
        <is>
          <t>Beauty &amp; Personal Care</t>
        </is>
      </c>
      <c r="O349" s="6">
        <v>212</v>
      </c>
      <c r="P349" s="6">
        <v>210</v>
      </c>
      <c r="Q349" s="6">
        <v>136</v>
      </c>
      <c r="R349" s="6">
        <v>354</v>
      </c>
      <c r="S349" s="7">
        <v>11</v>
      </c>
      <c r="T349" s="7">
        <v>16</v>
      </c>
      <c r="U349">
        <v>17.29</v>
      </c>
      <c r="V349" s="8">
        <v>0</v>
      </c>
      <c r="W349" s="7">
        <v>0</v>
      </c>
      <c r="X349" s="7">
        <v>0</v>
      </c>
      <c r="Y349">
        <v>0.22</v>
      </c>
      <c r="Z349" s="9">
        <v>1</v>
      </c>
      <c r="AB349">
        <v>0</v>
      </c>
      <c r="AC349">
        <v>0</v>
      </c>
      <c r="AD349">
        <v>82</v>
      </c>
      <c r="AE349">
        <v>39</v>
      </c>
      <c r="AF349">
        <v>43</v>
      </c>
      <c r="AG349">
        <v>3</v>
      </c>
      <c r="AH349">
        <v>1</v>
      </c>
      <c r="AI349" t="inlineStr">
        <is>
          <t>False</t>
        </is>
      </c>
      <c r="AJ349" s="2" t="str">
        <f>HYPERLINK("https://keepa.com/#!product/1-B07PNCCLD2", "https://keepa.com/#!product/1-B07PNCCLD2")</f>
      </c>
      <c r="AK349" s="2" t="str">
        <f>HYPERLINK("https://camelcamelcamel.com/search?sq=B07PNCCLD2", "https://camelcamelcamel.com/search?sq=B07PNCCLD2")</f>
      </c>
      <c r="AL349" t="inlineStr">
        <is>
          <t/>
        </is>
      </c>
      <c r="AM349" s="10">
        <v>45417.11111111111</v>
      </c>
      <c r="AN349" t="inlineStr">
        <is>
          <t>CeraVe Vitamin C Serum with Hyaluronic Acid | Skin Brightening Serum for Face with 10% Pure Vitamin C | Fragrance Free | 1 Fl. Oz</t>
        </is>
      </c>
      <c r="AO349" t="inlineStr">
        <is>
          <t>9000</t>
        </is>
      </c>
      <c r="AP349" t="inlineStr">
        <is>
          <t>3500</t>
        </is>
      </c>
    </row>
    <row r="350">
      <c r="A350" t="inlineStr">
        <is>
          <t>B07PRDLYJZ</t>
        </is>
      </c>
      <c r="B350" t="inlineStr">
        <is>
          <t>False</t>
        </is>
      </c>
      <c r="C350" t="inlineStr">
        <is>
          <t>B07PRDLYJZ</t>
        </is>
      </c>
      <c r="D350" t="inlineStr">
        <is>
          <t>Zampa</t>
        </is>
      </c>
      <c r="E350" t="inlineStr">
        <is>
          <t>False</t>
        </is>
      </c>
      <c r="F350" t="inlineStr">
        <is>
          <t>Zampa Puppy Playpen Small 36"x36"x24" Portable Pop Up Playpen for Dog and Cat, Foldable | Indoor/Outdoor Kitten Pen &amp; Travel Pet Carrier + Carrying Case.</t>
        </is>
      </c>
      <c r="G350">
        <v>1</v>
      </c>
      <c r="H350" s="2" t="str">
        <f>HYPERLINK("https://www.amazon.com/dp/B07PRDLYJZ", "https://www.amazon.com/dp/B07PRDLYJZ")</f>
      </c>
      <c r="I350" s="3">
        <v>167</v>
      </c>
      <c r="J350" s="4">
        <v>11.75</v>
      </c>
      <c r="K350" s="5">
        <v>0.1754</v>
      </c>
      <c r="L350" s="15">
        <v>0.35609999999999997</v>
      </c>
      <c r="M350" t="inlineStr">
        <is>
          <t>True</t>
        </is>
      </c>
      <c r="N350" t="inlineStr">
        <is>
          <t>Pet Supplies</t>
        </is>
      </c>
      <c r="O350" s="6">
        <v>28039</v>
      </c>
      <c r="P350" s="6">
        <v>38457</v>
      </c>
      <c r="Q350" s="6">
        <v>22188</v>
      </c>
      <c r="R350" s="6">
        <v>100</v>
      </c>
      <c r="S350" s="7">
        <v>33</v>
      </c>
      <c r="T350" s="7">
        <v>66.99</v>
      </c>
      <c r="U350">
        <v>65.79</v>
      </c>
      <c r="V350" s="8">
        <v>0</v>
      </c>
      <c r="W350" s="7">
        <v>0</v>
      </c>
      <c r="X350" s="7">
        <v>0</v>
      </c>
      <c r="Y350">
        <v>4.75</v>
      </c>
      <c r="Z350" s="8">
        <v>0</v>
      </c>
      <c r="AB350">
        <v>0</v>
      </c>
      <c r="AC350">
        <v>0</v>
      </c>
      <c r="AD350">
        <v>3</v>
      </c>
      <c r="AE350">
        <v>3</v>
      </c>
      <c r="AF350">
        <v>0</v>
      </c>
      <c r="AG350">
        <v>3</v>
      </c>
      <c r="AH350">
        <v>15</v>
      </c>
      <c r="AI350" t="inlineStr">
        <is>
          <t>False</t>
        </is>
      </c>
      <c r="AJ350" s="2" t="str">
        <f>HYPERLINK("https://keepa.com/#!product/1-B07PRDLYJZ", "https://keepa.com/#!product/1-B07PRDLYJZ")</f>
      </c>
      <c r="AK350" s="2" t="str">
        <f>HYPERLINK("https://camelcamelcamel.com/search?sq=B07PRDLYJZ", "https://camelcamelcamel.com/search?sq=B07PRDLYJZ")</f>
      </c>
      <c r="AL350" t="inlineStr">
        <is>
          <t/>
        </is>
      </c>
      <c r="AM350" s="10">
        <v>45417.11111111111</v>
      </c>
      <c r="AN350" t="inlineStr">
        <is>
          <t>Zampa Puppy Playpen Small 36"x36"x24" Portable Pop Up Playpen for Dog and Cat, Foldable | Indoor/Outdoor Kitten Pen &amp; Travel Pet Carrier + Carrying Case.</t>
        </is>
      </c>
      <c r="AO350" t="inlineStr">
        <is>
          <t>144</t>
        </is>
      </c>
      <c r="AP350" t="inlineStr">
        <is>
          <t>TAKE ALL</t>
        </is>
      </c>
    </row>
    <row r="351">
      <c r="A351" t="inlineStr">
        <is>
          <t>B07PSKMWV3</t>
        </is>
      </c>
      <c r="B351" t="inlineStr">
        <is>
          <t>False</t>
        </is>
      </c>
      <c r="C351" t="inlineStr">
        <is>
          <t>B07PSKMWV3</t>
        </is>
      </c>
      <c r="D351" t="inlineStr">
        <is>
          <t>Zampa</t>
        </is>
      </c>
      <c r="E351" t="inlineStr">
        <is>
          <t>False</t>
        </is>
      </c>
      <c r="F351" t="inlineStr">
        <is>
          <t>Zampa Dog Playpen Large 61"x61"x30" Pop Up Portable Playpen for Dogs and Cat, Foldable | Indoor/Outdoor Pen &amp; Travel Pet Carrier + Carrying Case.</t>
        </is>
      </c>
      <c r="G351">
        <v>1</v>
      </c>
      <c r="H351" s="2" t="str">
        <f>HYPERLINK("https://www.amazon.com/dp/B07PSKMWV3", "https://www.amazon.com/dp/B07PSKMWV3")</f>
      </c>
      <c r="I351" s="3">
        <v>167</v>
      </c>
      <c r="J351" s="4">
        <v>26.72</v>
      </c>
      <c r="K351" s="5">
        <v>0.2193</v>
      </c>
      <c r="L351" s="15">
        <v>0.44530000000000003</v>
      </c>
      <c r="M351" t="inlineStr">
        <is>
          <t>True</t>
        </is>
      </c>
      <c r="N351" t="inlineStr">
        <is>
          <t>Pet Supplies</t>
        </is>
      </c>
      <c r="O351" s="6">
        <v>28039</v>
      </c>
      <c r="P351" s="6">
        <v>38145</v>
      </c>
      <c r="Q351" s="6">
        <v>22188</v>
      </c>
      <c r="R351" s="6">
        <v>133</v>
      </c>
      <c r="S351" s="7">
        <v>60</v>
      </c>
      <c r="T351" s="7">
        <v>121.85</v>
      </c>
      <c r="U351">
        <v>113.47</v>
      </c>
      <c r="V351" s="8">
        <v>0</v>
      </c>
      <c r="W351" s="7">
        <v>0</v>
      </c>
      <c r="X351" s="7">
        <v>0</v>
      </c>
      <c r="Y351">
        <v>9.24</v>
      </c>
      <c r="Z351" s="8">
        <v>0</v>
      </c>
      <c r="AB351">
        <v>0</v>
      </c>
      <c r="AC351">
        <v>0</v>
      </c>
      <c r="AD351">
        <v>1</v>
      </c>
      <c r="AE351">
        <v>1</v>
      </c>
      <c r="AF351">
        <v>0</v>
      </c>
      <c r="AG351">
        <v>1</v>
      </c>
      <c r="AH351">
        <v>15</v>
      </c>
      <c r="AI351" t="inlineStr">
        <is>
          <t>False</t>
        </is>
      </c>
      <c r="AJ351" s="2" t="str">
        <f>HYPERLINK("https://keepa.com/#!product/1-B07PSKMWV3", "https://keepa.com/#!product/1-B07PSKMWV3")</f>
      </c>
      <c r="AK351" s="2" t="str">
        <f>HYPERLINK("https://camelcamelcamel.com/search?sq=B07PSKMWV3", "https://camelcamelcamel.com/search?sq=B07PSKMWV3")</f>
      </c>
      <c r="AL351" t="inlineStr">
        <is>
          <t/>
        </is>
      </c>
      <c r="AM351" s="10">
        <v>45417.11111111111</v>
      </c>
      <c r="AN351" t="inlineStr">
        <is>
          <t>Zampa Dog Playpen Large 61"x61"x30" Pop Up Portable Playpen for Dogs and Cat, Foldable | Indoor/Outdoor Pen &amp; Travel Pet Carrier + Carrying Case.</t>
        </is>
      </c>
      <c r="AO351" t="inlineStr">
        <is>
          <t>96</t>
        </is>
      </c>
      <c r="AP351" t="inlineStr">
        <is>
          <t>TAKE ALL</t>
        </is>
      </c>
    </row>
    <row r="352">
      <c r="A352" t="inlineStr">
        <is>
          <t>B07PSPH3MV</t>
        </is>
      </c>
      <c r="B352" t="inlineStr">
        <is>
          <t>False</t>
        </is>
      </c>
      <c r="C352" t="inlineStr">
        <is>
          <t>B07PSPH3MV</t>
        </is>
      </c>
      <c r="D352" t="inlineStr">
        <is>
          <t>iRobot</t>
        </is>
      </c>
      <c r="E352" t="inlineStr">
        <is>
          <t>False</t>
        </is>
      </c>
      <c r="F352" t="inlineStr">
        <is>
          <t>iRobot Authentic Replacement Parts - Replenishment Kit Compatible with all Roomba 600 series, 614, 675, 692, 694</t>
        </is>
      </c>
      <c r="G352">
        <v>1</v>
      </c>
      <c r="H352" s="2" t="str">
        <f>HYPERLINK("https://www.amazon.com/dp/B07PSPH3MV", "https://www.amazon.com/dp/B07PSPH3MV")</f>
      </c>
      <c r="I352" s="3">
        <v>804</v>
      </c>
      <c r="J352" s="4">
        <v>11.04</v>
      </c>
      <c r="K352" s="5">
        <v>0.2506</v>
      </c>
      <c r="L352" s="15">
        <v>0.5385</v>
      </c>
      <c r="M352" t="inlineStr">
        <is>
          <t>True</t>
        </is>
      </c>
      <c r="N352" t="inlineStr">
        <is>
          <t>Home &amp; Kitchen</t>
        </is>
      </c>
      <c r="O352" s="6">
        <v>33525</v>
      </c>
      <c r="P352" s="6">
        <v>23122</v>
      </c>
      <c r="Q352" s="6">
        <v>11762</v>
      </c>
      <c r="R352" s="6">
        <v>179</v>
      </c>
      <c r="S352" s="7">
        <v>20.5</v>
      </c>
      <c r="T352" s="7">
        <v>44.05</v>
      </c>
      <c r="U352">
        <v>44.25</v>
      </c>
      <c r="V352" s="8">
        <v>0</v>
      </c>
      <c r="W352" s="7">
        <v>0</v>
      </c>
      <c r="X352" s="7">
        <v>0</v>
      </c>
      <c r="Y352">
        <v>0.71</v>
      </c>
      <c r="Z352" s="9">
        <v>0.71</v>
      </c>
      <c r="AB352">
        <v>0</v>
      </c>
      <c r="AC352">
        <v>0</v>
      </c>
      <c r="AD352">
        <v>8</v>
      </c>
      <c r="AE352">
        <v>4</v>
      </c>
      <c r="AF352">
        <v>0</v>
      </c>
      <c r="AG352">
        <v>3</v>
      </c>
      <c r="AH352">
        <v>0</v>
      </c>
      <c r="AI352" t="inlineStr">
        <is>
          <t>False</t>
        </is>
      </c>
      <c r="AJ352" s="2" t="str">
        <f>HYPERLINK("https://keepa.com/#!product/1-B07PSPH3MV", "https://keepa.com/#!product/1-B07PSPH3MV")</f>
      </c>
      <c r="AK352" s="2" t="str">
        <f>HYPERLINK("https://camelcamelcamel.com/search?sq=B07PSPH3MV", "https://camelcamelcamel.com/search?sq=B07PSPH3MV")</f>
      </c>
      <c r="AL352" t="inlineStr">
        <is>
          <t/>
        </is>
      </c>
      <c r="AM352" s="10">
        <v>45417.11111111111</v>
      </c>
      <c r="AN352" t="inlineStr">
        <is>
          <t>iRobot Authentic Replacement Parts - Replenishment Kit Compatible with all Roomba 600 series, 614, 675, 692, 694</t>
        </is>
      </c>
      <c r="AO352" t="inlineStr">
        <is>
          <t>1500</t>
        </is>
      </c>
      <c r="AP352" t="inlineStr">
        <is>
          <t>TAKE ALL</t>
        </is>
      </c>
    </row>
    <row r="353">
      <c r="A353" t="inlineStr">
        <is>
          <t>B07PWH8GTZ</t>
        </is>
      </c>
      <c r="B353" t="inlineStr">
        <is>
          <t>False</t>
        </is>
      </c>
      <c r="C353" t="inlineStr">
        <is>
          <t>B07PWH8GTZ</t>
        </is>
      </c>
      <c r="D353" t="inlineStr">
        <is>
          <t>Orgain</t>
        </is>
      </c>
      <c r="E353" t="inlineStr">
        <is>
          <t>False</t>
        </is>
      </c>
      <c r="F353" t="inlineStr">
        <is>
          <t>Orgain Keto Collagen Protein Powder, Vanilla - 10g Grass Fed Hydrolyzed Collagen Peptides Type 1 &amp; 3, 10g Protein, 5g MCT Oil - Hair, Skin, Nail, &amp; Joint Support, Gluten Free, Paleo - 0.88lb</t>
        </is>
      </c>
      <c r="G353">
        <v>1</v>
      </c>
      <c r="H353" s="2" t="str">
        <f>HYPERLINK("https://www.amazon.com/dp/B07PWH8GTZ", "https://www.amazon.com/dp/B07PWH8GTZ")</f>
      </c>
      <c r="I353" s="3">
        <v>6482</v>
      </c>
      <c r="J353" s="11">
        <v>3.9</v>
      </c>
      <c r="K353" s="5">
        <v>0.1369</v>
      </c>
      <c r="L353" s="5">
        <v>0.2557</v>
      </c>
      <c r="M353" t="inlineStr">
        <is>
          <t>True</t>
        </is>
      </c>
      <c r="N353" t="inlineStr">
        <is>
          <t>Health &amp; Household</t>
        </is>
      </c>
      <c r="O353" s="6">
        <v>4007</v>
      </c>
      <c r="P353" s="6">
        <v>3811</v>
      </c>
      <c r="Q353" s="6">
        <v>2963</v>
      </c>
      <c r="R353" s="6">
        <v>278</v>
      </c>
      <c r="S353" s="7">
        <v>15.25</v>
      </c>
      <c r="T353" s="7">
        <v>28.49</v>
      </c>
      <c r="U353">
        <v>26.83</v>
      </c>
      <c r="V353" s="8">
        <v>0</v>
      </c>
      <c r="W353" s="7">
        <v>0</v>
      </c>
      <c r="X353" s="7">
        <v>0</v>
      </c>
      <c r="Y353">
        <v>1.14</v>
      </c>
      <c r="Z353" s="9">
        <v>1</v>
      </c>
      <c r="AB353">
        <v>0</v>
      </c>
      <c r="AC353">
        <v>0</v>
      </c>
      <c r="AD353">
        <v>9</v>
      </c>
      <c r="AE353">
        <v>2</v>
      </c>
      <c r="AF353">
        <v>7</v>
      </c>
      <c r="AG353">
        <v>2</v>
      </c>
      <c r="AH353">
        <v>2</v>
      </c>
      <c r="AI353" t="inlineStr">
        <is>
          <t>False</t>
        </is>
      </c>
      <c r="AJ353" s="2" t="str">
        <f>HYPERLINK("https://keepa.com/#!product/1-B07PWH8GTZ", "https://keepa.com/#!product/1-B07PWH8GTZ")</f>
      </c>
      <c r="AK353" s="2" t="str">
        <f>HYPERLINK("https://camelcamelcamel.com/search?sq=B07PWH8GTZ", "https://camelcamelcamel.com/search?sq=B07PWH8GTZ")</f>
      </c>
      <c r="AL353" t="inlineStr">
        <is>
          <t/>
        </is>
      </c>
      <c r="AM353" s="10">
        <v>45417.11111111111</v>
      </c>
      <c r="AN353" t="inlineStr">
        <is>
          <t>Orgain Keto Collagen Protein Powder, Vanilla - 10g Grass Fed Hydrolyzed Collagen Peptides Type 1 &amp; 3, 10g Protein, 5g MCT Oil - Hair, Skin, Nail, &amp; Joint Support, Gluten Free, Paleo - 0.88lb</t>
        </is>
      </c>
      <c r="AO353" t="inlineStr">
        <is>
          <t>720</t>
        </is>
      </c>
      <c r="AP353" t="inlineStr">
        <is>
          <t>360</t>
        </is>
      </c>
    </row>
    <row r="354">
      <c r="A354" t="inlineStr">
        <is>
          <t>B07PXNNFGT</t>
        </is>
      </c>
      <c r="B354" t="inlineStr">
        <is>
          <t>False</t>
        </is>
      </c>
      <c r="C354" t="inlineStr">
        <is>
          <t>B07PXNNFGT</t>
        </is>
      </c>
      <c r="D354" t="inlineStr">
        <is>
          <t>Orgain</t>
        </is>
      </c>
      <c r="E354" t="inlineStr">
        <is>
          <t>False</t>
        </is>
      </c>
      <c r="F354" t="inlineStr">
        <is>
          <t>Orgain Organic Protein + Superfoods Powder, Vanilla Bean - 21g of Protein, Vegan, Plant Based, 5g of Fiber, No Dairy, Gluten, Soy or Added Sugar, Non-GMO, 2.02lb</t>
        </is>
      </c>
      <c r="G354">
        <v>1</v>
      </c>
      <c r="H354" s="2" t="str">
        <f>HYPERLINK("https://www.amazon.com/dp/B07PXNNFGT", "https://www.amazon.com/dp/B07PXNNFGT")</f>
      </c>
      <c r="I354" s="14">
        <v>5</v>
      </c>
      <c r="J354" s="11">
        <v>3.73</v>
      </c>
      <c r="K354" s="5">
        <v>0.12869999999999998</v>
      </c>
      <c r="L354" s="5">
        <v>0.2529</v>
      </c>
      <c r="M354" t="inlineStr">
        <is>
          <t>True</t>
        </is>
      </c>
      <c r="N354" t="inlineStr">
        <is>
          <t>Climate Pledge Friendly</t>
        </is>
      </c>
      <c r="O354" s="6">
        <v>115</v>
      </c>
      <c r="P354" s="6">
        <v>193</v>
      </c>
      <c r="Q354" s="6">
        <v>69</v>
      </c>
      <c r="R354" s="6">
        <v>117</v>
      </c>
      <c r="S354" s="7">
        <v>14.75</v>
      </c>
      <c r="T354" s="7">
        <v>28.99</v>
      </c>
      <c r="U354">
        <v>28.33</v>
      </c>
      <c r="V354" s="8">
        <v>0</v>
      </c>
      <c r="W354" s="7">
        <v>0</v>
      </c>
      <c r="X354" s="7">
        <v>0</v>
      </c>
      <c r="Y354">
        <v>2.36</v>
      </c>
      <c r="Z354" s="9">
        <v>0.88</v>
      </c>
      <c r="AB354">
        <v>0</v>
      </c>
      <c r="AC354">
        <v>0</v>
      </c>
      <c r="AD354">
        <v>14</v>
      </c>
      <c r="AE354">
        <v>2</v>
      </c>
      <c r="AF354">
        <v>12</v>
      </c>
      <c r="AG354">
        <v>2</v>
      </c>
      <c r="AH354">
        <v>2</v>
      </c>
      <c r="AI354" t="inlineStr">
        <is>
          <t>False</t>
        </is>
      </c>
      <c r="AJ354" s="2" t="str">
        <f>HYPERLINK("https://keepa.com/#!product/1-B07PXNNFGT", "https://keepa.com/#!product/1-B07PXNNFGT")</f>
      </c>
      <c r="AK354" s="2" t="str">
        <f>HYPERLINK("https://camelcamelcamel.com/search?sq=B07PXNNFGT", "https://camelcamelcamel.com/search?sq=B07PXNNFGT")</f>
      </c>
      <c r="AL354" t="inlineStr">
        <is>
          <t/>
        </is>
      </c>
      <c r="AM354" s="10">
        <v>45417.11111111111</v>
      </c>
      <c r="AN354" t="inlineStr">
        <is>
          <t>Orgain Organic Protein + Superfoods Powder, Vanilla Bean - 21g of Protein, Vegan, Plant Based, 5g of Fiber, No Dairy, Gluten, Soy or Added Sugar, Non-GMO, 2.02lb</t>
        </is>
      </c>
      <c r="AO354" t="inlineStr">
        <is>
          <t>1000</t>
        </is>
      </c>
      <c r="AP354" t="inlineStr">
        <is>
          <t>500</t>
        </is>
      </c>
    </row>
    <row r="355">
      <c r="A355" t="inlineStr">
        <is>
          <t>B07PXT5LYR</t>
        </is>
      </c>
      <c r="B355" t="inlineStr">
        <is>
          <t>False</t>
        </is>
      </c>
      <c r="C355" t="inlineStr">
        <is>
          <t>B07PXT5LYR</t>
        </is>
      </c>
      <c r="D355" t="inlineStr">
        <is>
          <t>Nature's Bounty</t>
        </is>
      </c>
      <c r="E355" t="inlineStr">
        <is>
          <t>False</t>
        </is>
      </c>
      <c r="F355" t="inlineStr">
        <is>
          <t>Nature's Bounty Sleep3 Melatonin 10mg, Maximum Strength 100% Drug Free Sleep Aid, Dietary Supplement, L-Theanine &amp; Nighttime Herbal Blend Time Release Technology, 60 Tri-Layered Tablets</t>
        </is>
      </c>
      <c r="G355">
        <v>1</v>
      </c>
      <c r="H355" s="2" t="str">
        <f>HYPERLINK("https://www.amazon.com/dp/B07PXT5LYR", "https://www.amazon.com/dp/B07PXT5LYR")</f>
      </c>
      <c r="I355" s="3">
        <v>7570</v>
      </c>
      <c r="J355" s="12">
        <v>-1.56</v>
      </c>
      <c r="K355" s="13">
        <v>-0.11939999999999999</v>
      </c>
      <c r="L355" s="13">
        <v>-0.1783</v>
      </c>
      <c r="M355" t="inlineStr">
        <is>
          <t>True</t>
        </is>
      </c>
      <c r="N355" t="inlineStr">
        <is>
          <t>Health &amp; Household</t>
        </is>
      </c>
      <c r="O355" s="6">
        <v>3358</v>
      </c>
      <c r="P355" s="6">
        <v>3496</v>
      </c>
      <c r="Q355" s="6">
        <v>2633</v>
      </c>
      <c r="R355" s="6">
        <v>280</v>
      </c>
      <c r="S355" s="7">
        <v>8.75</v>
      </c>
      <c r="T355" s="7">
        <v>13.07</v>
      </c>
      <c r="U355">
        <v>13.33</v>
      </c>
      <c r="V355" s="8">
        <v>0</v>
      </c>
      <c r="W355" s="7">
        <v>0</v>
      </c>
      <c r="X355" s="7">
        <v>0</v>
      </c>
      <c r="Y355">
        <v>0.2</v>
      </c>
      <c r="Z355" s="9">
        <v>1</v>
      </c>
      <c r="AB355">
        <v>0</v>
      </c>
      <c r="AC355">
        <v>0</v>
      </c>
      <c r="AD355">
        <v>5</v>
      </c>
      <c r="AE355">
        <v>1</v>
      </c>
      <c r="AF355">
        <v>4</v>
      </c>
      <c r="AG355">
        <v>1</v>
      </c>
      <c r="AH355">
        <v>1</v>
      </c>
      <c r="AI355" t="inlineStr">
        <is>
          <t>False</t>
        </is>
      </c>
      <c r="AJ355" s="2" t="str">
        <f>HYPERLINK("https://keepa.com/#!product/1-B07PXT5LYR", "https://keepa.com/#!product/1-B07PXT5LYR")</f>
      </c>
      <c r="AK355" s="2" t="str">
        <f>HYPERLINK("https://camelcamelcamel.com/search?sq=B07PXT5LYR", "https://camelcamelcamel.com/search?sq=B07PXT5LYR")</f>
      </c>
      <c r="AL355" t="inlineStr">
        <is>
          <t/>
        </is>
      </c>
      <c r="AM355" s="10">
        <v>45417.11111111111</v>
      </c>
      <c r="AN355" t="inlineStr">
        <is>
          <t>Nature's Bounty Sleep3 Melatonin 10mg, Maximum Strength 100% Drug Free Sleep Aid, Dietary Supplement, L-Theanine &amp; Nighttime Herbal Blend Time Release Technology, 60 Tri-Layered Tablets</t>
        </is>
      </c>
      <c r="AO355" t="inlineStr">
        <is>
          <t>408</t>
        </is>
      </c>
      <c r="AP355" t="inlineStr">
        <is>
          <t>TAKE ALL</t>
        </is>
      </c>
    </row>
    <row r="356">
      <c r="A356" t="inlineStr">
        <is>
          <t>B07Q23GLLX</t>
        </is>
      </c>
      <c r="B356" t="inlineStr">
        <is>
          <t>False</t>
        </is>
      </c>
      <c r="C356" t="inlineStr">
        <is>
          <t>B07Q23GLLX</t>
        </is>
      </c>
      <c r="D356" t="inlineStr">
        <is>
          <t>subrtex</t>
        </is>
      </c>
      <c r="E356" t="inlineStr">
        <is>
          <t>False</t>
        </is>
      </c>
      <c r="F356" t="inlineStr">
        <is>
          <t>subrtex 3 Inch Gel-Infused Memory Foam Mattress Topper High Density Cooling Bed Topper Pad Removable Fitted Cover Ventilated Design (Queen)</t>
        </is>
      </c>
      <c r="G356">
        <v>1</v>
      </c>
      <c r="H356" s="2" t="str">
        <f>HYPERLINK("https://www.amazon.com/dp/B07Q23GLLX", "https://www.amazon.com/dp/B07Q23GLLX")</f>
      </c>
      <c r="I356" s="3">
        <v>1282</v>
      </c>
      <c r="J356" s="4">
        <v>18.86</v>
      </c>
      <c r="K356" s="5">
        <v>0.1886</v>
      </c>
      <c r="L356" s="15">
        <v>0.44380000000000003</v>
      </c>
      <c r="M356" t="inlineStr">
        <is>
          <t>True</t>
        </is>
      </c>
      <c r="N356" t="inlineStr">
        <is>
          <t>Home &amp; Kitchen</t>
        </is>
      </c>
      <c r="O356" s="6">
        <v>19870</v>
      </c>
      <c r="P356" s="6">
        <v>12762</v>
      </c>
      <c r="Q356" s="6">
        <v>5715</v>
      </c>
      <c r="R356" s="6">
        <v>183</v>
      </c>
      <c r="S356" s="7">
        <v>42.5</v>
      </c>
      <c r="T356" s="7">
        <v>99.99</v>
      </c>
      <c r="U356">
        <v>104.18</v>
      </c>
      <c r="V356" s="8">
        <v>0</v>
      </c>
      <c r="W356" s="7">
        <v>0</v>
      </c>
      <c r="X356" s="7">
        <v>0</v>
      </c>
      <c r="Y356">
        <v>26.55</v>
      </c>
      <c r="Z356" s="9">
        <v>0.02</v>
      </c>
      <c r="AB356">
        <v>0</v>
      </c>
      <c r="AC356">
        <v>0</v>
      </c>
      <c r="AD356">
        <v>6</v>
      </c>
      <c r="AE356">
        <v>1</v>
      </c>
      <c r="AF356">
        <v>1</v>
      </c>
      <c r="AG356">
        <v>1</v>
      </c>
      <c r="AH356">
        <v>16</v>
      </c>
      <c r="AI356" t="inlineStr">
        <is>
          <t>False</t>
        </is>
      </c>
      <c r="AJ356" s="2" t="str">
        <f>HYPERLINK("https://keepa.com/#!product/1-B07Q23GLLX", "https://keepa.com/#!product/1-B07Q23GLLX")</f>
      </c>
      <c r="AK356" s="2" t="str">
        <f>HYPERLINK("https://camelcamelcamel.com/search?sq=B07Q23GLLX", "https://camelcamelcamel.com/search?sq=B07Q23GLLX")</f>
      </c>
      <c r="AL356" t="inlineStr">
        <is>
          <t/>
        </is>
      </c>
      <c r="AM356" s="10">
        <v>45417.11111111111</v>
      </c>
      <c r="AN356" t="inlineStr">
        <is>
          <t>subrtex 3 Inch Gel-Infused Memory Foam Bed Mattress Topper High Density Cooling Pad Removable Fitted Cover Ventilated Design (Queen)</t>
        </is>
      </c>
      <c r="AO356" t="inlineStr">
        <is>
          <t>400</t>
        </is>
      </c>
      <c r="AP356" t="inlineStr">
        <is>
          <t>TAKE ALL</t>
        </is>
      </c>
    </row>
    <row r="357">
      <c r="A357" t="inlineStr">
        <is>
          <t>B07Q3SXPFY</t>
        </is>
      </c>
      <c r="B357" t="inlineStr">
        <is>
          <t>False</t>
        </is>
      </c>
      <c r="C357" t="inlineStr">
        <is>
          <t>B07Q3SXPFY</t>
        </is>
      </c>
      <c r="D357" t="inlineStr">
        <is>
          <t>JBL</t>
        </is>
      </c>
      <c r="E357" t="inlineStr">
        <is>
          <t>False</t>
        </is>
      </c>
      <c r="F357" t="inlineStr">
        <is>
          <t>JBL Clip 3, Blue - Waterproof, Durable &amp; Portable Bluetooth Speaker - Up to 10 Hours of Play - Includes Noise-Cancelling Speakerphone &amp; Wireless Streaming</t>
        </is>
      </c>
      <c r="G357">
        <v>1</v>
      </c>
      <c r="H357" s="2" t="str">
        <f>HYPERLINK("https://www.amazon.com/dp/B07Q3SXPFY", "https://www.amazon.com/dp/B07Q3SXPFY")</f>
      </c>
      <c r="I357" s="3">
        <v>1424</v>
      </c>
      <c r="J357" s="4">
        <v>12</v>
      </c>
      <c r="K357" s="5">
        <v>0.2673</v>
      </c>
      <c r="L357" s="15">
        <v>0.48</v>
      </c>
      <c r="M357" t="inlineStr">
        <is>
          <t>True</t>
        </is>
      </c>
      <c r="N357" t="inlineStr">
        <is>
          <t>Electronics</t>
        </is>
      </c>
      <c r="O357" s="6">
        <v>2853</v>
      </c>
      <c r="P357" s="6">
        <v>1110</v>
      </c>
      <c r="Q357" s="6">
        <v>552</v>
      </c>
      <c r="R357" s="6">
        <v>303</v>
      </c>
      <c r="S357" s="7">
        <v>25</v>
      </c>
      <c r="T357" s="7">
        <v>44.9</v>
      </c>
      <c r="U357">
        <v>39.02</v>
      </c>
      <c r="V357" s="8">
        <v>0</v>
      </c>
      <c r="W357" s="7">
        <v>0</v>
      </c>
      <c r="X357" s="7">
        <v>0</v>
      </c>
      <c r="Y357">
        <v>0.73</v>
      </c>
      <c r="Z357" s="9">
        <v>0.23</v>
      </c>
      <c r="AB357">
        <v>0</v>
      </c>
      <c r="AC357">
        <v>0</v>
      </c>
      <c r="AD357">
        <v>7</v>
      </c>
      <c r="AE357">
        <v>3</v>
      </c>
      <c r="AF357">
        <v>0</v>
      </c>
      <c r="AG357">
        <v>2</v>
      </c>
      <c r="AH357">
        <v>11</v>
      </c>
      <c r="AI357" t="inlineStr">
        <is>
          <t>True</t>
        </is>
      </c>
      <c r="AJ357" s="2" t="str">
        <f>HYPERLINK("https://keepa.com/#!product/1-B07Q3SXPFY", "https://keepa.com/#!product/1-B07Q3SXPFY")</f>
      </c>
      <c r="AK357" s="2" t="str">
        <f>HYPERLINK("https://camelcamelcamel.com/search?sq=B07Q3SXPFY", "https://camelcamelcamel.com/search?sq=B07Q3SXPFY")</f>
      </c>
      <c r="AL357" t="inlineStr">
        <is>
          <t/>
        </is>
      </c>
      <c r="AM357" s="10">
        <v>45417.11111111111</v>
      </c>
      <c r="AN357" t="inlineStr">
        <is>
          <t>JBL Clip 3, Blue - Waterproof, Durable &amp; Portable Bluetooth Speaker - Up to 10 Hours of Play - Includes Noise-Cancelling Speakerphone &amp; Wireless Streaming</t>
        </is>
      </c>
      <c r="AO357" t="inlineStr">
        <is>
          <t>360</t>
        </is>
      </c>
      <c r="AP357" t="inlineStr">
        <is>
          <t>TAKE ALL</t>
        </is>
      </c>
    </row>
    <row r="358">
      <c r="A358" t="inlineStr">
        <is>
          <t>B07QCQNKG7</t>
        </is>
      </c>
      <c r="B358" t="inlineStr">
        <is>
          <t>False</t>
        </is>
      </c>
      <c r="C358" t="inlineStr">
        <is>
          <t>B07QCQNKG7</t>
        </is>
      </c>
      <c r="D358" t="inlineStr">
        <is>
          <t>Playz</t>
        </is>
      </c>
      <c r="E358" t="inlineStr">
        <is>
          <t>False</t>
        </is>
      </c>
      <c r="F358" t="inlineStr">
        <is>
          <t>Playz V8 Combustion Engine Model Kit That Runs - Build Your Own STEM Mini V8 Model Engine Kit for Adults &amp; Kids Age 12+, Visible V8 Mini Engine Kit That Works for Adult w/ 270 STEM Parts</t>
        </is>
      </c>
      <c r="G358">
        <v>1</v>
      </c>
      <c r="H358" s="2" t="str">
        <f>HYPERLINK("https://www.amazon.com/dp/B07QCQNKG7", "https://www.amazon.com/dp/B07QCQNKG7")</f>
      </c>
      <c r="I358" s="3">
        <v>687</v>
      </c>
      <c r="J358" s="4">
        <v>9.95</v>
      </c>
      <c r="K358" s="5">
        <v>0.18109999999999998</v>
      </c>
      <c r="L358" s="15">
        <v>0.34909999999999997</v>
      </c>
      <c r="M358" t="inlineStr">
        <is>
          <t>True</t>
        </is>
      </c>
      <c r="N358" t="inlineStr">
        <is>
          <t>Toys &amp; Games</t>
        </is>
      </c>
      <c r="O358" s="6">
        <v>14171</v>
      </c>
      <c r="P358" s="6">
        <v>11476</v>
      </c>
      <c r="Q358" s="6">
        <v>4325</v>
      </c>
      <c r="R358" s="6">
        <v>238</v>
      </c>
      <c r="S358" s="7">
        <v>28.5</v>
      </c>
      <c r="T358" s="7">
        <v>54.95</v>
      </c>
      <c r="U358">
        <v>64.71</v>
      </c>
      <c r="V358" s="8">
        <v>0</v>
      </c>
      <c r="W358" s="7">
        <v>0</v>
      </c>
      <c r="X358" s="7">
        <v>0</v>
      </c>
      <c r="Y358">
        <v>3.92</v>
      </c>
      <c r="Z358" s="8">
        <v>0</v>
      </c>
      <c r="AB358">
        <v>0</v>
      </c>
      <c r="AC358">
        <v>0</v>
      </c>
      <c r="AD358">
        <v>13</v>
      </c>
      <c r="AE358">
        <v>8</v>
      </c>
      <c r="AF358">
        <v>3</v>
      </c>
      <c r="AG358">
        <v>2</v>
      </c>
      <c r="AH358">
        <v>0</v>
      </c>
      <c r="AI358" t="inlineStr">
        <is>
          <t>False</t>
        </is>
      </c>
      <c r="AJ358" s="2" t="str">
        <f>HYPERLINK("https://keepa.com/#!product/1-B07QCQNKG7", "https://keepa.com/#!product/1-B07QCQNKG7")</f>
      </c>
      <c r="AK358" s="2" t="str">
        <f>HYPERLINK("https://camelcamelcamel.com/search?sq=B07QCQNKG7", "https://camelcamelcamel.com/search?sq=B07QCQNKG7")</f>
      </c>
      <c r="AL358" t="inlineStr">
        <is>
          <t/>
        </is>
      </c>
      <c r="AM358" s="10">
        <v>45417.11111111111</v>
      </c>
      <c r="AN358" t="inlineStr">
        <is>
          <t>Playz V8 Combustion Engine Model Kit That Runs - Build Your Own STEM Mini V8 Model Engine Kit for Adults &amp; Kids Age 12+, Visible V8 Mini Engine Kit That Works for Adult w/ 270 STEM Parts</t>
        </is>
      </c>
      <c r="AO358" t="inlineStr">
        <is>
          <t>1000</t>
        </is>
      </c>
      <c r="AP358" t="inlineStr">
        <is>
          <t>250</t>
        </is>
      </c>
    </row>
    <row r="359">
      <c r="A359" t="inlineStr">
        <is>
          <t>B07QW378KD</t>
        </is>
      </c>
      <c r="B359" t="inlineStr">
        <is>
          <t>False</t>
        </is>
      </c>
      <c r="C359" t="inlineStr">
        <is>
          <t>B07QW378KD</t>
        </is>
      </c>
      <c r="D359" t="inlineStr">
        <is>
          <t>Store-383</t>
        </is>
      </c>
      <c r="E359" t="inlineStr">
        <is>
          <t>False</t>
        </is>
      </c>
      <c r="F359" t="inlineStr">
        <is>
          <t>KIND Minis Variety Pack 32 pk. A1</t>
        </is>
      </c>
      <c r="G359">
        <v>1</v>
      </c>
      <c r="H359" s="2" t="str">
        <f>HYPERLINK("https://www.amazon.com/dp/B07QW378KD", "https://www.amazon.com/dp/B07QW378KD")</f>
      </c>
      <c r="I359" s="3">
        <v>241</v>
      </c>
      <c r="J359" s="4">
        <v>5.74</v>
      </c>
      <c r="K359" s="5">
        <v>0.2064</v>
      </c>
      <c r="L359" s="15">
        <v>0.4783</v>
      </c>
      <c r="M359" t="inlineStr">
        <is>
          <t>True</t>
        </is>
      </c>
      <c r="N359" t="inlineStr">
        <is>
          <t>Grocery &amp; Gourmet Food</t>
        </is>
      </c>
      <c r="O359" s="6">
        <v>29349</v>
      </c>
      <c r="P359" s="6">
        <v>21376</v>
      </c>
      <c r="Q359" s="6">
        <v>10121</v>
      </c>
      <c r="R359" s="6">
        <v>174</v>
      </c>
      <c r="S359" s="7">
        <v>12</v>
      </c>
      <c r="T359" s="7">
        <v>27.81</v>
      </c>
      <c r="U359">
        <v>27.41</v>
      </c>
      <c r="V359" s="8">
        <v>0</v>
      </c>
      <c r="W359" s="7">
        <v>0</v>
      </c>
      <c r="X359" s="7">
        <v>0</v>
      </c>
      <c r="Y359">
        <v>1.81</v>
      </c>
      <c r="Z359" s="8">
        <v>0</v>
      </c>
      <c r="AB359">
        <v>0</v>
      </c>
      <c r="AC359">
        <v>0</v>
      </c>
      <c r="AD359">
        <v>19</v>
      </c>
      <c r="AE359">
        <v>7</v>
      </c>
      <c r="AF359">
        <v>12</v>
      </c>
      <c r="AG359">
        <v>3</v>
      </c>
      <c r="AH359">
        <v>0</v>
      </c>
      <c r="AI359" t="inlineStr">
        <is>
          <t>False</t>
        </is>
      </c>
      <c r="AJ359" s="2" t="str">
        <f>HYPERLINK("https://keepa.com/#!product/1-B07QW378KD", "https://keepa.com/#!product/1-B07QW378KD")</f>
      </c>
      <c r="AK359" s="2" t="str">
        <f>HYPERLINK("https://camelcamelcamel.com/search?sq=B07QW378KD", "https://camelcamelcamel.com/search?sq=B07QW378KD")</f>
      </c>
      <c r="AL359" t="inlineStr">
        <is>
          <t/>
        </is>
      </c>
      <c r="AM359" s="10">
        <v>45417.11111111111</v>
      </c>
      <c r="AN359" t="inlineStr">
        <is>
          <t>KIND Minis Variety Pack 32 pk. A1</t>
        </is>
      </c>
      <c r="AO359" t="inlineStr">
        <is>
          <t>982</t>
        </is>
      </c>
      <c r="AP359" t="inlineStr">
        <is>
          <t>TAKE ALL</t>
        </is>
      </c>
    </row>
    <row r="360">
      <c r="A360" t="inlineStr">
        <is>
          <t>B07R8GD47V</t>
        </is>
      </c>
      <c r="B360" t="inlineStr">
        <is>
          <t>False</t>
        </is>
      </c>
      <c r="C360" t="inlineStr">
        <is>
          <t>B07R8GD47V</t>
        </is>
      </c>
      <c r="D360" t="inlineStr">
        <is>
          <t>Goli</t>
        </is>
      </c>
      <c r="E360" t="inlineStr">
        <is>
          <t>False</t>
        </is>
      </c>
      <c r="F360" t="inlineStr">
        <is>
          <t>Goli Apple Cider Vinegar Gummy Vitamins - 60 Count - Vitamin B12, Gelatin-Free, Gluten-Free, Vegan &amp; Non-GMO</t>
        </is>
      </c>
      <c r="G360">
        <v>1</v>
      </c>
      <c r="H360" s="2" t="str">
        <f>HYPERLINK("https://www.amazon.com/dp/B07R8GD47V", "https://www.amazon.com/dp/B07R8GD47V")</f>
      </c>
      <c r="I360" s="3">
        <v>47501</v>
      </c>
      <c r="J360" s="11">
        <v>2.57</v>
      </c>
      <c r="K360" s="5">
        <v>0.1714</v>
      </c>
      <c r="L360" s="15">
        <v>0.42829999999999996</v>
      </c>
      <c r="M360" t="inlineStr">
        <is>
          <t>True</t>
        </is>
      </c>
      <c r="N360" t="inlineStr">
        <is>
          <t>Health &amp; Household</t>
        </is>
      </c>
      <c r="O360" s="6">
        <v>183</v>
      </c>
      <c r="P360" s="6">
        <v>152</v>
      </c>
      <c r="Q360" s="6">
        <v>85</v>
      </c>
      <c r="R360" s="6">
        <v>328</v>
      </c>
      <c r="S360" s="7">
        <v>6</v>
      </c>
      <c r="T360" s="7">
        <v>14.99</v>
      </c>
      <c r="U360">
        <v>14.18</v>
      </c>
      <c r="V360" s="8">
        <v>0</v>
      </c>
      <c r="W360" s="7">
        <v>0</v>
      </c>
      <c r="X360" s="7">
        <v>0</v>
      </c>
      <c r="Y360">
        <v>0.69</v>
      </c>
      <c r="Z360" s="9">
        <v>0.08</v>
      </c>
      <c r="AB360">
        <v>0</v>
      </c>
      <c r="AC360">
        <v>0</v>
      </c>
      <c r="AD360">
        <v>2</v>
      </c>
      <c r="AE360">
        <v>1</v>
      </c>
      <c r="AF360">
        <v>1</v>
      </c>
      <c r="AG360">
        <v>1</v>
      </c>
      <c r="AH360">
        <v>4</v>
      </c>
      <c r="AI360" t="inlineStr">
        <is>
          <t>False</t>
        </is>
      </c>
      <c r="AJ360" s="2" t="str">
        <f>HYPERLINK("https://keepa.com/#!product/1-B07R8GD47V", "https://keepa.com/#!product/1-B07R8GD47V")</f>
      </c>
      <c r="AK360" s="2" t="str">
        <f>HYPERLINK("https://camelcamelcamel.com/search?sq=B07R8GD47V", "https://camelcamelcamel.com/search?sq=B07R8GD47V")</f>
      </c>
      <c r="AL360" t="inlineStr">
        <is>
          <t/>
        </is>
      </c>
      <c r="AM360" s="10">
        <v>45417.11111111111</v>
      </c>
      <c r="AN360" t="inlineStr">
        <is>
          <t>Goli Nutrition World's First Apple Cider Vinegar Gummies 60 Count, 60 Count</t>
        </is>
      </c>
      <c r="AO360" t="inlineStr">
        <is>
          <t>5000</t>
        </is>
      </c>
      <c r="AP360" t="inlineStr">
        <is>
          <t>1000</t>
        </is>
      </c>
    </row>
    <row r="361">
      <c r="A361" t="inlineStr">
        <is>
          <t>B07R92B3P3</t>
        </is>
      </c>
      <c r="B361" t="inlineStr">
        <is>
          <t>False</t>
        </is>
      </c>
      <c r="C361" t="inlineStr">
        <is>
          <t>B07R92B3P3</t>
        </is>
      </c>
      <c r="D361" t="inlineStr">
        <is>
          <t>Keratin Complex</t>
        </is>
      </c>
      <c r="E361" t="inlineStr">
        <is>
          <t>False</t>
        </is>
      </c>
      <c r="F361" t="inlineStr">
        <is>
          <t>Keratin Complex Color Care Smoothing Shampoo, 13.5 fl oz</t>
        </is>
      </c>
      <c r="G361">
        <v>1</v>
      </c>
      <c r="H361" s="2" t="str">
        <f>HYPERLINK("https://www.amazon.com/dp/B07R92B3P3", "https://www.amazon.com/dp/B07R92B3P3")</f>
      </c>
      <c r="I361" s="3">
        <v>2578</v>
      </c>
      <c r="J361" s="4">
        <v>5.28</v>
      </c>
      <c r="K361" s="5">
        <v>0.1886</v>
      </c>
      <c r="L361" s="15">
        <v>0.3911</v>
      </c>
      <c r="M361" t="inlineStr">
        <is>
          <t>True</t>
        </is>
      </c>
      <c r="N361" t="inlineStr">
        <is>
          <t>Beauty &amp; Personal Care</t>
        </is>
      </c>
      <c r="O361" s="6">
        <v>7298</v>
      </c>
      <c r="P361" s="6">
        <v>8395</v>
      </c>
      <c r="Q361" s="6">
        <v>6641</v>
      </c>
      <c r="R361" s="6">
        <v>222</v>
      </c>
      <c r="S361" s="7">
        <v>13.5</v>
      </c>
      <c r="T361" s="7">
        <v>28</v>
      </c>
      <c r="U361">
        <v>28</v>
      </c>
      <c r="V361" s="8">
        <v>0</v>
      </c>
      <c r="W361" s="7">
        <v>0</v>
      </c>
      <c r="X361" s="7">
        <v>0</v>
      </c>
      <c r="Y361">
        <v>1.04</v>
      </c>
      <c r="Z361" s="9">
        <v>1</v>
      </c>
      <c r="AB361">
        <v>0</v>
      </c>
      <c r="AC361">
        <v>0</v>
      </c>
      <c r="AD361">
        <v>2</v>
      </c>
      <c r="AE361">
        <v>1</v>
      </c>
      <c r="AF361">
        <v>1</v>
      </c>
      <c r="AG361">
        <v>1</v>
      </c>
      <c r="AH361">
        <v>2</v>
      </c>
      <c r="AI361" t="inlineStr">
        <is>
          <t>False</t>
        </is>
      </c>
      <c r="AJ361" s="2" t="str">
        <f>HYPERLINK("https://keepa.com/#!product/1-B07R92B3P3", "https://keepa.com/#!product/1-B07R92B3P3")</f>
      </c>
      <c r="AK361" s="2" t="str">
        <f>HYPERLINK("https://camelcamelcamel.com/search?sq=B07R92B3P3", "https://camelcamelcamel.com/search?sq=B07R92B3P3")</f>
      </c>
      <c r="AL361" t="inlineStr">
        <is>
          <t/>
        </is>
      </c>
      <c r="AM361" s="10">
        <v>45417.11111111111</v>
      </c>
      <c r="AN361" t="inlineStr">
        <is>
          <t>Keratin Complex Color Care Smoothing Shampoo, 13.5 fl oz</t>
        </is>
      </c>
      <c r="AO361" t="inlineStr">
        <is>
          <t>500</t>
        </is>
      </c>
      <c r="AP361" t="inlineStr">
        <is>
          <t>TAKE ALL</t>
        </is>
      </c>
    </row>
    <row r="362">
      <c r="A362" t="inlineStr">
        <is>
          <t>B07RF1QQ4H</t>
        </is>
      </c>
      <c r="B362" t="inlineStr">
        <is>
          <t>False</t>
        </is>
      </c>
      <c r="C362" t="inlineStr">
        <is>
          <t>B07RF1QQ4H</t>
        </is>
      </c>
      <c r="D362" t="inlineStr">
        <is>
          <t>CITRACAL</t>
        </is>
      </c>
      <c r="E362" t="inlineStr">
        <is>
          <t>False</t>
        </is>
      </c>
      <c r="F362" t="inlineStr">
        <is>
          <t>Citracal Slow Release 1200, 1200 mg Calcium Citrate and Calcium Carbonate Blend with 1000 IU Vitamin D3, Bone Health Supplement for Adults, Once Daily Caplets, 185 Count</t>
        </is>
      </c>
      <c r="G362">
        <v>1</v>
      </c>
      <c r="H362" s="2" t="str">
        <f>HYPERLINK("https://www.amazon.com/dp/B07RF1QQ4H", "https://www.amazon.com/dp/B07RF1QQ4H")</f>
      </c>
      <c r="I362" s="3">
        <v>17439</v>
      </c>
      <c r="J362" s="11">
        <v>3.41</v>
      </c>
      <c r="K362" s="5">
        <v>0.1365</v>
      </c>
      <c r="L362" s="5">
        <v>0.25739999999999996</v>
      </c>
      <c r="M362" t="inlineStr">
        <is>
          <t>True</t>
        </is>
      </c>
      <c r="N362" t="inlineStr">
        <is>
          <t>Health &amp; Household</t>
        </is>
      </c>
      <c r="O362" s="6">
        <v>1120</v>
      </c>
      <c r="P362" s="6">
        <v>1370</v>
      </c>
      <c r="Q362" s="6">
        <v>1036</v>
      </c>
      <c r="R362" s="6">
        <v>270</v>
      </c>
      <c r="S362" s="7">
        <v>13.25</v>
      </c>
      <c r="T362" s="7">
        <v>24.98</v>
      </c>
      <c r="U362">
        <v>24.97</v>
      </c>
      <c r="V362" s="8">
        <v>0</v>
      </c>
      <c r="W362" s="7">
        <v>0</v>
      </c>
      <c r="X362" s="7">
        <v>0</v>
      </c>
      <c r="Y362">
        <v>0.95</v>
      </c>
      <c r="Z362" s="9">
        <v>1</v>
      </c>
      <c r="AB362">
        <v>0</v>
      </c>
      <c r="AC362">
        <v>0</v>
      </c>
      <c r="AD362">
        <v>13</v>
      </c>
      <c r="AE362">
        <v>1</v>
      </c>
      <c r="AF362">
        <v>12</v>
      </c>
      <c r="AG362">
        <v>1</v>
      </c>
      <c r="AH362">
        <v>1</v>
      </c>
      <c r="AI362" t="inlineStr">
        <is>
          <t>False</t>
        </is>
      </c>
      <c r="AJ362" s="2" t="str">
        <f>HYPERLINK("https://keepa.com/#!product/1-B07RF1QQ4H", "https://keepa.com/#!product/1-B07RF1QQ4H")</f>
      </c>
      <c r="AK362" s="2" t="str">
        <f>HYPERLINK("https://camelcamelcamel.com/search?sq=B07RF1QQ4H", "https://camelcamelcamel.com/search?sq=B07RF1QQ4H")</f>
      </c>
      <c r="AL362" t="inlineStr">
        <is>
          <t/>
        </is>
      </c>
      <c r="AM362" s="10">
        <v>45417.11111111111</v>
      </c>
      <c r="AN362" t="inlineStr">
        <is>
          <t>Citracal Slow Release 1200, 1200 mg Calcium Citrate and Calcium Carbonate Blend with 1000 IU Vitamin D3, Bone Health Supplement for Adults, Once Daily Caplets, 185 Count</t>
        </is>
      </c>
      <c r="AO362" t="inlineStr">
        <is>
          <t>1000</t>
        </is>
      </c>
      <c r="AP362" t="inlineStr">
        <is>
          <t>TAKE ALL</t>
        </is>
      </c>
    </row>
    <row r="363">
      <c r="A363" t="inlineStr">
        <is>
          <t>B07RWKMHHT</t>
        </is>
      </c>
      <c r="B363" t="inlineStr">
        <is>
          <t>False</t>
        </is>
      </c>
      <c r="C363" t="inlineStr">
        <is>
          <t>B07RWKMHHT</t>
        </is>
      </c>
      <c r="D363" t="inlineStr">
        <is>
          <t>Vitafusion</t>
        </is>
      </c>
      <c r="E363" t="inlineStr">
        <is>
          <t>False</t>
        </is>
      </c>
      <c r="F363" t="inlineStr">
        <is>
          <t>Vitafusion Calcium + D3 Gummies (200 Count)</t>
        </is>
      </c>
      <c r="G363">
        <v>1</v>
      </c>
      <c r="H363" s="2" t="str">
        <f>HYPERLINK("https://www.amazon.com/dp/B07RWKMHHT", "https://www.amazon.com/dp/B07RWKMHHT")</f>
      </c>
      <c r="I363" s="3">
        <v>1785</v>
      </c>
      <c r="J363" s="11">
        <v>1.69</v>
      </c>
      <c r="K363" s="5">
        <v>0.0669</v>
      </c>
      <c r="L363" s="5">
        <v>0.1252</v>
      </c>
      <c r="M363" t="inlineStr">
        <is>
          <t>True</t>
        </is>
      </c>
      <c r="N363" t="inlineStr">
        <is>
          <t>Health &amp; Household</t>
        </is>
      </c>
      <c r="O363" s="6">
        <v>14060</v>
      </c>
      <c r="P363" s="6">
        <v>13983</v>
      </c>
      <c r="Q363" s="6">
        <v>9822</v>
      </c>
      <c r="R363" s="6">
        <v>162</v>
      </c>
      <c r="S363" s="7">
        <v>13.5</v>
      </c>
      <c r="T363" s="7">
        <v>25.26</v>
      </c>
      <c r="U363">
        <v>25.23</v>
      </c>
      <c r="V363" s="8">
        <v>0</v>
      </c>
      <c r="W363" s="7">
        <v>0</v>
      </c>
      <c r="X363" s="7">
        <v>0</v>
      </c>
      <c r="Y363">
        <v>2.62</v>
      </c>
      <c r="Z363" s="8">
        <v>0</v>
      </c>
      <c r="AB363">
        <v>0</v>
      </c>
      <c r="AC363">
        <v>0</v>
      </c>
      <c r="AD363">
        <v>51</v>
      </c>
      <c r="AE363">
        <v>4</v>
      </c>
      <c r="AF363">
        <v>47</v>
      </c>
      <c r="AG363">
        <v>4</v>
      </c>
      <c r="AH363">
        <v>0</v>
      </c>
      <c r="AI363" t="inlineStr">
        <is>
          <t>False</t>
        </is>
      </c>
      <c r="AJ363" s="2" t="str">
        <f>HYPERLINK("https://keepa.com/#!product/1-B07RWKMHHT", "https://keepa.com/#!product/1-B07RWKMHHT")</f>
      </c>
      <c r="AK363" s="2" t="str">
        <f>HYPERLINK("https://camelcamelcamel.com/search?sq=B07RWKMHHT", "https://camelcamelcamel.com/search?sq=B07RWKMHHT")</f>
      </c>
      <c r="AL363" t="inlineStr">
        <is>
          <t/>
        </is>
      </c>
      <c r="AM363" s="10">
        <v>45417.11111111111</v>
      </c>
      <c r="AN363" t="inlineStr">
        <is>
          <t>Vitafusion Calcium + D3 Gummies (200 Count)</t>
        </is>
      </c>
      <c r="AO363" t="inlineStr">
        <is>
          <t>220</t>
        </is>
      </c>
      <c r="AP363" t="inlineStr">
        <is>
          <t>TAKE ALL</t>
        </is>
      </c>
    </row>
    <row r="364">
      <c r="A364" t="inlineStr">
        <is>
          <t>B07RZ3NX7J</t>
        </is>
      </c>
      <c r="B364" t="inlineStr">
        <is>
          <t>False</t>
        </is>
      </c>
      <c r="C364" t="inlineStr">
        <is>
          <t>B07RZ3NX7J</t>
        </is>
      </c>
      <c r="D364" t="inlineStr">
        <is>
          <t>HI-CHEW</t>
        </is>
      </c>
      <c r="E364" t="inlineStr">
        <is>
          <t>False</t>
        </is>
      </c>
      <c r="F364" t="inlineStr">
        <is>
          <t>HI-CHEW Superfruit Mix, 3.17 Ounce, 6 Pieces, Gluten-Free, Made with Natural and Artificial Fruit Flavors</t>
        </is>
      </c>
      <c r="G364">
        <v>1</v>
      </c>
      <c r="H364" s="2" t="str">
        <f>HYPERLINK("https://www.amazon.com/dp/B07RZ3NX7J", "https://www.amazon.com/dp/B07RZ3NX7J")</f>
      </c>
      <c r="I364" s="3">
        <v>2178</v>
      </c>
      <c r="J364" s="11">
        <v>0.19</v>
      </c>
      <c r="K364" s="5">
        <v>0.0147</v>
      </c>
      <c r="L364" s="5">
        <v>0.0336</v>
      </c>
      <c r="M364" t="inlineStr">
        <is>
          <t>True</t>
        </is>
      </c>
      <c r="N364" t="inlineStr">
        <is>
          <t>Grocery &amp; Gourmet Food</t>
        </is>
      </c>
      <c r="O364" s="6">
        <v>3679</v>
      </c>
      <c r="P364" s="6">
        <v>2874</v>
      </c>
      <c r="Q364" s="6">
        <v>1848</v>
      </c>
      <c r="R364" s="6">
        <v>216</v>
      </c>
      <c r="S364" s="7">
        <v>5.65</v>
      </c>
      <c r="T364" s="7">
        <v>12.96</v>
      </c>
      <c r="U364">
        <v>13.6</v>
      </c>
      <c r="V364" s="8">
        <v>0</v>
      </c>
      <c r="W364" s="7">
        <v>0</v>
      </c>
      <c r="X364" s="7">
        <v>0</v>
      </c>
      <c r="Y364">
        <v>1.96</v>
      </c>
      <c r="Z364" s="9">
        <v>1</v>
      </c>
      <c r="AB364">
        <v>0</v>
      </c>
      <c r="AC364">
        <v>0</v>
      </c>
      <c r="AD364">
        <v>18</v>
      </c>
      <c r="AE364">
        <v>9</v>
      </c>
      <c r="AF364">
        <v>9</v>
      </c>
      <c r="AG364">
        <v>4</v>
      </c>
      <c r="AH364">
        <v>22</v>
      </c>
      <c r="AI364" t="inlineStr">
        <is>
          <t>False</t>
        </is>
      </c>
      <c r="AJ364" s="2" t="str">
        <f>HYPERLINK("https://keepa.com/#!product/1-B07RZ3NX7J", "https://keepa.com/#!product/1-B07RZ3NX7J")</f>
      </c>
      <c r="AK364" s="2" t="str">
        <f>HYPERLINK("https://camelcamelcamel.com/search?sq=B07RZ3NX7J", "https://camelcamelcamel.com/search?sq=B07RZ3NX7J")</f>
      </c>
      <c r="AL364" t="inlineStr">
        <is>
          <t/>
        </is>
      </c>
      <c r="AM364" s="10">
        <v>45417.11111111111</v>
      </c>
      <c r="AN364" t="inlineStr">
        <is>
          <t>HI-CHEW Superfruit Mix, 3.17 Ounce, 6 Pieces, Gluten-Free, Made with Natural and Artificial Fruit Flavors</t>
        </is>
      </c>
      <c r="AO364" t="inlineStr">
        <is>
          <t>243</t>
        </is>
      </c>
      <c r="AP364" t="inlineStr">
        <is>
          <t>TAKE ALL</t>
        </is>
      </c>
    </row>
    <row r="365">
      <c r="A365" t="inlineStr">
        <is>
          <t>B07S5BKBW1</t>
        </is>
      </c>
      <c r="B365" t="inlineStr">
        <is>
          <t>False</t>
        </is>
      </c>
      <c r="C365" t="inlineStr">
        <is>
          <t>B07S5BKBW1</t>
        </is>
      </c>
      <c r="D365" t="inlineStr">
        <is>
          <t>GVM Great Video Maker</t>
        </is>
      </c>
      <c r="E365" t="inlineStr">
        <is>
          <t>False</t>
        </is>
      </c>
      <c r="F365" t="inlineStr">
        <is>
          <t>GVM RGB LED Video Lighting Kit, 800D Studio Video Lights with Panel, APP Control for YouTube Photography Lighting, , 3200K-5600K, 8 Kinds of The Scene Lights, 3 Packs</t>
        </is>
      </c>
      <c r="G365">
        <v>1</v>
      </c>
      <c r="H365" s="2" t="str">
        <f>HYPERLINK("https://www.amazon.com/dp/B07S5BKBW1", "https://www.amazon.com/dp/B07S5BKBW1")</f>
      </c>
      <c r="I365" s="14">
        <v>5</v>
      </c>
      <c r="J365" s="4">
        <v>154.14</v>
      </c>
      <c r="K365" s="15">
        <v>0.4294</v>
      </c>
      <c r="L365" s="15">
        <v>1.0225</v>
      </c>
      <c r="M365" t="inlineStr">
        <is>
          <t>False</t>
        </is>
      </c>
      <c r="N365" t="inlineStr">
        <is>
          <t>On-Camera Video Lights</t>
        </is>
      </c>
      <c r="O365" s="6">
        <v>127</v>
      </c>
      <c r="P365" s="6">
        <v>0</v>
      </c>
      <c r="Q365" s="6">
        <v>0</v>
      </c>
      <c r="R365" s="6">
        <v>0</v>
      </c>
      <c r="S365" s="7">
        <v>150.75</v>
      </c>
      <c r="T365" s="7">
        <v>359</v>
      </c>
      <c r="U365">
        <v>358.51</v>
      </c>
      <c r="V365" s="8">
        <v>0</v>
      </c>
      <c r="W365" s="7">
        <v>0</v>
      </c>
      <c r="X365" s="7">
        <v>0</v>
      </c>
      <c r="Y365">
        <v>25</v>
      </c>
      <c r="Z365" s="8">
        <v>0</v>
      </c>
      <c r="AB365">
        <v>0</v>
      </c>
      <c r="AC365">
        <v>0</v>
      </c>
      <c r="AD365">
        <v>3</v>
      </c>
      <c r="AE365">
        <v>1</v>
      </c>
      <c r="AF365">
        <v>1</v>
      </c>
      <c r="AG365">
        <v>1</v>
      </c>
      <c r="AH365">
        <v>0</v>
      </c>
      <c r="AI365" t="inlineStr">
        <is>
          <t>False</t>
        </is>
      </c>
      <c r="AJ365" s="2" t="str">
        <f>HYPERLINK("https://keepa.com/#!product/1-B07S5BKBW1", "https://keepa.com/#!product/1-B07S5BKBW1")</f>
      </c>
      <c r="AK365" s="2" t="str">
        <f>HYPERLINK("https://camelcamelcamel.com/search?sq=B07S5BKBW1", "https://camelcamelcamel.com/search?sq=B07S5BKBW1")</f>
      </c>
      <c r="AL365" t="inlineStr">
        <is>
          <t/>
        </is>
      </c>
      <c r="AM365" s="10">
        <v>45417.11111111111</v>
      </c>
      <c r="AN365" t="inlineStr">
        <is>
          <t>GVM RGB LED Video Lighting Kit, 800D Studio Video Lights with Panel, APP Control for YouTube Photography Lighting, , 3200K-5600K, 8 Kinds of The Scene Lights, 3 Packs</t>
        </is>
      </c>
      <c r="AO365" t="inlineStr">
        <is>
          <t>184</t>
        </is>
      </c>
      <c r="AP365" t="inlineStr">
        <is>
          <t>TAKE ALL</t>
        </is>
      </c>
    </row>
    <row r="366">
      <c r="A366" t="inlineStr">
        <is>
          <t>B07S9VYZDH</t>
        </is>
      </c>
      <c r="B366" t="inlineStr">
        <is>
          <t>False</t>
        </is>
      </c>
      <c r="C366" t="inlineStr">
        <is>
          <t>B07S9VYZDH</t>
        </is>
      </c>
      <c r="D366" t="inlineStr">
        <is>
          <t>BrüMate</t>
        </is>
      </c>
      <c r="E366" t="inlineStr">
        <is>
          <t>False</t>
        </is>
      </c>
      <c r="F366" t="inlineStr">
        <is>
          <t>BrüMate Hopsulator Bott'l Insulated Bottle Cooler for Standard 12oz Glass Bottles | Glass Bottle Insulated Stainless Steel Drink Holder for Beer and Soda (Matte Black)</t>
        </is>
      </c>
      <c r="G366">
        <v>1</v>
      </c>
      <c r="H366" s="2" t="str">
        <f>HYPERLINK("https://www.amazon.com/dp/B07S9VYZDH", "https://www.amazon.com/dp/B07S9VYZDH")</f>
      </c>
      <c r="I366" s="3">
        <v>1126</v>
      </c>
      <c r="J366" s="11">
        <v>3.54</v>
      </c>
      <c r="K366" s="5">
        <v>0.14400000000000002</v>
      </c>
      <c r="L366" s="5">
        <v>0.2776</v>
      </c>
      <c r="M366" t="inlineStr">
        <is>
          <t>True</t>
        </is>
      </c>
      <c r="N366" t="inlineStr">
        <is>
          <t>Kitchen &amp; Dining</t>
        </is>
      </c>
      <c r="O366" s="6">
        <v>6331</v>
      </c>
      <c r="P366" s="6">
        <v>10202</v>
      </c>
      <c r="Q366" s="6">
        <v>5811</v>
      </c>
      <c r="R366" s="6">
        <v>166</v>
      </c>
      <c r="S366" s="7">
        <v>12.75</v>
      </c>
      <c r="T366" s="7">
        <v>24.58</v>
      </c>
      <c r="U366">
        <v>24.04</v>
      </c>
      <c r="V366" s="8">
        <v>0</v>
      </c>
      <c r="W366" s="7">
        <v>0</v>
      </c>
      <c r="X366" s="7">
        <v>0</v>
      </c>
      <c r="Y366">
        <v>0.88</v>
      </c>
      <c r="Z366" s="8">
        <v>0</v>
      </c>
      <c r="AB366">
        <v>0</v>
      </c>
      <c r="AC366">
        <v>0</v>
      </c>
      <c r="AD366">
        <v>5</v>
      </c>
      <c r="AE366">
        <v>5</v>
      </c>
      <c r="AF366">
        <v>0</v>
      </c>
      <c r="AG366">
        <v>5</v>
      </c>
      <c r="AH366">
        <v>21</v>
      </c>
      <c r="AI366" t="inlineStr">
        <is>
          <t>False</t>
        </is>
      </c>
      <c r="AJ366" s="2" t="str">
        <f>HYPERLINK("https://keepa.com/#!product/1-B07S9VYZDH", "https://keepa.com/#!product/1-B07S9VYZDH")</f>
      </c>
      <c r="AK366" s="2" t="str">
        <f>HYPERLINK("https://camelcamelcamel.com/search?sq=B07S9VYZDH", "https://camelcamelcamel.com/search?sq=B07S9VYZDH")</f>
      </c>
      <c r="AL366" t="inlineStr">
        <is>
          <t/>
        </is>
      </c>
      <c r="AM366" s="10">
        <v>45417.11111111111</v>
      </c>
      <c r="AN366" t="inlineStr">
        <is>
          <t>BrÃ¼Mate Hopsulator Bott'l Insulated Bottle Cooler for Standard 12oz Glass Bottles | Glass Bottle Insulated Stainless Steel Drink Holder for Beer and Soda (Matte Black)</t>
        </is>
      </c>
      <c r="AO366" t="inlineStr">
        <is>
          <t>960</t>
        </is>
      </c>
      <c r="AP366" t="inlineStr">
        <is>
          <t>450</t>
        </is>
      </c>
    </row>
    <row r="367">
      <c r="A367" t="inlineStr">
        <is>
          <t>B07SSDGT4Z</t>
        </is>
      </c>
      <c r="B367" t="inlineStr">
        <is>
          <t>False</t>
        </is>
      </c>
      <c r="C367" t="inlineStr">
        <is>
          <t>B07SSDGT4Z</t>
        </is>
      </c>
      <c r="D367" t="inlineStr">
        <is>
          <t>TRUFF</t>
        </is>
      </c>
      <c r="E367" t="inlineStr">
        <is>
          <t>False</t>
        </is>
      </c>
      <c r="F367" t="inlineStr">
        <is>
          <t>TRUFF Hotter Black Truffle Hot Sauce, Gourmet Hot Sauce with Jalapeño, Red Chili Peppers with More Heat, Black Truffle Oil, Agave Nectar, Hotter Flavor Experience in a Bottle, 6 Oz</t>
        </is>
      </c>
      <c r="G367">
        <v>1</v>
      </c>
      <c r="H367" s="2" t="str">
        <f>HYPERLINK("https://www.amazon.com/dp/B07SSDGT4Z", "https://www.amazon.com/dp/B07SSDGT4Z")</f>
      </c>
      <c r="I367" s="3">
        <v>5105</v>
      </c>
      <c r="J367" s="11">
        <v>2.78</v>
      </c>
      <c r="K367" s="5">
        <v>0.1855</v>
      </c>
      <c r="L367" s="15">
        <v>0.4633</v>
      </c>
      <c r="M367" t="inlineStr">
        <is>
          <t>True</t>
        </is>
      </c>
      <c r="N367" t="inlineStr">
        <is>
          <t>Grocery &amp; Gourmet Food</t>
        </is>
      </c>
      <c r="O367" s="6">
        <v>1029</v>
      </c>
      <c r="P367" s="6">
        <v>937</v>
      </c>
      <c r="Q367" s="6">
        <v>583</v>
      </c>
      <c r="R367" s="6">
        <v>276</v>
      </c>
      <c r="S367" s="7">
        <v>6</v>
      </c>
      <c r="T367" s="7">
        <v>14.99</v>
      </c>
      <c r="U367">
        <v>14.98</v>
      </c>
      <c r="V367" s="8">
        <v>0</v>
      </c>
      <c r="W367" s="7">
        <v>0</v>
      </c>
      <c r="X367" s="7">
        <v>0</v>
      </c>
      <c r="Y367">
        <v>1.1</v>
      </c>
      <c r="Z367" s="8">
        <v>0</v>
      </c>
      <c r="AB367">
        <v>0</v>
      </c>
      <c r="AC367">
        <v>0</v>
      </c>
      <c r="AD367">
        <v>21</v>
      </c>
      <c r="AE367">
        <v>3</v>
      </c>
      <c r="AF367">
        <v>18</v>
      </c>
      <c r="AG367">
        <v>2</v>
      </c>
      <c r="AH367">
        <v>12</v>
      </c>
      <c r="AI367" t="inlineStr">
        <is>
          <t>False</t>
        </is>
      </c>
      <c r="AJ367" s="2" t="str">
        <f>HYPERLINK("https://keepa.com/#!product/1-B07SSDGT4Z", "https://keepa.com/#!product/1-B07SSDGT4Z")</f>
      </c>
      <c r="AK367" s="2" t="str">
        <f>HYPERLINK("https://camelcamelcamel.com/search?sq=B07SSDGT4Z", "https://camelcamelcamel.com/search?sq=B07SSDGT4Z")</f>
      </c>
      <c r="AL367" t="inlineStr">
        <is>
          <t/>
        </is>
      </c>
      <c r="AM367" s="10">
        <v>45417.11111111111</v>
      </c>
      <c r="AN367" t="inlineStr">
        <is>
          <t>Truff, Sauce Hotter Black Truffle Infused, 6 Ounce</t>
        </is>
      </c>
      <c r="AO367" t="inlineStr">
        <is>
          <t>828</t>
        </is>
      </c>
      <c r="AP367" t="inlineStr">
        <is>
          <t>TAKE ALL</t>
        </is>
      </c>
    </row>
    <row r="368">
      <c r="A368" t="inlineStr">
        <is>
          <t>B07SW1QCSR</t>
        </is>
      </c>
      <c r="B368" t="inlineStr">
        <is>
          <t>False</t>
        </is>
      </c>
      <c r="C368" t="inlineStr">
        <is>
          <t>B07SW1QCSR</t>
        </is>
      </c>
      <c r="D368" t="inlineStr">
        <is>
          <t>NutriBullet</t>
        </is>
      </c>
      <c r="E368" t="inlineStr">
        <is>
          <t>True</t>
        </is>
      </c>
      <c r="F368" t="inlineStr">
        <is>
          <t>NutriBullet NB9-1301S Pro 13 Pcs Silver, 900W</t>
        </is>
      </c>
      <c r="G368">
        <v>1</v>
      </c>
      <c r="H368" s="2" t="str">
        <f>HYPERLINK("https://www.amazon.com/dp/B07SW1QCSR", "https://www.amazon.com/dp/B07SW1QCSR")</f>
      </c>
      <c r="I368" s="3">
        <v>4279</v>
      </c>
      <c r="J368" s="4">
        <v>42.46</v>
      </c>
      <c r="K368" s="15">
        <v>0.3414</v>
      </c>
      <c r="L368" s="15">
        <v>0.8011</v>
      </c>
      <c r="M368" t="inlineStr">
        <is>
          <t>True</t>
        </is>
      </c>
      <c r="N368" t="inlineStr">
        <is>
          <t>Kitchen &amp; Dining</t>
        </is>
      </c>
      <c r="O368" s="6">
        <v>1092</v>
      </c>
      <c r="P368" s="6">
        <v>1186</v>
      </c>
      <c r="Q368" s="6">
        <v>438</v>
      </c>
      <c r="R368" s="6">
        <v>163</v>
      </c>
      <c r="S368" s="7">
        <v>53</v>
      </c>
      <c r="T368" s="7">
        <v>124.36</v>
      </c>
      <c r="U368">
        <v>102.48</v>
      </c>
      <c r="V368" s="8">
        <v>0</v>
      </c>
      <c r="W368" s="7">
        <v>0</v>
      </c>
      <c r="X368" s="7">
        <v>0</v>
      </c>
      <c r="Y368">
        <v>7.17</v>
      </c>
      <c r="Z368" s="9">
        <v>1</v>
      </c>
      <c r="AB368">
        <v>0</v>
      </c>
      <c r="AC368">
        <v>0</v>
      </c>
      <c r="AD368">
        <v>2</v>
      </c>
      <c r="AE368">
        <v>1</v>
      </c>
      <c r="AF368">
        <v>0</v>
      </c>
      <c r="AG368">
        <v>1</v>
      </c>
      <c r="AH368">
        <v>11</v>
      </c>
      <c r="AI368" t="inlineStr">
        <is>
          <t>False</t>
        </is>
      </c>
      <c r="AJ368" s="2" t="str">
        <f>HYPERLINK("https://keepa.com/#!product/1-B07SW1QCSR", "https://keepa.com/#!product/1-B07SW1QCSR")</f>
      </c>
      <c r="AK368" s="2" t="str">
        <f>HYPERLINK("https://camelcamelcamel.com/search?sq=B07SW1QCSR", "https://camelcamelcamel.com/search?sq=B07SW1QCSR")</f>
      </c>
      <c r="AL368" t="inlineStr">
        <is>
          <t/>
        </is>
      </c>
      <c r="AM368" s="10">
        <v>45417.11111111111</v>
      </c>
      <c r="AN368" t="inlineStr">
        <is>
          <t>NutriBullet NB9-1301S Pro 13 Pcs Silver, 900W</t>
        </is>
      </c>
      <c r="AO368" t="inlineStr">
        <is>
          <t>40</t>
        </is>
      </c>
      <c r="AP368" t="inlineStr">
        <is>
          <t>TAKE ALL</t>
        </is>
      </c>
    </row>
    <row r="369">
      <c r="A369" t="inlineStr">
        <is>
          <t>B07T5MT5T1</t>
        </is>
      </c>
      <c r="B369" t="inlineStr">
        <is>
          <t>False</t>
        </is>
      </c>
      <c r="C369" t="inlineStr">
        <is>
          <t>B07T5MT5T1</t>
        </is>
      </c>
      <c r="D369" t="inlineStr">
        <is>
          <t>Eureka</t>
        </is>
      </c>
      <c r="E369" t="inlineStr">
        <is>
          <t>True</t>
        </is>
      </c>
      <c r="F369" t="inlineStr">
        <is>
          <t>Eureka FloorRover Bagless Upright Pet Vacuum Cleaner, Suctionseal, Swivel Steering for Carpet and Hard Floor</t>
        </is>
      </c>
      <c r="G369">
        <v>1</v>
      </c>
      <c r="H369" s="2" t="str">
        <f>HYPERLINK("https://www.amazon.com/dp/B07T5MT5T1", "https://www.amazon.com/dp/B07T5MT5T1")</f>
      </c>
      <c r="I369" s="3">
        <v>931</v>
      </c>
      <c r="J369" s="12">
        <v>-10.85</v>
      </c>
      <c r="K369" s="13">
        <v>-0.0873</v>
      </c>
      <c r="L369" s="13">
        <v>-0.1173</v>
      </c>
      <c r="M369" t="inlineStr">
        <is>
          <t>True</t>
        </is>
      </c>
      <c r="N369" t="inlineStr">
        <is>
          <t>Home &amp; Kitchen</t>
        </is>
      </c>
      <c r="O369" s="6">
        <v>28568</v>
      </c>
      <c r="P369" s="6">
        <v>35938</v>
      </c>
      <c r="Q369" s="6">
        <v>16567</v>
      </c>
      <c r="R369" s="6">
        <v>176</v>
      </c>
      <c r="S369" s="7">
        <v>92.5</v>
      </c>
      <c r="T369" s="7">
        <v>124.33</v>
      </c>
      <c r="U369">
        <v>128.9</v>
      </c>
      <c r="V369" s="8">
        <v>0</v>
      </c>
      <c r="W369" s="7">
        <v>0</v>
      </c>
      <c r="X369" s="7">
        <v>0</v>
      </c>
      <c r="Y369">
        <v>20.97</v>
      </c>
      <c r="Z369" s="9">
        <v>1</v>
      </c>
      <c r="AB369">
        <v>0</v>
      </c>
      <c r="AC369">
        <v>0</v>
      </c>
      <c r="AD369">
        <v>12</v>
      </c>
      <c r="AE369">
        <v>2</v>
      </c>
      <c r="AF369">
        <v>0</v>
      </c>
      <c r="AG369">
        <v>2</v>
      </c>
      <c r="AH369">
        <v>3</v>
      </c>
      <c r="AI369" t="inlineStr">
        <is>
          <t>False</t>
        </is>
      </c>
      <c r="AJ369" s="2" t="str">
        <f>HYPERLINK("https://keepa.com/#!product/1-B07T5MT5T1", "https://keepa.com/#!product/1-B07T5MT5T1")</f>
      </c>
      <c r="AK369" s="2" t="str">
        <f>HYPERLINK("https://camelcamelcamel.com/search?sq=B07T5MT5T1", "https://camelcamelcamel.com/search?sq=B07T5MT5T1")</f>
      </c>
      <c r="AL369" t="inlineStr">
        <is>
          <t/>
        </is>
      </c>
      <c r="AM369" s="10">
        <v>45417.11111111111</v>
      </c>
      <c r="AN369" t="inlineStr">
        <is>
          <t>Eureka FloorRover Bagless Upright Pet Vacuum Cleaner, Suctionseal, Swivel Steering for Carpet and Hard Floor</t>
        </is>
      </c>
      <c r="AO369" t="inlineStr">
        <is>
          <t>600</t>
        </is>
      </c>
      <c r="AP369" t="inlineStr">
        <is>
          <t>TAKE ALL</t>
        </is>
      </c>
    </row>
    <row r="370">
      <c r="A370" t="inlineStr">
        <is>
          <t>B07T637L7T</t>
        </is>
      </c>
      <c r="B370" t="inlineStr">
        <is>
          <t>False</t>
        </is>
      </c>
      <c r="C370" t="inlineStr">
        <is>
          <t>B07T637L7T</t>
        </is>
      </c>
      <c r="D370" t="inlineStr">
        <is>
          <t>TEAMGROUP</t>
        </is>
      </c>
      <c r="E370" t="inlineStr">
        <is>
          <t>False</t>
        </is>
      </c>
      <c r="F370" t="inlineStr">
        <is>
          <t>TEAMGROUP T-Force Vulcan Z DDR4 16GB Kit (2x8GB) 3200MHz (PC4-25600) CL16 Desktop Memory Module Ram (Gray) - TLZGD416G3200HC16CDC01</t>
        </is>
      </c>
      <c r="G370">
        <v>1</v>
      </c>
      <c r="H370" s="2" t="str">
        <f>HYPERLINK("https://www.amazon.com/dp/B07T637L7T", "https://www.amazon.com/dp/B07T637L7T")</f>
      </c>
      <c r="I370" s="14">
        <v>5</v>
      </c>
      <c r="J370" s="4">
        <v>5.97</v>
      </c>
      <c r="K370" s="5">
        <v>0.1707</v>
      </c>
      <c r="L370" s="5">
        <v>0.26530000000000004</v>
      </c>
      <c r="M370" t="inlineStr">
        <is>
          <t>False</t>
        </is>
      </c>
      <c r="N370" t="inlineStr">
        <is>
          <t>Computer Memory</t>
        </is>
      </c>
      <c r="O370" s="6">
        <v>76</v>
      </c>
      <c r="P370" s="6">
        <v>0</v>
      </c>
      <c r="Q370" s="6">
        <v>0</v>
      </c>
      <c r="R370" s="6">
        <v>0</v>
      </c>
      <c r="S370" s="7">
        <v>22.5</v>
      </c>
      <c r="T370" s="7">
        <v>34.97</v>
      </c>
      <c r="U370">
        <v>36.49</v>
      </c>
      <c r="V370" s="8">
        <v>0</v>
      </c>
      <c r="W370" s="7">
        <v>0</v>
      </c>
      <c r="X370" s="7">
        <v>0</v>
      </c>
      <c r="Y370">
        <v>0.22</v>
      </c>
      <c r="Z370" s="9">
        <v>0.03</v>
      </c>
      <c r="AB370">
        <v>0</v>
      </c>
      <c r="AC370">
        <v>0</v>
      </c>
      <c r="AD370">
        <v>16</v>
      </c>
      <c r="AE370">
        <v>1</v>
      </c>
      <c r="AF370">
        <v>14</v>
      </c>
      <c r="AG370">
        <v>1</v>
      </c>
      <c r="AH370">
        <v>14</v>
      </c>
      <c r="AI370" t="inlineStr">
        <is>
          <t>False</t>
        </is>
      </c>
      <c r="AJ370" s="2" t="str">
        <f>HYPERLINK("https://keepa.com/#!product/1-B07T637L7T", "https://keepa.com/#!product/1-B07T637L7T")</f>
      </c>
      <c r="AK370" s="2" t="str">
        <f>HYPERLINK("https://camelcamelcamel.com/search?sq=B07T637L7T", "https://camelcamelcamel.com/search?sq=B07T637L7T")</f>
      </c>
      <c r="AL370" t="inlineStr">
        <is>
          <t/>
        </is>
      </c>
      <c r="AM370" s="10">
        <v>45417.11111111111</v>
      </c>
      <c r="AN370" t="inlineStr">
        <is>
          <t>TEAMGROUP T-Force Vulcan Z DDR4 16GB Kit (2x8GB) 3200MHz (PC4-25600) CL16 Desktop Memory Module Ram (Gray) - TLZGD416G3200HC16CDC01</t>
        </is>
      </c>
      <c r="AO370" t="inlineStr">
        <is>
          <t>2200</t>
        </is>
      </c>
      <c r="AP370" t="inlineStr">
        <is>
          <t>1100</t>
        </is>
      </c>
    </row>
    <row r="371">
      <c r="A371" t="inlineStr">
        <is>
          <t>B07T9839ZL</t>
        </is>
      </c>
      <c r="B371" t="inlineStr">
        <is>
          <t>False</t>
        </is>
      </c>
      <c r="C371" t="inlineStr">
        <is>
          <t>B07T9839ZL</t>
        </is>
      </c>
      <c r="D371" t="inlineStr">
        <is>
          <t>Sanus</t>
        </is>
      </c>
      <c r="E371" t="inlineStr">
        <is>
          <t>False</t>
        </is>
      </c>
      <c r="F371" t="inlineStr">
        <is>
          <t>Sanus Vlf728 (B2) Slim Full Motion Swivel TV Bracket (42-90"), Black</t>
        </is>
      </c>
      <c r="G371">
        <v>1</v>
      </c>
      <c r="H371" s="2" t="str">
        <f>HYPERLINK("https://www.amazon.com/dp/B07T9839ZL", "https://www.amazon.com/dp/B07T9839ZL")</f>
      </c>
      <c r="I371" s="3">
        <v>296</v>
      </c>
      <c r="J371" s="4">
        <v>186.57</v>
      </c>
      <c r="K371" s="15">
        <v>0.4664</v>
      </c>
      <c r="L371" s="15">
        <v>1.2438</v>
      </c>
      <c r="M371" t="inlineStr">
        <is>
          <t>True</t>
        </is>
      </c>
      <c r="N371" t="inlineStr">
        <is>
          <t>Electronics</t>
        </is>
      </c>
      <c r="O371" s="6">
        <v>13659</v>
      </c>
      <c r="P371" s="6">
        <v>12557</v>
      </c>
      <c r="Q371" s="6">
        <v>4940</v>
      </c>
      <c r="R371" s="6">
        <v>200</v>
      </c>
      <c r="S371" s="7">
        <v>150</v>
      </c>
      <c r="T371" s="7">
        <v>399.99</v>
      </c>
      <c r="U371">
        <v>321.83</v>
      </c>
      <c r="V371" s="8">
        <v>0</v>
      </c>
      <c r="W371" s="7">
        <v>0</v>
      </c>
      <c r="X371" s="7">
        <v>0</v>
      </c>
      <c r="Y371">
        <v>41</v>
      </c>
      <c r="Z371" s="8">
        <v>0</v>
      </c>
      <c r="AB371">
        <v>0</v>
      </c>
      <c r="AC371">
        <v>0</v>
      </c>
      <c r="AD371">
        <v>6</v>
      </c>
      <c r="AE371">
        <v>3</v>
      </c>
      <c r="AF371">
        <v>3</v>
      </c>
      <c r="AG371">
        <v>0</v>
      </c>
      <c r="AH371">
        <v>0</v>
      </c>
      <c r="AI371" t="inlineStr">
        <is>
          <t>False</t>
        </is>
      </c>
      <c r="AJ371" s="2" t="str">
        <f>HYPERLINK("https://keepa.com/#!product/1-B07T9839ZL", "https://keepa.com/#!product/1-B07T9839ZL")</f>
      </c>
      <c r="AK371" s="2" t="str">
        <f>HYPERLINK("https://camelcamelcamel.com/search?sq=B07T9839ZL", "https://camelcamelcamel.com/search?sq=B07T9839ZL")</f>
      </c>
      <c r="AL371" t="inlineStr">
        <is>
          <t/>
        </is>
      </c>
      <c r="AM371" s="10">
        <v>45417.11111111111</v>
      </c>
      <c r="AN371" t="inlineStr">
        <is>
          <t>Sanus Vlf728 (B2) Slim Full Motion Swivel TV Bracket (42-90"), Black</t>
        </is>
      </c>
      <c r="AO371" t="inlineStr">
        <is>
          <t>120</t>
        </is>
      </c>
      <c r="AP371" t="inlineStr">
        <is>
          <t>30</t>
        </is>
      </c>
    </row>
    <row r="372">
      <c r="A372" t="inlineStr">
        <is>
          <t>B07TBPPNKZ</t>
        </is>
      </c>
      <c r="B372" t="inlineStr">
        <is>
          <t>False</t>
        </is>
      </c>
      <c r="C372" t="inlineStr">
        <is>
          <t>B07TBPPNKZ</t>
        </is>
      </c>
      <c r="D372" t="inlineStr">
        <is>
          <t>GOODLOGO</t>
        </is>
      </c>
      <c r="E372" t="inlineStr">
        <is>
          <t>False</t>
        </is>
      </c>
      <c r="F372" t="inlineStr">
        <is>
          <t>GOODLOGO Bath Toys Bathtub Toys for 1 2 3 4 Year Old Kids Toddlers Bath Wall Toy Waterfall Fill Spin and Flow Non Toxic Birthday Gift Ideas Color Box (Multicolor)</t>
        </is>
      </c>
      <c r="G372">
        <v>1</v>
      </c>
      <c r="H372" s="2" t="str">
        <f>HYPERLINK("https://www.amazon.com/dp/B07TBPPNKZ", "https://www.amazon.com/dp/B07TBPPNKZ")</f>
      </c>
      <c r="I372" s="3">
        <v>1116</v>
      </c>
      <c r="J372" s="12">
        <v>-0.42</v>
      </c>
      <c r="K372" s="13">
        <v>-0.0301</v>
      </c>
      <c r="L372" s="13">
        <v>-0.0646</v>
      </c>
      <c r="M372" t="inlineStr">
        <is>
          <t>True</t>
        </is>
      </c>
      <c r="N372" t="inlineStr">
        <is>
          <t>Toys &amp; Games</t>
        </is>
      </c>
      <c r="O372" s="6">
        <v>8317</v>
      </c>
      <c r="P372" s="6">
        <v>7965</v>
      </c>
      <c r="Q372" s="6">
        <v>4036</v>
      </c>
      <c r="R372" s="6">
        <v>184</v>
      </c>
      <c r="S372" s="7">
        <v>6.5</v>
      </c>
      <c r="T372" s="7">
        <v>13.97</v>
      </c>
      <c r="U372">
        <v>14.12</v>
      </c>
      <c r="V372" s="8">
        <v>0</v>
      </c>
      <c r="W372" s="7">
        <v>0</v>
      </c>
      <c r="X372" s="7">
        <v>0</v>
      </c>
      <c r="Y372">
        <v>0.73</v>
      </c>
      <c r="Z372" s="8">
        <v>0</v>
      </c>
      <c r="AB372">
        <v>0</v>
      </c>
      <c r="AC372">
        <v>0</v>
      </c>
      <c r="AD372">
        <v>3</v>
      </c>
      <c r="AE372">
        <v>3</v>
      </c>
      <c r="AF372">
        <v>0</v>
      </c>
      <c r="AG372">
        <v>2</v>
      </c>
      <c r="AH372">
        <v>2</v>
      </c>
      <c r="AI372" t="inlineStr">
        <is>
          <t>False</t>
        </is>
      </c>
      <c r="AJ372" s="2" t="str">
        <f>HYPERLINK("https://keepa.com/#!product/1-B07TBPPNKZ", "https://keepa.com/#!product/1-B07TBPPNKZ")</f>
      </c>
      <c r="AK372" s="2" t="str">
        <f>HYPERLINK("https://camelcamelcamel.com/search?sq=B07TBPPNKZ", "https://camelcamelcamel.com/search?sq=B07TBPPNKZ")</f>
      </c>
      <c r="AL372" t="inlineStr">
        <is>
          <t/>
        </is>
      </c>
      <c r="AM372" s="10">
        <v>45417.11111111111</v>
      </c>
      <c r="AN372" t="inlineStr">
        <is>
          <t>Bath Toys Bathtub Toys for 1 2 3 4 Year Old Kids Toddlers Bath Wall Toy Waterfall Fill Spin and Flow Non Toxic Birthday Gift Ideas Color Box (Multicolor)</t>
        </is>
      </c>
      <c r="AO372" t="inlineStr">
        <is>
          <t>300</t>
        </is>
      </c>
      <c r="AP372" t="inlineStr">
        <is>
          <t>TAKE ALL</t>
        </is>
      </c>
    </row>
    <row r="373">
      <c r="A373" t="inlineStr">
        <is>
          <t>B07V8W2KST</t>
        </is>
      </c>
      <c r="B373" t="inlineStr">
        <is>
          <t>False</t>
        </is>
      </c>
      <c r="C373" t="inlineStr">
        <is>
          <t>B07V8W2KST</t>
        </is>
      </c>
      <c r="D373" t="inlineStr">
        <is>
          <t>Boiron</t>
        </is>
      </c>
      <c r="E373" t="inlineStr">
        <is>
          <t>False</t>
        </is>
      </c>
      <c r="F373" t="inlineStr">
        <is>
          <t>Boiron ColdCalm Tablets for Relief of Common Cold Symptoms Such as Sneezing, Runny Nose, Sore Throat, and Nasal Congestion - Non-Drowsy - 120 Count (2 Pack of 60)</t>
        </is>
      </c>
      <c r="G373">
        <v>1</v>
      </c>
      <c r="H373" s="2" t="str">
        <f>HYPERLINK("https://www.amazon.com/dp/B07V8W2KST", "https://www.amazon.com/dp/B07V8W2KST")</f>
      </c>
      <c r="I373" s="3">
        <v>1145</v>
      </c>
      <c r="J373" s="11">
        <v>3.36</v>
      </c>
      <c r="K373" s="5">
        <v>0.1462</v>
      </c>
      <c r="L373" s="5">
        <v>0.2743</v>
      </c>
      <c r="M373" t="inlineStr">
        <is>
          <t>True</t>
        </is>
      </c>
      <c r="N373" t="inlineStr">
        <is>
          <t>Health &amp; Household</t>
        </is>
      </c>
      <c r="O373" s="6">
        <v>20293</v>
      </c>
      <c r="P373" s="6">
        <v>25472</v>
      </c>
      <c r="Q373" s="6">
        <v>16985</v>
      </c>
      <c r="R373" s="6">
        <v>121</v>
      </c>
      <c r="S373" s="7">
        <v>12.25</v>
      </c>
      <c r="T373" s="7">
        <v>22.98</v>
      </c>
      <c r="U373">
        <v>22.44</v>
      </c>
      <c r="V373" s="8">
        <v>0</v>
      </c>
      <c r="W373" s="7">
        <v>0</v>
      </c>
      <c r="X373" s="7">
        <v>0</v>
      </c>
      <c r="Y373">
        <v>0.13</v>
      </c>
      <c r="Z373" s="9">
        <v>1</v>
      </c>
      <c r="AB373">
        <v>0</v>
      </c>
      <c r="AC373">
        <v>0</v>
      </c>
      <c r="AD373">
        <v>4</v>
      </c>
      <c r="AE373">
        <v>2</v>
      </c>
      <c r="AF373">
        <v>2</v>
      </c>
      <c r="AG373">
        <v>2</v>
      </c>
      <c r="AH373">
        <v>1</v>
      </c>
      <c r="AI373" t="inlineStr">
        <is>
          <t>False</t>
        </is>
      </c>
      <c r="AJ373" s="2" t="str">
        <f>HYPERLINK("https://keepa.com/#!product/1-B07V8W2KST", "https://keepa.com/#!product/1-B07V8W2KST")</f>
      </c>
      <c r="AK373" s="2" t="str">
        <f>HYPERLINK("https://camelcamelcamel.com/search?sq=B07V8W2KST", "https://camelcamelcamel.com/search?sq=B07V8W2KST")</f>
      </c>
      <c r="AL373" t="inlineStr">
        <is>
          <t/>
        </is>
      </c>
      <c r="AM373" s="10">
        <v>45417.11111111111</v>
      </c>
      <c r="AN373" t="inlineStr">
        <is>
          <t>Boiron ColdCalm Tablets for Relief of Common Cold Symptoms Such as Sneezing, Runny Nose, Sore Throat, and Nasal Congestion - Non-Drowsy - 120 Count (2 Pack of 60)</t>
        </is>
      </c>
      <c r="AO373" t="inlineStr">
        <is>
          <t>400</t>
        </is>
      </c>
      <c r="AP373" t="inlineStr">
        <is>
          <t>TAKE ALL</t>
        </is>
      </c>
    </row>
    <row r="374">
      <c r="A374" t="inlineStr">
        <is>
          <t>B07VRPT544</t>
        </is>
      </c>
      <c r="B374" t="inlineStr">
        <is>
          <t>False</t>
        </is>
      </c>
      <c r="C374" t="inlineStr">
        <is>
          <t>B07VRPT544</t>
        </is>
      </c>
      <c r="D374" t="inlineStr">
        <is>
          <t>DURACELL</t>
        </is>
      </c>
      <c r="E374" t="inlineStr">
        <is>
          <t>False</t>
        </is>
      </c>
      <c r="F374" t="inlineStr">
        <is>
          <t>Duracell - CopperTop 9V Alkaline Batteries - Long Lasting, All-Purpose 9 Volt Battery for Household and Business - 8 Count</t>
        </is>
      </c>
      <c r="G374">
        <v>1</v>
      </c>
      <c r="H374" s="2" t="str">
        <f>HYPERLINK("https://www.amazon.com/dp/B07VRPT544", "https://www.amazon.com/dp/B07VRPT544")</f>
      </c>
      <c r="I374" s="3">
        <v>2061</v>
      </c>
      <c r="J374" s="4">
        <v>7.35</v>
      </c>
      <c r="K374" s="5">
        <v>0.2743</v>
      </c>
      <c r="L374" s="15">
        <v>0.6255</v>
      </c>
      <c r="M374" t="inlineStr">
        <is>
          <t>True</t>
        </is>
      </c>
      <c r="N374" t="inlineStr">
        <is>
          <t>Health &amp; Household</t>
        </is>
      </c>
      <c r="O374" s="6">
        <v>12402</v>
      </c>
      <c r="P374" s="6">
        <v>11074</v>
      </c>
      <c r="Q374" s="6">
        <v>6880</v>
      </c>
      <c r="R374" s="6">
        <v>252</v>
      </c>
      <c r="S374" s="7">
        <v>11.75</v>
      </c>
      <c r="T374" s="7">
        <v>26.8</v>
      </c>
      <c r="U374">
        <v>21.03</v>
      </c>
      <c r="V374" s="8">
        <v>0</v>
      </c>
      <c r="W374" s="7">
        <v>0</v>
      </c>
      <c r="X374" s="7">
        <v>0</v>
      </c>
      <c r="Y374">
        <v>1</v>
      </c>
      <c r="Z374" s="8">
        <v>0</v>
      </c>
      <c r="AB374">
        <v>0</v>
      </c>
      <c r="AC374">
        <v>0</v>
      </c>
      <c r="AD374">
        <v>12</v>
      </c>
      <c r="AE374">
        <v>4</v>
      </c>
      <c r="AF374">
        <v>8</v>
      </c>
      <c r="AG374">
        <v>0</v>
      </c>
      <c r="AH374">
        <v>2</v>
      </c>
      <c r="AI374" t="inlineStr">
        <is>
          <t>False</t>
        </is>
      </c>
      <c r="AJ374" s="2" t="str">
        <f>HYPERLINK("https://keepa.com/#!product/1-B07VRPT544", "https://keepa.com/#!product/1-B07VRPT544")</f>
      </c>
      <c r="AK374" s="2" t="str">
        <f>HYPERLINK("https://camelcamelcamel.com/search?sq=B07VRPT544", "https://camelcamelcamel.com/search?sq=B07VRPT544")</f>
      </c>
      <c r="AL374" t="inlineStr">
        <is>
          <t/>
        </is>
      </c>
      <c r="AM374" s="10">
        <v>45417.11111111111</v>
      </c>
      <c r="AN374" t="inlineStr">
        <is>
          <t>Duracell- CopperTop 9v Alkaline Batteries</t>
        </is>
      </c>
      <c r="AO374" t="inlineStr">
        <is>
          <t>1000</t>
        </is>
      </c>
      <c r="AP374" t="inlineStr">
        <is>
          <t>500</t>
        </is>
      </c>
    </row>
    <row r="375">
      <c r="A375" t="inlineStr">
        <is>
          <t>B07VVK39F7</t>
        </is>
      </c>
      <c r="B375" t="inlineStr">
        <is>
          <t>False</t>
        </is>
      </c>
      <c r="C375" t="inlineStr">
        <is>
          <t>B07VVK39F7</t>
        </is>
      </c>
      <c r="D375" t="inlineStr">
        <is>
          <t>LEVOIT</t>
        </is>
      </c>
      <c r="E375" t="inlineStr">
        <is>
          <t>False</t>
        </is>
      </c>
      <c r="F375" t="inlineStr">
        <is>
          <t>LEVOIT Air Purifier for Home Allergies Pets Hair in Bedroom, Covers Up to 1095 ft² by 45W High Torque Motor, 3-in-1 Filter with HEPA sleep mode, Remove Dust Smoke Pollutants Odor, Core300-P, White</t>
        </is>
      </c>
      <c r="G375">
        <v>1</v>
      </c>
      <c r="H375" s="2" t="str">
        <f>HYPERLINK("https://www.amazon.com/dp/B07VVK39F7", "https://www.amazon.com/dp/B07VVK39F7")</f>
      </c>
      <c r="I375" s="3">
        <v>29342</v>
      </c>
      <c r="J375" s="12">
        <v>-2.36</v>
      </c>
      <c r="K375" s="13">
        <v>-0.0281</v>
      </c>
      <c r="L375" s="13">
        <v>-0.04</v>
      </c>
      <c r="M375" t="inlineStr">
        <is>
          <t>True</t>
        </is>
      </c>
      <c r="N375" t="inlineStr">
        <is>
          <t>Home &amp; Kitchen</t>
        </is>
      </c>
      <c r="O375" s="6">
        <v>52</v>
      </c>
      <c r="P375" s="6">
        <v>51</v>
      </c>
      <c r="Q375" s="6">
        <v>20</v>
      </c>
      <c r="R375" s="6">
        <v>422</v>
      </c>
      <c r="S375" s="7">
        <v>59</v>
      </c>
      <c r="T375" s="7">
        <v>83.95</v>
      </c>
      <c r="U375">
        <v>92.27</v>
      </c>
      <c r="V375" s="8">
        <v>0</v>
      </c>
      <c r="W375" s="7">
        <v>0</v>
      </c>
      <c r="X375" s="7">
        <v>0</v>
      </c>
      <c r="Y375">
        <v>8.8</v>
      </c>
      <c r="Z375" s="9">
        <v>0.95</v>
      </c>
      <c r="AB375">
        <v>0</v>
      </c>
      <c r="AC375">
        <v>0</v>
      </c>
      <c r="AD375">
        <v>24</v>
      </c>
      <c r="AE375">
        <v>1</v>
      </c>
      <c r="AF375">
        <v>3</v>
      </c>
      <c r="AG375">
        <v>1</v>
      </c>
      <c r="AH375">
        <v>3</v>
      </c>
      <c r="AI375" t="inlineStr">
        <is>
          <t>False</t>
        </is>
      </c>
      <c r="AJ375" s="2" t="str">
        <f>HYPERLINK("https://keepa.com/#!product/1-B07VVK39F7", "https://keepa.com/#!product/1-B07VVK39F7")</f>
      </c>
      <c r="AK375" s="2" t="str">
        <f>HYPERLINK("https://camelcamelcamel.com/search?sq=B07VVK39F7", "https://camelcamelcamel.com/search?sq=B07VVK39F7")</f>
      </c>
      <c r="AL375" t="inlineStr">
        <is>
          <t/>
        </is>
      </c>
      <c r="AM375" s="10">
        <v>45417.11111111111</v>
      </c>
      <c r="AN375" t="inlineStr">
        <is>
          <t>LEVOIT Air Purifier for Home Allergies Pets Hair in Bedroom, Covers Up to 1095 ftÂ² by 45W High Torque Motor, 3-in-1 Filter with HEPA sleep mode, Remove Dust Smoke Pollutants Odor, Core300-P, White</t>
        </is>
      </c>
      <c r="AO375" t="inlineStr">
        <is>
          <t>250</t>
        </is>
      </c>
      <c r="AP375" t="inlineStr">
        <is>
          <t>TAKE  ALL</t>
        </is>
      </c>
    </row>
    <row r="376">
      <c r="A376" t="inlineStr">
        <is>
          <t>B07W5RD7FN</t>
        </is>
      </c>
      <c r="B376" t="inlineStr">
        <is>
          <t>False</t>
        </is>
      </c>
      <c r="C376" t="inlineStr">
        <is>
          <t>B07W5RD7FN</t>
        </is>
      </c>
      <c r="D376" t="inlineStr">
        <is>
          <t>Crayola</t>
        </is>
      </c>
      <c r="E376" t="inlineStr">
        <is>
          <t>True</t>
        </is>
      </c>
      <c r="F376" t="inlineStr">
        <is>
          <t>Crayola Washable Gel Pen Set, 3 Shades in 1 Pen, Office &amp; School Supplies, 4 Count</t>
        </is>
      </c>
      <c r="G376">
        <v>1</v>
      </c>
      <c r="H376" s="2" t="str">
        <f>HYPERLINK("https://www.amazon.com/dp/B07W5RD7FN", "https://www.amazon.com/dp/B07W5RD7FN")</f>
      </c>
      <c r="I376" s="3">
        <v>928</v>
      </c>
      <c r="J376" s="11">
        <v>1.6</v>
      </c>
      <c r="K376" s="5">
        <v>0.1602</v>
      </c>
      <c r="L376" s="15">
        <v>0.3556</v>
      </c>
      <c r="M376" t="inlineStr">
        <is>
          <t>True</t>
        </is>
      </c>
      <c r="N376" t="inlineStr">
        <is>
          <t>Office Products</t>
        </is>
      </c>
      <c r="O376" s="6">
        <v>6376</v>
      </c>
      <c r="P376" s="6">
        <v>5746</v>
      </c>
      <c r="Q376" s="6">
        <v>2497</v>
      </c>
      <c r="R376" s="6">
        <v>132</v>
      </c>
      <c r="S376" s="7">
        <v>4.5</v>
      </c>
      <c r="T376" s="7">
        <v>9.99</v>
      </c>
      <c r="U376">
        <v>9.19</v>
      </c>
      <c r="V376" s="8">
        <v>0</v>
      </c>
      <c r="W376" s="7">
        <v>0</v>
      </c>
      <c r="X376" s="7">
        <v>0</v>
      </c>
      <c r="Y376">
        <v>0.18</v>
      </c>
      <c r="Z376" s="8">
        <v>0</v>
      </c>
      <c r="AB376">
        <v>0</v>
      </c>
      <c r="AC376">
        <v>0</v>
      </c>
      <c r="AD376">
        <v>1</v>
      </c>
      <c r="AE376">
        <v>1</v>
      </c>
      <c r="AF376">
        <v>0</v>
      </c>
      <c r="AG376">
        <v>1</v>
      </c>
      <c r="AH376">
        <v>3</v>
      </c>
      <c r="AI376" t="inlineStr">
        <is>
          <t>False</t>
        </is>
      </c>
      <c r="AJ376" s="2" t="str">
        <f>HYPERLINK("https://keepa.com/#!product/1-B07W5RD7FN", "https://keepa.com/#!product/1-B07W5RD7FN")</f>
      </c>
      <c r="AK376" s="2" t="str">
        <f>HYPERLINK("https://camelcamelcamel.com/search?sq=B07W5RD7FN", "https://camelcamelcamel.com/search?sq=B07W5RD7FN")</f>
      </c>
      <c r="AL376" t="inlineStr">
        <is>
          <t/>
        </is>
      </c>
      <c r="AM376" s="10">
        <v>45417.11111111111</v>
      </c>
      <c r="AN376" t="inlineStr">
        <is>
          <t>Crayola Washable Gel Pen Set, 3 Shades in 1 Pen, Office &amp; School Supplies, 4 Count</t>
        </is>
      </c>
      <c r="AO376" t="inlineStr">
        <is>
          <t>350</t>
        </is>
      </c>
      <c r="AP376" t="inlineStr">
        <is>
          <t>TAKE ALL</t>
        </is>
      </c>
    </row>
    <row r="377">
      <c r="A377" t="inlineStr">
        <is>
          <t>B07W6S1H31</t>
        </is>
      </c>
      <c r="B377" t="inlineStr">
        <is>
          <t>False</t>
        </is>
      </c>
      <c r="C377" t="inlineStr">
        <is>
          <t>B07W6S1H31</t>
        </is>
      </c>
      <c r="D377" t="inlineStr">
        <is>
          <t>GE</t>
        </is>
      </c>
      <c r="E377" t="inlineStr">
        <is>
          <t>False</t>
        </is>
      </c>
      <c r="F377" t="inlineStr">
        <is>
          <t>GE Lighting LED+ Speaker Recessed Downlight Fixture, 6-Inches, Soft White, Bluetooth Speaker, Remote Included (1 Pack)</t>
        </is>
      </c>
      <c r="G377">
        <v>1</v>
      </c>
      <c r="H377" s="2" t="str">
        <f>HYPERLINK("https://www.amazon.com/dp/B07W6S1H31", "https://www.amazon.com/dp/B07W6S1H31")</f>
      </c>
      <c r="I377" s="3">
        <v>338</v>
      </c>
      <c r="J377" s="4">
        <v>15.72</v>
      </c>
      <c r="K377" s="5">
        <v>0.2096</v>
      </c>
      <c r="L377" s="15">
        <v>0.3743</v>
      </c>
      <c r="M377" t="inlineStr">
        <is>
          <t>True</t>
        </is>
      </c>
      <c r="N377" t="inlineStr">
        <is>
          <t>Industrial &amp; Scientific</t>
        </is>
      </c>
      <c r="O377" s="6">
        <v>11425</v>
      </c>
      <c r="P377" s="6">
        <v>14317</v>
      </c>
      <c r="Q377" s="6">
        <v>8299</v>
      </c>
      <c r="R377" s="6">
        <v>101</v>
      </c>
      <c r="S377" s="7">
        <v>42</v>
      </c>
      <c r="T377" s="7">
        <v>74.99</v>
      </c>
      <c r="U377">
        <v>74.98</v>
      </c>
      <c r="V377" s="8">
        <v>0</v>
      </c>
      <c r="W377" s="7">
        <v>0</v>
      </c>
      <c r="X377" s="7">
        <v>0</v>
      </c>
      <c r="Y377">
        <v>1.26</v>
      </c>
      <c r="Z377" s="8">
        <v>0</v>
      </c>
      <c r="AB377">
        <v>0</v>
      </c>
      <c r="AC377">
        <v>0</v>
      </c>
      <c r="AD377">
        <v>3</v>
      </c>
      <c r="AE377">
        <v>2</v>
      </c>
      <c r="AF377">
        <v>1</v>
      </c>
      <c r="AG377">
        <v>2</v>
      </c>
      <c r="AH377">
        <v>6</v>
      </c>
      <c r="AI377" t="inlineStr">
        <is>
          <t>True</t>
        </is>
      </c>
      <c r="AJ377" s="2" t="str">
        <f>HYPERLINK("https://keepa.com/#!product/1-B07W6S1H31", "https://keepa.com/#!product/1-B07W6S1H31")</f>
      </c>
      <c r="AK377" s="2" t="str">
        <f>HYPERLINK("https://camelcamelcamel.com/search?sq=B07W6S1H31", "https://camelcamelcamel.com/search?sq=B07W6S1H31")</f>
      </c>
      <c r="AL377" t="inlineStr">
        <is>
          <t/>
        </is>
      </c>
      <c r="AM377" s="10">
        <v>45417.11111111111</v>
      </c>
      <c r="AN377" t="inlineStr">
        <is>
          <t>GE-Lightning Offer</t>
        </is>
      </c>
      <c r="AO377" t="inlineStr">
        <is>
          <t>250</t>
        </is>
      </c>
      <c r="AP377" t="inlineStr">
        <is>
          <t>TAKE ALL</t>
        </is>
      </c>
    </row>
    <row r="378">
      <c r="A378" t="inlineStr">
        <is>
          <t>B07WCQPT2R</t>
        </is>
      </c>
      <c r="B378" t="inlineStr">
        <is>
          <t>False</t>
        </is>
      </c>
      <c r="C378" t="inlineStr">
        <is>
          <t>B07WCQPT2R</t>
        </is>
      </c>
      <c r="D378" t="inlineStr">
        <is>
          <t>Crayola</t>
        </is>
      </c>
      <c r="E378" t="inlineStr">
        <is>
          <t>True</t>
        </is>
      </c>
      <c r="F378" t="inlineStr">
        <is>
          <t>Crayola Trolls 2, Color Wonder Mess Free Coloring Pages &amp; Markers, Gift for Kids, Age 3, 4, 5, 6</t>
        </is>
      </c>
      <c r="G378">
        <v>1</v>
      </c>
      <c r="H378" s="2" t="str">
        <f>HYPERLINK("https://www.amazon.com/dp/B07WCQPT2R", "https://www.amazon.com/dp/B07WCQPT2R")</f>
      </c>
      <c r="I378" s="3">
        <v>369</v>
      </c>
      <c r="J378" s="12">
        <v>-0.14</v>
      </c>
      <c r="K378" s="13">
        <v>-0.0177</v>
      </c>
      <c r="L378" s="13">
        <v>-0.04</v>
      </c>
      <c r="M378" t="inlineStr">
        <is>
          <t>True</t>
        </is>
      </c>
      <c r="N378" t="inlineStr">
        <is>
          <t>Toys &amp; Games</t>
        </is>
      </c>
      <c r="O378" s="6">
        <v>26135</v>
      </c>
      <c r="P378" s="6">
        <v>15442</v>
      </c>
      <c r="Q378" s="6">
        <v>8502</v>
      </c>
      <c r="R378" s="6">
        <v>194</v>
      </c>
      <c r="S378" s="7">
        <v>3.5</v>
      </c>
      <c r="T378" s="7">
        <v>7.9</v>
      </c>
      <c r="U378">
        <v>7.86</v>
      </c>
      <c r="V378" s="8">
        <v>0</v>
      </c>
      <c r="W378" s="7">
        <v>0</v>
      </c>
      <c r="X378" s="7">
        <v>0</v>
      </c>
      <c r="Y378">
        <v>0.44</v>
      </c>
      <c r="Z378" s="8">
        <v>0</v>
      </c>
      <c r="AB378">
        <v>0</v>
      </c>
      <c r="AC378">
        <v>0</v>
      </c>
      <c r="AD378">
        <v>8</v>
      </c>
      <c r="AE378">
        <v>4</v>
      </c>
      <c r="AF378">
        <v>4</v>
      </c>
      <c r="AG378">
        <v>3</v>
      </c>
      <c r="AH378">
        <v>0</v>
      </c>
      <c r="AI378" t="inlineStr">
        <is>
          <t>False</t>
        </is>
      </c>
      <c r="AJ378" s="2" t="str">
        <f>HYPERLINK("https://keepa.com/#!product/1-B07WCQPT2R", "https://keepa.com/#!product/1-B07WCQPT2R")</f>
      </c>
      <c r="AK378" s="2" t="str">
        <f>HYPERLINK("https://camelcamelcamel.com/search?sq=B07WCQPT2R", "https://camelcamelcamel.com/search?sq=B07WCQPT2R")</f>
      </c>
      <c r="AL378" t="inlineStr">
        <is>
          <t/>
        </is>
      </c>
      <c r="AM378" s="10">
        <v>45417.11111111111</v>
      </c>
      <c r="AN378" t="inlineStr">
        <is>
          <t>Crayola Trolls 2, Color Wonder Mess Free Coloring Pages &amp; Markers, Gift for Kids, Age 3, 4, 5, 6</t>
        </is>
      </c>
      <c r="AO378" t="inlineStr">
        <is>
          <t>5460</t>
        </is>
      </c>
      <c r="AP378" t="inlineStr">
        <is>
          <t>TAKE ALL</t>
        </is>
      </c>
    </row>
    <row r="379">
      <c r="A379" t="inlineStr">
        <is>
          <t>B07WSY97TH</t>
        </is>
      </c>
      <c r="B379" t="inlineStr">
        <is>
          <t>False</t>
        </is>
      </c>
      <c r="C379" t="inlineStr">
        <is>
          <t>B07WSY97TH</t>
        </is>
      </c>
      <c r="D379" t="inlineStr">
        <is>
          <t>Starbucks</t>
        </is>
      </c>
      <c r="E379" t="inlineStr">
        <is>
          <t>False</t>
        </is>
      </c>
      <c r="F379" t="inlineStr">
        <is>
          <t>Starbucks Ground Coffee, Pumpkin Spice (35 Ounce)</t>
        </is>
      </c>
      <c r="G379">
        <v>1</v>
      </c>
      <c r="H379" s="2" t="str">
        <f>HYPERLINK("https://www.amazon.com/dp/B07WSY97TH", "https://www.amazon.com/dp/B07WSY97TH")</f>
      </c>
      <c r="I379" s="14">
        <v>5</v>
      </c>
      <c r="J379" s="12">
        <v>-2.92</v>
      </c>
      <c r="K379" s="13">
        <v>-0.15</v>
      </c>
      <c r="L379" s="13">
        <v>-0.2163</v>
      </c>
      <c r="M379" t="inlineStr">
        <is>
          <t>True</t>
        </is>
      </c>
      <c r="N379" t="inlineStr">
        <is>
          <t>Grocery</t>
        </is>
      </c>
      <c r="P379" s="6">
        <v>0</v>
      </c>
      <c r="Q379" s="6">
        <v>0</v>
      </c>
      <c r="R379" s="6">
        <v>0</v>
      </c>
      <c r="S379" s="7">
        <v>13.5</v>
      </c>
      <c r="T379" s="7">
        <v>19.47</v>
      </c>
      <c r="U379">
        <v>22.68</v>
      </c>
      <c r="V379" s="8">
        <v>0</v>
      </c>
      <c r="W379" s="7">
        <v>0</v>
      </c>
      <c r="X379" s="7">
        <v>0</v>
      </c>
      <c r="Y379">
        <v>2.23</v>
      </c>
      <c r="Z379" s="8">
        <v>0</v>
      </c>
      <c r="AB379">
        <v>0</v>
      </c>
      <c r="AC379">
        <v>0</v>
      </c>
      <c r="AD379">
        <v>9</v>
      </c>
      <c r="AE379">
        <v>8</v>
      </c>
      <c r="AF379">
        <v>1</v>
      </c>
      <c r="AG379">
        <v>5</v>
      </c>
      <c r="AH379">
        <v>0</v>
      </c>
      <c r="AI379" t="inlineStr">
        <is>
          <t>False</t>
        </is>
      </c>
      <c r="AJ379" s="2" t="str">
        <f>HYPERLINK("https://keepa.com/#!product/1-B07WSY97TH", "https://keepa.com/#!product/1-B07WSY97TH")</f>
      </c>
      <c r="AK379" s="2" t="str">
        <f>HYPERLINK("https://camelcamelcamel.com/search?sq=B07WSY97TH", "https://camelcamelcamel.com/search?sq=B07WSY97TH")</f>
      </c>
      <c r="AL379" t="inlineStr">
        <is>
          <t/>
        </is>
      </c>
      <c r="AM379" s="10">
        <v>45417.11111111111</v>
      </c>
      <c r="AN379" t="inlineStr">
        <is>
          <t>Starbucks Ground Coffee, Pumpkin Spice (35 Ounce)</t>
        </is>
      </c>
      <c r="AO379" t="inlineStr">
        <is>
          <t>1000</t>
        </is>
      </c>
      <c r="AP379" t="inlineStr">
        <is>
          <t>TAKE ALL</t>
        </is>
      </c>
    </row>
    <row r="380">
      <c r="A380" t="inlineStr">
        <is>
          <t>B07WT6RLX9</t>
        </is>
      </c>
      <c r="B380" t="inlineStr">
        <is>
          <t>False</t>
        </is>
      </c>
      <c r="C380" t="inlineStr">
        <is>
          <t>B07WT6RLX9</t>
        </is>
      </c>
      <c r="D380" t="inlineStr">
        <is>
          <t>ONNIT</t>
        </is>
      </c>
      <c r="E380" t="inlineStr">
        <is>
          <t>False</t>
        </is>
      </c>
      <c r="F380" t="inlineStr">
        <is>
          <t>ONNIT Alpha Brain Premium Nootropic Brain Supplement, 30 Count, for Men &amp; Women - Caffeine-Free Focus Capsules for Concentration, Brain Booster&amp; Memory Support - Cat's Claw, Bacopa, Oat Straw</t>
        </is>
      </c>
      <c r="G380">
        <v>1</v>
      </c>
      <c r="H380" s="2" t="str">
        <f>HYPERLINK("https://www.amazon.com/dp/B07WT6RLX9", "https://www.amazon.com/dp/B07WT6RLX9")</f>
      </c>
      <c r="I380" s="14">
        <v>5</v>
      </c>
      <c r="J380" s="4">
        <v>10.31</v>
      </c>
      <c r="K380" s="15">
        <v>0.34700000000000003</v>
      </c>
      <c r="L380" s="15">
        <v>0.9164</v>
      </c>
      <c r="M380" t="inlineStr">
        <is>
          <t>False</t>
        </is>
      </c>
      <c r="N380" t="inlineStr">
        <is>
          <t>Health and Beauty</t>
        </is>
      </c>
      <c r="P380" s="6">
        <v>458</v>
      </c>
      <c r="Q380" s="6">
        <v>277</v>
      </c>
      <c r="R380" s="6">
        <v>305</v>
      </c>
      <c r="S380" s="7">
        <v>11.25</v>
      </c>
      <c r="T380" s="7">
        <v>29.71</v>
      </c>
      <c r="U380">
        <v>29.64</v>
      </c>
      <c r="V380" s="8">
        <v>0</v>
      </c>
      <c r="W380" s="7">
        <v>0</v>
      </c>
      <c r="X380" s="7">
        <v>0</v>
      </c>
      <c r="Y380">
        <v>0.15</v>
      </c>
      <c r="Z380" s="8">
        <v>0</v>
      </c>
      <c r="AB380">
        <v>0</v>
      </c>
      <c r="AC380">
        <v>0</v>
      </c>
      <c r="AD380">
        <v>1</v>
      </c>
      <c r="AE380">
        <v>1</v>
      </c>
      <c r="AF380">
        <v>0</v>
      </c>
      <c r="AG380">
        <v>1</v>
      </c>
      <c r="AH380">
        <v>0</v>
      </c>
      <c r="AI380" t="inlineStr">
        <is>
          <t>False</t>
        </is>
      </c>
      <c r="AJ380" s="2" t="str">
        <f>HYPERLINK("https://keepa.com/#!product/1-B07WT6RLX9", "https://keepa.com/#!product/1-B07WT6RLX9")</f>
      </c>
      <c r="AK380" s="2" t="str">
        <f>HYPERLINK("https://camelcamelcamel.com/search?sq=B07WT6RLX9", "https://camelcamelcamel.com/search?sq=B07WT6RLX9")</f>
      </c>
      <c r="AL380" t="inlineStr">
        <is>
          <t/>
        </is>
      </c>
      <c r="AM380" s="10">
        <v>45417.11111111111</v>
      </c>
      <c r="AN380" t="inlineStr">
        <is>
          <t>Hot Onnit Alpha Brain Offer</t>
        </is>
      </c>
      <c r="AO380" t="inlineStr">
        <is>
          <t>900</t>
        </is>
      </c>
      <c r="AP380" t="inlineStr">
        <is>
          <t>300</t>
        </is>
      </c>
    </row>
    <row r="381">
      <c r="A381" t="inlineStr">
        <is>
          <t>B07X21DGZ6</t>
        </is>
      </c>
      <c r="B381" t="inlineStr">
        <is>
          <t>False</t>
        </is>
      </c>
      <c r="C381" t="inlineStr">
        <is>
          <t>B07X21DGZ6</t>
        </is>
      </c>
      <c r="D381" t="inlineStr">
        <is>
          <t>AstroAI</t>
        </is>
      </c>
      <c r="E381" t="inlineStr">
        <is>
          <t>False</t>
        </is>
      </c>
      <c r="F381" t="inlineStr">
        <is>
          <t>AstroAI Mini Fridge, 4 Liter/6 Can AC/DC Portable Thermoelectric Cooler Refrigerators for Skincare, Beverage, Food, Home, Office and Car, ETL Listed (Light Pink)</t>
        </is>
      </c>
      <c r="G381">
        <v>1</v>
      </c>
      <c r="H381" s="2" t="str">
        <f>HYPERLINK("https://www.amazon.com/dp/B07X21DGZ6", "https://www.amazon.com/dp/B07X21DGZ6")</f>
      </c>
      <c r="I381" s="3">
        <v>2341</v>
      </c>
      <c r="M381" t="inlineStr">
        <is>
          <t>True</t>
        </is>
      </c>
      <c r="N381" t="inlineStr">
        <is>
          <t>Kitchen &amp; Dining</t>
        </is>
      </c>
      <c r="O381" s="6">
        <v>2593</v>
      </c>
      <c r="P381" s="6">
        <v>5806</v>
      </c>
      <c r="Q381" s="6">
        <v>2264</v>
      </c>
      <c r="R381" s="6">
        <v>151</v>
      </c>
      <c r="S381" s="7">
        <v>19.25</v>
      </c>
      <c r="U381">
        <v>44.98</v>
      </c>
      <c r="X381" s="7">
        <v>0</v>
      </c>
      <c r="Y381">
        <v>4.52</v>
      </c>
      <c r="Z381" s="8">
        <v>0</v>
      </c>
      <c r="AB381">
        <v>0</v>
      </c>
      <c r="AC381">
        <v>0</v>
      </c>
      <c r="AD381">
        <v>0</v>
      </c>
      <c r="AE381">
        <v>0</v>
      </c>
      <c r="AF381">
        <v>0</v>
      </c>
      <c r="AG381">
        <v>0</v>
      </c>
      <c r="AH381">
        <v>6</v>
      </c>
      <c r="AI381" t="inlineStr">
        <is>
          <t>False</t>
        </is>
      </c>
      <c r="AJ381" s="2" t="str">
        <f>HYPERLINK("https://keepa.com/#!product/1-B07X21DGZ6", "https://keepa.com/#!product/1-B07X21DGZ6")</f>
      </c>
      <c r="AK381" s="2" t="str">
        <f>HYPERLINK("https://camelcamelcamel.com/search?sq=B07X21DGZ6", "https://camelcamelcamel.com/search?sq=B07X21DGZ6")</f>
      </c>
      <c r="AL381" t="inlineStr">
        <is>
          <t/>
        </is>
      </c>
      <c r="AM381" s="10">
        <v>45417.11111111111</v>
      </c>
      <c r="AN381" t="inlineStr">
        <is>
          <t>AstroAI Mini Fridge, 4 Liter/6 Can AC/DC Portable Thermoelectric Cooler Refrigerators for Skincare, Beverage, Food, Home, Office and Car, ETL Listed (Pink)</t>
        </is>
      </c>
      <c r="AO381" t="inlineStr">
        <is>
          <t>500</t>
        </is>
      </c>
      <c r="AP381" t="inlineStr">
        <is>
          <t>TAKE ALL</t>
        </is>
      </c>
    </row>
    <row r="382">
      <c r="A382" t="inlineStr">
        <is>
          <t>B07X4W61H7</t>
        </is>
      </c>
      <c r="B382" t="inlineStr">
        <is>
          <t>False</t>
        </is>
      </c>
      <c r="C382" t="inlineStr">
        <is>
          <t>B07X4W61H7</t>
        </is>
      </c>
      <c r="D382" t="inlineStr">
        <is>
          <t>XS XSPAK</t>
        </is>
      </c>
      <c r="E382" t="inlineStr">
        <is>
          <t>False</t>
        </is>
      </c>
      <c r="F382" t="inlineStr">
        <is>
          <t>XS XSPAK Pickleball Paddles Set of 2, USAPA Graphite Pickleball Rackets Set Including Bag, 4 Pickleball Balls, Feature Premium Graphite Face and Polypropylene Honeycomb Core, Lightweight Pickleball</t>
        </is>
      </c>
      <c r="G382">
        <v>1</v>
      </c>
      <c r="H382" s="2" t="str">
        <f>HYPERLINK("https://www.amazon.com/dp/B07X4W61H7", "https://www.amazon.com/dp/B07X4W61H7")</f>
      </c>
      <c r="I382" s="3">
        <v>143</v>
      </c>
      <c r="J382" s="4">
        <v>18.08</v>
      </c>
      <c r="K382" s="5">
        <v>0.2583</v>
      </c>
      <c r="L382" s="15">
        <v>0.5318</v>
      </c>
      <c r="M382" t="inlineStr">
        <is>
          <t>True</t>
        </is>
      </c>
      <c r="N382" t="inlineStr">
        <is>
          <t>Sports &amp; Outdoors</t>
        </is>
      </c>
      <c r="O382" s="6">
        <v>44321</v>
      </c>
      <c r="P382" s="6">
        <v>51522</v>
      </c>
      <c r="Q382" s="6">
        <v>21737</v>
      </c>
      <c r="R382" s="6">
        <v>103</v>
      </c>
      <c r="S382" s="7">
        <v>34</v>
      </c>
      <c r="T382" s="7">
        <v>69.99</v>
      </c>
      <c r="U382">
        <v>67.99</v>
      </c>
      <c r="V382" s="8">
        <v>0</v>
      </c>
      <c r="W382" s="7">
        <v>0</v>
      </c>
      <c r="X382" s="7">
        <v>0</v>
      </c>
      <c r="Y382">
        <v>1.97</v>
      </c>
      <c r="Z382" s="8">
        <v>0</v>
      </c>
      <c r="AB382">
        <v>0</v>
      </c>
      <c r="AC382">
        <v>0</v>
      </c>
      <c r="AD382">
        <v>1</v>
      </c>
      <c r="AE382">
        <v>1</v>
      </c>
      <c r="AF382">
        <v>0</v>
      </c>
      <c r="AG382">
        <v>1</v>
      </c>
      <c r="AH382">
        <v>4</v>
      </c>
      <c r="AI382" t="inlineStr">
        <is>
          <t>False</t>
        </is>
      </c>
      <c r="AJ382" s="2" t="str">
        <f>HYPERLINK("https://keepa.com/#!product/1-B07X4W61H7", "https://keepa.com/#!product/1-B07X4W61H7")</f>
      </c>
      <c r="AK382" s="2" t="str">
        <f>HYPERLINK("https://camelcamelcamel.com/search?sq=B07X4W61H7", "https://camelcamelcamel.com/search?sq=B07X4W61H7")</f>
      </c>
      <c r="AL382" t="inlineStr">
        <is>
          <t/>
        </is>
      </c>
      <c r="AM382" s="10">
        <v>45417.11111111111</v>
      </c>
      <c r="AN382" t="inlineStr">
        <is>
          <t>XS XSPAK Pickleball Paddles Sets, USAPA Graphite Face/Carbon Fiber and Polypropylene Honeycomb Core, Anti-Slip Sweat-Absorbing Soft Cushion Grip, Pickleball Set of 2 with 2-4 Balls and 1 Bag/Backpack</t>
        </is>
      </c>
      <c r="AO382" t="inlineStr">
        <is>
          <t>800</t>
        </is>
      </c>
      <c r="AP382" t="inlineStr">
        <is>
          <t>TAKE ALL</t>
        </is>
      </c>
    </row>
    <row r="383">
      <c r="A383" t="inlineStr">
        <is>
          <t>B07XRP6ZDN</t>
        </is>
      </c>
      <c r="B383" t="inlineStr">
        <is>
          <t>False</t>
        </is>
      </c>
      <c r="C383" t="inlineStr">
        <is>
          <t>B07XRP6ZDN</t>
        </is>
      </c>
      <c r="D383" t="inlineStr">
        <is>
          <t>FIVKLEMNZ</t>
        </is>
      </c>
      <c r="E383" t="inlineStr">
        <is>
          <t>False</t>
        </is>
      </c>
      <c r="F383" t="inlineStr">
        <is>
          <t>FIVKLEMNZ Car Rooftop Cargo Carrier Roof Bag Waterproof for All Top of Vehicle with/Without Rack Includes Topper Anti-Slip Mat + Reinforced Straps + 6 Door Hooks + Luggage Lock</t>
        </is>
      </c>
      <c r="G383">
        <v>1</v>
      </c>
      <c r="H383" s="2" t="str">
        <f>HYPERLINK("https://www.amazon.com/dp/B07XRP6ZDN", "https://www.amazon.com/dp/B07XRP6ZDN")</f>
      </c>
      <c r="I383" s="3">
        <v>1992</v>
      </c>
      <c r="J383" s="4">
        <v>12.15</v>
      </c>
      <c r="K383" s="5">
        <v>0.135</v>
      </c>
      <c r="L383" s="5">
        <v>0.2113</v>
      </c>
      <c r="M383" t="inlineStr">
        <is>
          <t>True</t>
        </is>
      </c>
      <c r="N383" t="inlineStr">
        <is>
          <t>Automotive</t>
        </is>
      </c>
      <c r="O383" s="6">
        <v>1448</v>
      </c>
      <c r="P383" s="6">
        <v>5344</v>
      </c>
      <c r="Q383" s="6">
        <v>609</v>
      </c>
      <c r="R383" s="6">
        <v>240</v>
      </c>
      <c r="S383" s="7">
        <v>57.5</v>
      </c>
      <c r="T383" s="7">
        <v>89.99</v>
      </c>
      <c r="U383">
        <v>93.03</v>
      </c>
      <c r="V383" s="8">
        <v>0</v>
      </c>
      <c r="W383" s="7">
        <v>0</v>
      </c>
      <c r="X383" s="7">
        <v>0</v>
      </c>
      <c r="Y383">
        <v>9.13</v>
      </c>
      <c r="Z383" s="9">
        <v>0.02</v>
      </c>
      <c r="AB383">
        <v>0</v>
      </c>
      <c r="AC383">
        <v>0</v>
      </c>
      <c r="AD383">
        <v>4</v>
      </c>
      <c r="AE383">
        <v>1</v>
      </c>
      <c r="AF383">
        <v>0</v>
      </c>
      <c r="AG383">
        <v>1</v>
      </c>
      <c r="AH383">
        <v>4</v>
      </c>
      <c r="AI383" t="inlineStr">
        <is>
          <t>False</t>
        </is>
      </c>
      <c r="AJ383" s="2" t="str">
        <f>HYPERLINK("https://keepa.com/#!product/1-B07XRP6ZDN", "https://keepa.com/#!product/1-B07XRP6ZDN")</f>
      </c>
      <c r="AK383" s="2" t="str">
        <f>HYPERLINK("https://camelcamelcamel.com/search?sq=B07XRP6ZDN", "https://camelcamelcamel.com/search?sq=B07XRP6ZDN")</f>
      </c>
      <c r="AL383" t="inlineStr">
        <is>
          <t/>
        </is>
      </c>
      <c r="AM383" s="10">
        <v>45417.11111111111</v>
      </c>
      <c r="AN383" t="inlineStr">
        <is>
          <t>FIVKLEMNZ Car Rooftop Cargo Carrier Roof Bag Waterproof for All Top of Vehicle with/Without Rack Includes Topper Anti-Slip Mat + Reinforced Straps + 6 Door Hooks + Luggage Lock (15 Cubic Feet)</t>
        </is>
      </c>
      <c r="AO383" t="inlineStr">
        <is>
          <t>70</t>
        </is>
      </c>
      <c r="AP383" t="inlineStr">
        <is>
          <t>TAKE ALL</t>
        </is>
      </c>
    </row>
    <row r="384">
      <c r="A384" t="inlineStr">
        <is>
          <t>B07XZYXYK9</t>
        </is>
      </c>
      <c r="B384" t="inlineStr">
        <is>
          <t>False</t>
        </is>
      </c>
      <c r="C384" t="inlineStr">
        <is>
          <t>B07XZYXYK9</t>
        </is>
      </c>
      <c r="D384" t="inlineStr">
        <is>
          <t>DASH</t>
        </is>
      </c>
      <c r="E384" t="inlineStr">
        <is>
          <t>False</t>
        </is>
      </c>
      <c r="F384" t="inlineStr">
        <is>
          <t>DASH Safe Slice® Mandoline Slicer, Julienne + Dicer for Vegetables, Meal Prep &amp; More with 30+ Presets &amp; Thickness Adjuster - Grey</t>
        </is>
      </c>
      <c r="G384">
        <v>1</v>
      </c>
      <c r="H384" s="2" t="str">
        <f>HYPERLINK("https://www.amazon.com/dp/B07XZYXYK9", "https://www.amazon.com/dp/B07XZYXYK9")</f>
      </c>
      <c r="I384" s="3">
        <v>5437</v>
      </c>
      <c r="J384" s="4">
        <v>9.68</v>
      </c>
      <c r="K384" s="5">
        <v>0.2231</v>
      </c>
      <c r="L384" s="15">
        <v>0.484</v>
      </c>
      <c r="M384" t="inlineStr">
        <is>
          <t>True</t>
        </is>
      </c>
      <c r="N384" t="inlineStr">
        <is>
          <t>Kitchen &amp; Dining</t>
        </is>
      </c>
      <c r="O384" s="6">
        <v>749</v>
      </c>
      <c r="P384" s="6">
        <v>815</v>
      </c>
      <c r="Q384" s="6">
        <v>262</v>
      </c>
      <c r="R384" s="6">
        <v>164</v>
      </c>
      <c r="S384" s="7">
        <v>20</v>
      </c>
      <c r="T384" s="7">
        <v>43.38</v>
      </c>
      <c r="U384">
        <v>39.46</v>
      </c>
      <c r="V384" s="8">
        <v>0</v>
      </c>
      <c r="W384" s="7">
        <v>0</v>
      </c>
      <c r="X384" s="7">
        <v>0</v>
      </c>
      <c r="Y384">
        <v>2.35</v>
      </c>
      <c r="Z384" s="9">
        <v>1</v>
      </c>
      <c r="AB384">
        <v>0</v>
      </c>
      <c r="AC384">
        <v>0</v>
      </c>
      <c r="AD384">
        <v>9</v>
      </c>
      <c r="AE384">
        <v>4</v>
      </c>
      <c r="AF384">
        <v>2</v>
      </c>
      <c r="AG384">
        <v>3</v>
      </c>
      <c r="AH384">
        <v>3</v>
      </c>
      <c r="AI384" t="inlineStr">
        <is>
          <t>False</t>
        </is>
      </c>
      <c r="AJ384" s="2" t="str">
        <f>HYPERLINK("https://keepa.com/#!product/1-B07XZYXYK9", "https://keepa.com/#!product/1-B07XZYXYK9")</f>
      </c>
      <c r="AK384" s="2" t="str">
        <f>HYPERLINK("https://camelcamelcamel.com/search?sq=B07XZYXYK9", "https://camelcamelcamel.com/search?sq=B07XZYXYK9")</f>
      </c>
      <c r="AL384" t="inlineStr">
        <is>
          <t/>
        </is>
      </c>
      <c r="AM384" s="10">
        <v>45417.11111111111</v>
      </c>
      <c r="AN384" t="inlineStr">
        <is>
          <t>DASH Safe SliceÂ® Mandoline Slicer, Julienne + Dicer for Vegetables, Meal Prep &amp; More with 30+ Presets &amp; Thickness Adjuster - Grey</t>
        </is>
      </c>
      <c r="AO384" t="inlineStr">
        <is>
          <t>800</t>
        </is>
      </c>
      <c r="AP384" t="inlineStr">
        <is>
          <t>400</t>
        </is>
      </c>
    </row>
    <row r="385">
      <c r="A385" t="inlineStr">
        <is>
          <t>B07YLBKV3R</t>
        </is>
      </c>
      <c r="B385" t="inlineStr">
        <is>
          <t>False</t>
        </is>
      </c>
      <c r="C385" t="inlineStr">
        <is>
          <t>B07YLBKV3R</t>
        </is>
      </c>
      <c r="D385" t="inlineStr">
        <is>
          <t>Werther's Original</t>
        </is>
      </c>
      <c r="E385" t="inlineStr">
        <is>
          <t>False</t>
        </is>
      </c>
      <c r="F385" t="inlineStr">
        <is>
          <t>Werther's Original Soft Caramels 10.8 Ounce</t>
        </is>
      </c>
      <c r="G385">
        <v>1</v>
      </c>
      <c r="H385" s="2" t="str">
        <f>HYPERLINK("https://www.amazon.com/dp/B07YLBKV3R", "https://www.amazon.com/dp/B07YLBKV3R")</f>
      </c>
      <c r="I385" s="3">
        <v>5371</v>
      </c>
      <c r="J385" s="11">
        <v>1.9</v>
      </c>
      <c r="K385" s="5">
        <v>0.1583</v>
      </c>
      <c r="L385" s="15">
        <v>0.38380000000000003</v>
      </c>
      <c r="M385" t="inlineStr">
        <is>
          <t>True</t>
        </is>
      </c>
      <c r="N385" t="inlineStr">
        <is>
          <t>Grocery &amp; Gourmet Food</t>
        </is>
      </c>
      <c r="O385" s="6">
        <v>939</v>
      </c>
      <c r="P385" s="6">
        <v>959</v>
      </c>
      <c r="Q385" s="6">
        <v>664</v>
      </c>
      <c r="R385" s="6">
        <v>272</v>
      </c>
      <c r="S385" s="7">
        <v>4.95</v>
      </c>
      <c r="T385" s="7">
        <v>12</v>
      </c>
      <c r="U385">
        <v>12.99</v>
      </c>
      <c r="V385" s="8">
        <v>0</v>
      </c>
      <c r="W385" s="7">
        <v>0</v>
      </c>
      <c r="X385" s="7">
        <v>0</v>
      </c>
      <c r="Y385">
        <v>0.71</v>
      </c>
      <c r="Z385" s="8">
        <v>0</v>
      </c>
      <c r="AB385">
        <v>0</v>
      </c>
      <c r="AC385">
        <v>0</v>
      </c>
      <c r="AD385">
        <v>14</v>
      </c>
      <c r="AE385">
        <v>6</v>
      </c>
      <c r="AF385">
        <v>8</v>
      </c>
      <c r="AG385">
        <v>2</v>
      </c>
      <c r="AH385">
        <v>40</v>
      </c>
      <c r="AI385" t="inlineStr">
        <is>
          <t>False</t>
        </is>
      </c>
      <c r="AJ385" s="2" t="str">
        <f>HYPERLINK("https://keepa.com/#!product/1-B07YLBKV3R", "https://keepa.com/#!product/1-B07YLBKV3R")</f>
      </c>
      <c r="AK385" s="2" t="str">
        <f>HYPERLINK("https://camelcamelcamel.com/search?sq=B07YLBKV3R", "https://camelcamelcamel.com/search?sq=B07YLBKV3R")</f>
      </c>
      <c r="AL385" t="inlineStr">
        <is>
          <t/>
        </is>
      </c>
      <c r="AM385" s="10">
        <v>45417.11111111111</v>
      </c>
      <c r="AN385" t="inlineStr">
        <is>
          <t>Werther's Original Soft Caramels 10.8 Ounce</t>
        </is>
      </c>
      <c r="AO385" t="inlineStr">
        <is>
          <t>2500</t>
        </is>
      </c>
      <c r="AP385" t="inlineStr">
        <is>
          <t>TAKE ALL</t>
        </is>
      </c>
    </row>
    <row r="386">
      <c r="A386" t="inlineStr">
        <is>
          <t>B07YMKD6SM</t>
        </is>
      </c>
      <c r="B386" t="inlineStr">
        <is>
          <t>False</t>
        </is>
      </c>
      <c r="C386" t="inlineStr">
        <is>
          <t>B07YMKD6SM</t>
        </is>
      </c>
      <c r="D386" t="inlineStr">
        <is>
          <t>Google</t>
        </is>
      </c>
      <c r="E386" t="inlineStr">
        <is>
          <t>False</t>
        </is>
      </c>
      <c r="F386" t="inlineStr">
        <is>
          <t>Google Nest Wifi - AC2200 - Mesh WiFi System - Wifi Router - 2200 Sq Ft Coverage - 1 pack</t>
        </is>
      </c>
      <c r="G386">
        <v>1</v>
      </c>
      <c r="H386" s="2" t="str">
        <f>HYPERLINK("https://www.amazon.com/dp/B07YMKD6SM", "https://www.amazon.com/dp/B07YMKD6SM")</f>
      </c>
      <c r="I386" s="3">
        <v>2333</v>
      </c>
      <c r="J386" s="4">
        <v>4.88</v>
      </c>
      <c r="K386" s="5">
        <v>0.1039</v>
      </c>
      <c r="L386" s="5">
        <v>0.1502</v>
      </c>
      <c r="M386" t="inlineStr">
        <is>
          <t>True</t>
        </is>
      </c>
      <c r="N386" t="inlineStr">
        <is>
          <t>Computers &amp; Accessories</t>
        </is>
      </c>
      <c r="O386" s="6">
        <v>111</v>
      </c>
      <c r="P386" s="6">
        <v>143</v>
      </c>
      <c r="Q386" s="6">
        <v>57</v>
      </c>
      <c r="R386" s="6">
        <v>331</v>
      </c>
      <c r="S386" s="7">
        <v>32.5</v>
      </c>
      <c r="T386" s="7">
        <v>46.99</v>
      </c>
      <c r="U386">
        <v>50.4</v>
      </c>
      <c r="V386" s="8">
        <v>0</v>
      </c>
      <c r="W386" s="7">
        <v>0</v>
      </c>
      <c r="X386" s="7">
        <v>0</v>
      </c>
      <c r="Y386">
        <v>1.92</v>
      </c>
      <c r="Z386" s="9">
        <v>0.03</v>
      </c>
      <c r="AB386">
        <v>0</v>
      </c>
      <c r="AC386">
        <v>0</v>
      </c>
      <c r="AD386">
        <v>56</v>
      </c>
      <c r="AE386">
        <v>20</v>
      </c>
      <c r="AF386">
        <v>9</v>
      </c>
      <c r="AG386">
        <v>1</v>
      </c>
      <c r="AH386">
        <v>5</v>
      </c>
      <c r="AI386" t="inlineStr">
        <is>
          <t>False</t>
        </is>
      </c>
      <c r="AJ386" s="2" t="str">
        <f>HYPERLINK("https://keepa.com/#!product/1-B07YMKD6SM", "https://keepa.com/#!product/1-B07YMKD6SM")</f>
      </c>
      <c r="AK386" s="2" t="str">
        <f>HYPERLINK("https://camelcamelcamel.com/search?sq=B07YMKD6SM", "https://camelcamelcamel.com/search?sq=B07YMKD6SM")</f>
      </c>
      <c r="AL386" t="inlineStr">
        <is>
          <t/>
        </is>
      </c>
      <c r="AM386" s="10">
        <v>45417.11111111111</v>
      </c>
      <c r="AN386" t="inlineStr">
        <is>
          <t>Google Nest Offer</t>
        </is>
      </c>
      <c r="AO386" t="inlineStr">
        <is>
          <t>750</t>
        </is>
      </c>
      <c r="AP386" t="inlineStr">
        <is>
          <t>250</t>
        </is>
      </c>
    </row>
    <row r="387">
      <c r="A387" t="inlineStr">
        <is>
          <t>B07YYZGTW7</t>
        </is>
      </c>
      <c r="B387" t="inlineStr">
        <is>
          <t>False</t>
        </is>
      </c>
      <c r="C387" t="inlineStr">
        <is>
          <t>B07YYZGTW7</t>
        </is>
      </c>
      <c r="D387" t="inlineStr">
        <is>
          <t>Boiron</t>
        </is>
      </c>
      <c r="E387" t="inlineStr">
        <is>
          <t>False</t>
        </is>
      </c>
      <c r="F387" t="inlineStr">
        <is>
          <t>Boiron HemCalm Ointment for Hemorrhoid Relief of Pain, Itching, Swelling or Discomfort - 1 oz</t>
        </is>
      </c>
      <c r="G387">
        <v>1</v>
      </c>
      <c r="H387" s="2" t="str">
        <f>HYPERLINK("https://www.amazon.com/dp/B07YYZGTW7", "https://www.amazon.com/dp/B07YYZGTW7")</f>
      </c>
      <c r="I387" s="3">
        <v>3058</v>
      </c>
      <c r="J387" s="11">
        <v>0.4</v>
      </c>
      <c r="K387" s="5">
        <v>0.054000000000000006</v>
      </c>
      <c r="L387" s="5">
        <v>0.1143</v>
      </c>
      <c r="M387" t="inlineStr">
        <is>
          <t>True</t>
        </is>
      </c>
      <c r="N387" t="inlineStr">
        <is>
          <t>Health &amp; Household</t>
        </is>
      </c>
      <c r="O387" s="6">
        <v>8679</v>
      </c>
      <c r="P387" s="6">
        <v>10388</v>
      </c>
      <c r="Q387" s="6">
        <v>7763</v>
      </c>
      <c r="R387" s="6">
        <v>192</v>
      </c>
      <c r="S387" s="7">
        <v>3.5</v>
      </c>
      <c r="T387" s="7">
        <v>7.41</v>
      </c>
      <c r="U387">
        <v>7.35</v>
      </c>
      <c r="V387" s="8">
        <v>0</v>
      </c>
      <c r="W387" s="7">
        <v>0</v>
      </c>
      <c r="X387" s="7">
        <v>0</v>
      </c>
      <c r="Y387">
        <v>0.09</v>
      </c>
      <c r="Z387" s="9">
        <v>1</v>
      </c>
      <c r="AB387">
        <v>0</v>
      </c>
      <c r="AC387">
        <v>0</v>
      </c>
      <c r="AD387">
        <v>17</v>
      </c>
      <c r="AE387">
        <v>2</v>
      </c>
      <c r="AF387">
        <v>15</v>
      </c>
      <c r="AG387">
        <v>1</v>
      </c>
      <c r="AH387">
        <v>1</v>
      </c>
      <c r="AI387" t="inlineStr">
        <is>
          <t>False</t>
        </is>
      </c>
      <c r="AJ387" s="2" t="str">
        <f>HYPERLINK("https://keepa.com/#!product/1-B07YYZGTW7", "https://keepa.com/#!product/1-B07YYZGTW7")</f>
      </c>
      <c r="AK387" s="2" t="str">
        <f>HYPERLINK("https://camelcamelcamel.com/search?sq=B07YYZGTW7", "https://camelcamelcamel.com/search?sq=B07YYZGTW7")</f>
      </c>
      <c r="AL387" t="inlineStr">
        <is>
          <t/>
        </is>
      </c>
      <c r="AM387" s="10">
        <v>45417.11111111111</v>
      </c>
      <c r="AN387" t="inlineStr">
        <is>
          <t>Boiron HemCalm Ointment for Hemorrhoid Relief of Pain, Itching, Swelling or Discomfort - 1 oz</t>
        </is>
      </c>
      <c r="AO387" t="inlineStr">
        <is>
          <t>500</t>
        </is>
      </c>
      <c r="AP387" t="inlineStr">
        <is>
          <t>TAKE ALL</t>
        </is>
      </c>
    </row>
    <row r="388">
      <c r="A388" t="inlineStr">
        <is>
          <t>B07ZGXJYZ3</t>
        </is>
      </c>
      <c r="B388" t="inlineStr">
        <is>
          <t>False</t>
        </is>
      </c>
      <c r="C388" t="inlineStr">
        <is>
          <t>B07ZGXJYZ3</t>
        </is>
      </c>
      <c r="D388" t="inlineStr">
        <is>
          <t>Garnier</t>
        </is>
      </c>
      <c r="E388" t="inlineStr">
        <is>
          <t>True</t>
        </is>
      </c>
      <c r="F388" t="inlineStr">
        <is>
          <t>Garnier Nutrisse 5 Minute Nourishing Color Hair Mask with Triple Oils Delivers Day 1 Color Results, for Color Treated Hair, Warm Brown, 4.2 fl. oz.</t>
        </is>
      </c>
      <c r="G388">
        <v>1</v>
      </c>
      <c r="H388" s="2" t="str">
        <f>HYPERLINK("https://www.amazon.com/dp/B07ZGXJYZ3", "https://www.amazon.com/dp/B07ZGXJYZ3")</f>
      </c>
      <c r="I388" s="3">
        <v>1664</v>
      </c>
      <c r="J388" s="12">
        <v>-1.44</v>
      </c>
      <c r="K388" s="13">
        <v>-0.21359999999999998</v>
      </c>
      <c r="L388" s="13">
        <v>-0.32</v>
      </c>
      <c r="M388" t="inlineStr">
        <is>
          <t>True</t>
        </is>
      </c>
      <c r="N388" t="inlineStr">
        <is>
          <t>Beauty &amp; Personal Care</t>
        </is>
      </c>
      <c r="O388" s="6">
        <v>11206</v>
      </c>
      <c r="P388" s="6">
        <v>25271</v>
      </c>
      <c r="Q388" s="6">
        <v>11696</v>
      </c>
      <c r="R388" s="6">
        <v>218</v>
      </c>
      <c r="S388" s="7">
        <v>4.5</v>
      </c>
      <c r="T388" s="7">
        <v>6.74</v>
      </c>
      <c r="U388">
        <v>7.49</v>
      </c>
      <c r="V388" s="8">
        <v>0</v>
      </c>
      <c r="W388" s="7">
        <v>0</v>
      </c>
      <c r="X388" s="7">
        <v>0</v>
      </c>
      <c r="Y388">
        <v>0.31</v>
      </c>
      <c r="Z388" s="8">
        <v>0</v>
      </c>
      <c r="AB388">
        <v>0</v>
      </c>
      <c r="AC388">
        <v>0</v>
      </c>
      <c r="AD388">
        <v>28</v>
      </c>
      <c r="AE388">
        <v>9</v>
      </c>
      <c r="AF388">
        <v>19</v>
      </c>
      <c r="AG388">
        <v>3</v>
      </c>
      <c r="AH388">
        <v>8</v>
      </c>
      <c r="AI388" t="inlineStr">
        <is>
          <t>False</t>
        </is>
      </c>
      <c r="AJ388" s="2" t="str">
        <f>HYPERLINK("https://keepa.com/#!product/1-B07ZGXJYZ3", "https://keepa.com/#!product/1-B07ZGXJYZ3")</f>
      </c>
      <c r="AK388" s="2" t="str">
        <f>HYPERLINK("https://camelcamelcamel.com/search?sq=B07ZGXJYZ3", "https://camelcamelcamel.com/search?sq=B07ZGXJYZ3")</f>
      </c>
      <c r="AL388" t="inlineStr">
        <is>
          <t/>
        </is>
      </c>
      <c r="AM388" s="10">
        <v>45417.11111111111</v>
      </c>
      <c r="AN388" t="inlineStr">
        <is>
          <t>Garnier Nutrisse 5 Minute Nourishing Color Hair Mask with Triple Oils Delivers Day 1 Color Results, for Color Treated Hair, Warm Brown, 4.2 fl. oz.</t>
        </is>
      </c>
      <c r="AO388" t="inlineStr">
        <is>
          <t>726</t>
        </is>
      </c>
      <c r="AP388" t="inlineStr">
        <is>
          <t>TAKE ALL</t>
        </is>
      </c>
    </row>
    <row r="389">
      <c r="A389" t="inlineStr">
        <is>
          <t>B07ZNDCF8W</t>
        </is>
      </c>
      <c r="B389" t="inlineStr">
        <is>
          <t>False</t>
        </is>
      </c>
      <c r="C389" t="inlineStr">
        <is>
          <t>B07ZNDCF8W</t>
        </is>
      </c>
      <c r="D389" t="inlineStr">
        <is>
          <t>TISSCARE</t>
        </is>
      </c>
      <c r="E389" t="inlineStr">
        <is>
          <t>False</t>
        </is>
      </c>
      <c r="F389" t="inlineStr">
        <is>
          <t>TISSCARE Foot Massager - Shiatsu Foot Massager with Heat for Neuropathy and Plantar Fasciitis - Feet Massager for Circulation and Pain Relief.</t>
        </is>
      </c>
      <c r="G389">
        <v>1</v>
      </c>
      <c r="H389" s="2" t="str">
        <f>HYPERLINK("https://www.amazon.com/dp/B07ZNDCF8W", "https://www.amazon.com/dp/B07ZNDCF8W")</f>
      </c>
      <c r="I389" s="3">
        <v>737</v>
      </c>
      <c r="J389" s="4">
        <v>55.21</v>
      </c>
      <c r="K389" s="5">
        <v>0.251</v>
      </c>
      <c r="L389" s="15">
        <v>0.5112</v>
      </c>
      <c r="M389" t="inlineStr">
        <is>
          <t>True</t>
        </is>
      </c>
      <c r="N389" t="inlineStr">
        <is>
          <t>Health &amp; Household</t>
        </is>
      </c>
      <c r="O389" s="6">
        <v>28303</v>
      </c>
      <c r="P389" s="6">
        <v>30251</v>
      </c>
      <c r="Q389" s="6">
        <v>13114</v>
      </c>
      <c r="R389" s="6">
        <v>189</v>
      </c>
      <c r="S389" s="7">
        <v>108</v>
      </c>
      <c r="T389" s="7">
        <v>219.99</v>
      </c>
      <c r="U389">
        <v>209.76</v>
      </c>
      <c r="V389" s="8">
        <v>0</v>
      </c>
      <c r="W389" s="7">
        <v>0</v>
      </c>
      <c r="X389" s="7">
        <v>0</v>
      </c>
      <c r="Y389">
        <v>18.3</v>
      </c>
      <c r="Z389" s="8">
        <v>0</v>
      </c>
      <c r="AB389">
        <v>0</v>
      </c>
      <c r="AC389">
        <v>0</v>
      </c>
      <c r="AD389">
        <v>5</v>
      </c>
      <c r="AE389">
        <v>2</v>
      </c>
      <c r="AF389">
        <v>0</v>
      </c>
      <c r="AG389">
        <v>1</v>
      </c>
      <c r="AH389">
        <v>3</v>
      </c>
      <c r="AI389" t="inlineStr">
        <is>
          <t>True</t>
        </is>
      </c>
      <c r="AJ389" s="2" t="str">
        <f>HYPERLINK("https://keepa.com/#!product/1-B07ZNDCF8W", "https://keepa.com/#!product/1-B07ZNDCF8W")</f>
      </c>
      <c r="AK389" s="2" t="str">
        <f>HYPERLINK("https://camelcamelcamel.com/search?sq=B07ZNDCF8W", "https://camelcamelcamel.com/search?sq=B07ZNDCF8W")</f>
      </c>
      <c r="AL389" t="inlineStr">
        <is>
          <t/>
        </is>
      </c>
      <c r="AM389" s="10">
        <v>45417.11111111111</v>
      </c>
      <c r="AN389" t="inlineStr">
        <is>
          <t>TISSCARE Foot Massager - Shiatsu Foot Massager with Heat for Neuropathy and Plantar Fasciitis - Feet Massager for Circulation and Pain Relief.</t>
        </is>
      </c>
      <c r="AO389" t="inlineStr">
        <is>
          <t>100</t>
        </is>
      </c>
      <c r="AP389" t="inlineStr">
        <is>
          <t>TAKE ALL</t>
        </is>
      </c>
    </row>
    <row r="390">
      <c r="A390" t="inlineStr">
        <is>
          <t>B0812B1FMQ</t>
        </is>
      </c>
      <c r="B390" t="inlineStr">
        <is>
          <t>False</t>
        </is>
      </c>
      <c r="C390" t="inlineStr">
        <is>
          <t>B0812B1FMQ</t>
        </is>
      </c>
      <c r="D390" t="inlineStr">
        <is>
          <t>CLEAN SKIN CLUB</t>
        </is>
      </c>
      <c r="E390" t="inlineStr">
        <is>
          <t>False</t>
        </is>
      </c>
      <c r="F390" t="inlineStr">
        <is>
          <t>Clean Skin Club Clean Towels XL, 100% USDA Biobased Dermatologist Approved Face Towel, Disposable Clinically Tested Face Towelette, Facial Washcloth, Makeup Remover Dry Wipes, 100 ct, 2 pack</t>
        </is>
      </c>
      <c r="G390">
        <v>100</v>
      </c>
      <c r="H390" s="2" t="str">
        <f>HYPERLINK("https://www.amazon.com/dp/B0812B1FMQ", "https://www.amazon.com/dp/B0812B1FMQ")</f>
      </c>
      <c r="I390" s="3">
        <v>113921</v>
      </c>
      <c r="J390" s="12">
        <v>-1550.88</v>
      </c>
      <c r="K390" s="13">
        <v>-43.2</v>
      </c>
      <c r="L390" s="13">
        <v>-0.9847</v>
      </c>
      <c r="M390" t="inlineStr">
        <is>
          <t>True</t>
        </is>
      </c>
      <c r="N390" t="inlineStr">
        <is>
          <t>Beauty &amp; Personal Care</t>
        </is>
      </c>
      <c r="O390" s="6">
        <v>4</v>
      </c>
      <c r="P390" s="6">
        <v>3</v>
      </c>
      <c r="Q390" s="6">
        <v>2</v>
      </c>
      <c r="R390" s="6">
        <v>37</v>
      </c>
      <c r="S390" s="7">
        <v>15.75</v>
      </c>
      <c r="T390" s="7">
        <v>35.9</v>
      </c>
      <c r="U390">
        <v>33.08</v>
      </c>
      <c r="V390" s="8">
        <v>0</v>
      </c>
      <c r="W390" s="7">
        <v>0</v>
      </c>
      <c r="X390" s="7">
        <v>0</v>
      </c>
      <c r="Y390">
        <v>1.94</v>
      </c>
      <c r="Z390" s="8">
        <v>0</v>
      </c>
      <c r="AB390">
        <v>0</v>
      </c>
      <c r="AC390">
        <v>0</v>
      </c>
      <c r="AD390">
        <v>1</v>
      </c>
      <c r="AE390">
        <v>1</v>
      </c>
      <c r="AF390">
        <v>0</v>
      </c>
      <c r="AG390">
        <v>1</v>
      </c>
      <c r="AH390">
        <v>6</v>
      </c>
      <c r="AI390" t="inlineStr">
        <is>
          <t>False</t>
        </is>
      </c>
      <c r="AJ390" s="2" t="str">
        <f>HYPERLINK("https://keepa.com/#!product/1-B0812B1FMQ", "https://keepa.com/#!product/1-B0812B1FMQ")</f>
      </c>
      <c r="AK390" s="2" t="str">
        <f>HYPERLINK("https://camelcamelcamel.com/search?sq=B0812B1FMQ", "https://camelcamelcamel.com/search?sq=B0812B1FMQ")</f>
      </c>
      <c r="AL390" t="inlineStr">
        <is>
          <t/>
        </is>
      </c>
      <c r="AM390" s="10">
        <v>45417.11111111111</v>
      </c>
      <c r="AN390" t="inlineStr">
        <is>
          <t>Clean Skin Club Clean Towels XL, 100% USDA Biobased Dermatologist Approved Face Towel, Disposable Clinically Tested Face Towelette, Facial Washcloth, Makeup Remover Dry Wipes, 100 ct, 2 pack</t>
        </is>
      </c>
      <c r="AO390" t="inlineStr">
        <is>
          <t>1500</t>
        </is>
      </c>
      <c r="AP390" t="inlineStr">
        <is>
          <t>TAKE ALL</t>
        </is>
      </c>
    </row>
    <row r="391">
      <c r="A391" t="inlineStr">
        <is>
          <t>B081GQ8MHG</t>
        </is>
      </c>
      <c r="B391" t="inlineStr">
        <is>
          <t>False</t>
        </is>
      </c>
      <c r="C391" t="inlineStr">
        <is>
          <t>B081GQ8MHG</t>
        </is>
      </c>
      <c r="D391" t="inlineStr">
        <is>
          <t>Utopia Kitchen</t>
        </is>
      </c>
      <c r="E391" t="inlineStr">
        <is>
          <t>False</t>
        </is>
      </c>
      <c r="F391" t="inlineStr">
        <is>
          <t>Utopia Kitchen Spandex Tablecloth 2 Pack [6FT, Black] Tight, Fitted, Washable and Wrinkle Resistant Stretch Rectangular Patio Table Cover for Event, Wedding, Banquet &amp; Parties [72Lx30Wx30H Inch]</t>
        </is>
      </c>
      <c r="G391">
        <v>2</v>
      </c>
      <c r="H391" s="2" t="str">
        <f>HYPERLINK("https://www.amazon.com/dp/B081GQ8MHG", "https://www.amazon.com/dp/B081GQ8MHG")</f>
      </c>
      <c r="I391" s="3">
        <v>18196</v>
      </c>
      <c r="J391" s="12">
        <v>-5.77</v>
      </c>
      <c r="K391" s="13">
        <v>-0.3038</v>
      </c>
      <c r="L391" s="13">
        <v>-0.3979</v>
      </c>
      <c r="M391" t="inlineStr">
        <is>
          <t>True</t>
        </is>
      </c>
      <c r="N391" t="inlineStr">
        <is>
          <t>Kitchen &amp; Dining</t>
        </is>
      </c>
      <c r="O391" s="6">
        <v>67</v>
      </c>
      <c r="P391" s="6">
        <v>53</v>
      </c>
      <c r="Q391" s="6">
        <v>17</v>
      </c>
      <c r="R391" s="6">
        <v>135</v>
      </c>
      <c r="S391" s="7">
        <v>7.25</v>
      </c>
      <c r="T391" s="7">
        <v>18.99</v>
      </c>
      <c r="U391">
        <v>18.85</v>
      </c>
      <c r="V391" s="8">
        <v>0</v>
      </c>
      <c r="W391" s="7">
        <v>0</v>
      </c>
      <c r="X391" s="7">
        <v>0</v>
      </c>
      <c r="Y391">
        <v>2.73</v>
      </c>
      <c r="Z391" s="8">
        <v>0</v>
      </c>
      <c r="AB391">
        <v>0</v>
      </c>
      <c r="AC391">
        <v>0</v>
      </c>
      <c r="AD391">
        <v>5</v>
      </c>
      <c r="AE391">
        <v>2</v>
      </c>
      <c r="AF391">
        <v>0</v>
      </c>
      <c r="AG391">
        <v>1</v>
      </c>
      <c r="AH391">
        <v>47</v>
      </c>
      <c r="AI391" t="inlineStr">
        <is>
          <t>False</t>
        </is>
      </c>
      <c r="AJ391" s="2" t="str">
        <f>HYPERLINK("https://keepa.com/#!product/1-B081GQ8MHG", "https://keepa.com/#!product/1-B081GQ8MHG")</f>
      </c>
      <c r="AK391" s="2" t="str">
        <f>HYPERLINK("https://camelcamelcamel.com/search?sq=B081GQ8MHG", "https://camelcamelcamel.com/search?sq=B081GQ8MHG")</f>
      </c>
      <c r="AL391" t="inlineStr">
        <is>
          <t/>
        </is>
      </c>
      <c r="AM391" s="10">
        <v>45417.11111111111</v>
      </c>
      <c r="AN391" t="inlineStr">
        <is>
          <t>Utopia Kitchen Spandex Tablecloth 2 Pack [6FT, Black] Tight, Fitted, Washable and Wrinkle Resistant Stretch Rectangular Patio Table Cover for Event, Wedding, Banquet &amp; Parties [72Lx30Wx30H Inch]</t>
        </is>
      </c>
      <c r="AO391" t="inlineStr">
        <is>
          <t>10000</t>
        </is>
      </c>
      <c r="AP391" t="inlineStr">
        <is>
          <t>2000</t>
        </is>
      </c>
    </row>
    <row r="392">
      <c r="A392" t="inlineStr">
        <is>
          <t>B081TBPYGK</t>
        </is>
      </c>
      <c r="B392" t="inlineStr">
        <is>
          <t>False</t>
        </is>
      </c>
      <c r="C392" t="inlineStr">
        <is>
          <t>B081TBPYGK</t>
        </is>
      </c>
      <c r="D392" t="inlineStr">
        <is>
          <t>BioSchwartz</t>
        </is>
      </c>
      <c r="E392" t="inlineStr">
        <is>
          <t>False</t>
        </is>
      </c>
      <c r="F392" t="inlineStr">
        <is>
          <t>Elderberry Gummies with Zinc and Vitamin C for Adults &amp; Kids - Natural Immune Support - Black Sambucus Elderberries - Powerful Multiminerals Supplement - Gluten-Free, Non-GMO, Made in USA, 60 ct</t>
        </is>
      </c>
      <c r="G392">
        <v>1</v>
      </c>
      <c r="H392" s="2" t="str">
        <f>HYPERLINK("https://www.amazon.com/dp/B081TBPYGK", "https://www.amazon.com/dp/B081TBPYGK")</f>
      </c>
      <c r="I392" s="3">
        <v>1091</v>
      </c>
      <c r="J392" s="11">
        <v>1.51</v>
      </c>
      <c r="K392" s="5">
        <v>0.1261</v>
      </c>
      <c r="L392" s="15">
        <v>0.3179</v>
      </c>
      <c r="M392" t="inlineStr">
        <is>
          <t>True</t>
        </is>
      </c>
      <c r="N392" t="inlineStr">
        <is>
          <t>Health &amp; Household</t>
        </is>
      </c>
      <c r="O392" s="6">
        <v>21086</v>
      </c>
      <c r="P392" s="6">
        <v>3869</v>
      </c>
      <c r="Q392" s="6">
        <v>1891</v>
      </c>
      <c r="R392" s="6">
        <v>225</v>
      </c>
      <c r="S392" s="7">
        <v>4.75</v>
      </c>
      <c r="T392" s="7">
        <v>11.97</v>
      </c>
      <c r="U392">
        <v>11.88</v>
      </c>
      <c r="V392" s="8">
        <v>0</v>
      </c>
      <c r="W392" s="7">
        <v>0</v>
      </c>
      <c r="X392" s="7">
        <v>0</v>
      </c>
      <c r="Y392">
        <v>0.51</v>
      </c>
      <c r="Z392" s="8">
        <v>0</v>
      </c>
      <c r="AB392">
        <v>0</v>
      </c>
      <c r="AC392">
        <v>0</v>
      </c>
      <c r="AD392">
        <v>2</v>
      </c>
      <c r="AE392">
        <v>1</v>
      </c>
      <c r="AF392">
        <v>1</v>
      </c>
      <c r="AG392">
        <v>1</v>
      </c>
      <c r="AH392">
        <v>1</v>
      </c>
      <c r="AI392" t="inlineStr">
        <is>
          <t>False</t>
        </is>
      </c>
      <c r="AJ392" s="2" t="str">
        <f>HYPERLINK("https://keepa.com/#!product/1-B081TBPYGK", "https://keepa.com/#!product/1-B081TBPYGK")</f>
      </c>
      <c r="AK392" s="2" t="str">
        <f>HYPERLINK("https://camelcamelcamel.com/search?sq=B081TBPYGK", "https://camelcamelcamel.com/search?sq=B081TBPYGK")</f>
      </c>
      <c r="AL392" t="inlineStr">
        <is>
          <t/>
        </is>
      </c>
      <c r="AM392" s="10">
        <v>45417.11111111111</v>
      </c>
      <c r="AN392" t="inlineStr">
        <is>
          <t>Elderberry Gummies with Zinc and Vitamin C for Adults &amp; Kids - Natural Immune Support - Black Sambucus Elderberries - Powerful Multiminerals Supplement - Gluten-Free, Non-GMO, Made in USA, 60 ct</t>
        </is>
      </c>
      <c r="AO392" t="inlineStr">
        <is>
          <t>750</t>
        </is>
      </c>
      <c r="AP392" t="inlineStr">
        <is>
          <t>TAKE ALL</t>
        </is>
      </c>
    </row>
    <row r="393">
      <c r="A393" t="inlineStr">
        <is>
          <t>B081VWWGCZ</t>
        </is>
      </c>
      <c r="B393" t="inlineStr">
        <is>
          <t>False</t>
        </is>
      </c>
      <c r="C393" t="inlineStr">
        <is>
          <t>B081VWWGCZ</t>
        </is>
      </c>
      <c r="D393" t="inlineStr">
        <is>
          <t>Carlson</t>
        </is>
      </c>
      <c r="E393" t="inlineStr">
        <is>
          <t>False</t>
        </is>
      </c>
      <c r="F393" t="inlineStr">
        <is>
          <t>Carlson - Elite Omega-3 Gems, 1600 mg Omega-3 Fatty Acids Including EPA and DHA, Norwegian, Wild-Caught Fish Oil Supplement, Sustainably Sourced Omega 3 Fish Oil Capsules, Lemon, 130 Softgels</t>
        </is>
      </c>
      <c r="G393">
        <v>1</v>
      </c>
      <c r="H393" s="2" t="str">
        <f>HYPERLINK("https://www.amazon.com/dp/B081VWWGCZ", "https://www.amazon.com/dp/B081VWWGCZ")</f>
      </c>
      <c r="I393" s="3">
        <v>2752</v>
      </c>
      <c r="M393" t="inlineStr">
        <is>
          <t>True</t>
        </is>
      </c>
      <c r="N393" t="inlineStr">
        <is>
          <t>Health &amp; Household</t>
        </is>
      </c>
      <c r="O393" s="6">
        <v>9565</v>
      </c>
      <c r="P393" s="6">
        <v>2842</v>
      </c>
      <c r="Q393" s="6">
        <v>2021</v>
      </c>
      <c r="R393" s="6">
        <v>268</v>
      </c>
      <c r="S393" s="7">
        <v>22.75</v>
      </c>
      <c r="U393">
        <v>40.5</v>
      </c>
      <c r="X393" s="7">
        <v>0</v>
      </c>
      <c r="Y393">
        <v>0.62</v>
      </c>
      <c r="Z393" s="8">
        <v>0</v>
      </c>
      <c r="AB393">
        <v>0</v>
      </c>
      <c r="AC393">
        <v>0</v>
      </c>
      <c r="AD393">
        <v>0</v>
      </c>
      <c r="AE393">
        <v>0</v>
      </c>
      <c r="AF393">
        <v>0</v>
      </c>
      <c r="AG393">
        <v>0</v>
      </c>
      <c r="AH393">
        <v>4</v>
      </c>
      <c r="AI393" t="inlineStr">
        <is>
          <t>False</t>
        </is>
      </c>
      <c r="AJ393" s="2" t="str">
        <f>HYPERLINK("https://keepa.com/#!product/1-B081VWWGCZ", "https://keepa.com/#!product/1-B081VWWGCZ")</f>
      </c>
      <c r="AK393" s="2" t="str">
        <f>HYPERLINK("https://camelcamelcamel.com/search?sq=B081VWWGCZ", "https://camelcamelcamel.com/search?sq=B081VWWGCZ")</f>
      </c>
      <c r="AL393" t="inlineStr">
        <is>
          <t/>
        </is>
      </c>
      <c r="AM393" s="10">
        <v>45417.11111111111</v>
      </c>
      <c r="AN393" t="inlineStr">
        <is>
          <t>Carlson - Elite Omega-3 Gems, 1600 mg Omega-3 Fatty Acids Including EPA and DHA, Norwegian, Wild-Caught Fish Oil Supplement, Sustainably Sourced Omega 3 Fish Oil Capsules, Lemon, 130 Softgels</t>
        </is>
      </c>
      <c r="AO393" t="inlineStr">
        <is>
          <t>2500</t>
        </is>
      </c>
      <c r="AP393" t="inlineStr">
        <is>
          <t>500</t>
        </is>
      </c>
    </row>
    <row r="394">
      <c r="A394" t="inlineStr">
        <is>
          <t>B082DL28WT</t>
        </is>
      </c>
      <c r="B394" t="inlineStr">
        <is>
          <t>False</t>
        </is>
      </c>
      <c r="C394" t="inlineStr">
        <is>
          <t>B082DL28WT</t>
        </is>
      </c>
      <c r="D394" t="inlineStr">
        <is>
          <t>Zest</t>
        </is>
      </c>
      <c r="E394" t="inlineStr">
        <is>
          <t>False</t>
        </is>
      </c>
      <c r="F394" t="inlineStr">
        <is>
          <t>Zest Aqua Pure Cleansing Bar Soap 20% More Moisture 8 Count Pack of 2</t>
        </is>
      </c>
      <c r="G394">
        <v>1</v>
      </c>
      <c r="H394" s="2" t="str">
        <f>HYPERLINK("https://www.amazon.com/dp/B082DL28WT", "https://www.amazon.com/dp/B082DL28WT")</f>
      </c>
      <c r="I394" s="3">
        <v>615</v>
      </c>
      <c r="J394" s="11">
        <v>2.45</v>
      </c>
      <c r="K394" s="5">
        <v>0.1297</v>
      </c>
      <c r="L394" s="15">
        <v>0.3161</v>
      </c>
      <c r="M394" t="inlineStr">
        <is>
          <t>True</t>
        </is>
      </c>
      <c r="N394" t="inlineStr">
        <is>
          <t>Beauty &amp; Personal Care</t>
        </is>
      </c>
      <c r="O394" s="6">
        <v>26315</v>
      </c>
      <c r="P394" s="6">
        <v>22275</v>
      </c>
      <c r="Q394" s="6">
        <v>13776</v>
      </c>
      <c r="R394" s="6">
        <v>176</v>
      </c>
      <c r="S394" s="7">
        <v>7.75</v>
      </c>
      <c r="T394" s="7">
        <v>18.89</v>
      </c>
      <c r="U394">
        <v>20.46</v>
      </c>
      <c r="V394" s="8">
        <v>0</v>
      </c>
      <c r="W394" s="7">
        <v>0</v>
      </c>
      <c r="X394" s="7">
        <v>0</v>
      </c>
      <c r="Y394">
        <v>1.96</v>
      </c>
      <c r="Z394" s="8">
        <v>0</v>
      </c>
      <c r="AB394">
        <v>0</v>
      </c>
      <c r="AC394">
        <v>0</v>
      </c>
      <c r="AD394">
        <v>36</v>
      </c>
      <c r="AE394">
        <v>15</v>
      </c>
      <c r="AF394">
        <v>21</v>
      </c>
      <c r="AG394">
        <v>6</v>
      </c>
      <c r="AH394">
        <v>0</v>
      </c>
      <c r="AI394" t="inlineStr">
        <is>
          <t>False</t>
        </is>
      </c>
      <c r="AJ394" s="2" t="str">
        <f>HYPERLINK("https://keepa.com/#!product/1-B082DL28WT", "https://keepa.com/#!product/1-B082DL28WT")</f>
      </c>
      <c r="AK394" s="2" t="str">
        <f>HYPERLINK("https://camelcamelcamel.com/search?sq=B082DL28WT", "https://camelcamelcamel.com/search?sq=B082DL28WT")</f>
      </c>
      <c r="AL394" t="inlineStr">
        <is>
          <t/>
        </is>
      </c>
      <c r="AM394" s="10">
        <v>45417.11111111111</v>
      </c>
      <c r="AN394" t="inlineStr">
        <is>
          <t>Zest Aqua Pure Cleansing Bar Soap 20% More Moisture 8 Count Pack of 2</t>
        </is>
      </c>
      <c r="AO394" t="inlineStr">
        <is>
          <t>450</t>
        </is>
      </c>
      <c r="AP394" t="inlineStr">
        <is>
          <t>TAKE ALL</t>
        </is>
      </c>
    </row>
    <row r="395">
      <c r="A395" t="inlineStr">
        <is>
          <t>B082FP852Q</t>
        </is>
      </c>
      <c r="B395" t="inlineStr">
        <is>
          <t>False</t>
        </is>
      </c>
      <c r="C395" t="inlineStr">
        <is>
          <t>B082FP852Q</t>
        </is>
      </c>
      <c r="D395" t="inlineStr">
        <is>
          <t>REDCON1</t>
        </is>
      </c>
      <c r="E395" t="inlineStr">
        <is>
          <t>False</t>
        </is>
      </c>
      <c r="F395" t="inlineStr">
        <is>
          <t>REDCON1 MRE Protein Bar, Peanut Butter Jelly - Contains MCT Oil + 20g of Whole Food Protein - Easily Digestible, Macro Balanced Low Sugar Meal Replacement Bar (12 Bars)</t>
        </is>
      </c>
      <c r="G395">
        <v>1</v>
      </c>
      <c r="H395" s="2" t="str">
        <f>HYPERLINK("https://www.amazon.com/dp/B082FP852Q", "https://www.amazon.com/dp/B082FP852Q")</f>
      </c>
      <c r="I395" s="3">
        <v>2490</v>
      </c>
      <c r="J395" s="11">
        <v>3.36</v>
      </c>
      <c r="K395" s="5">
        <v>0.12</v>
      </c>
      <c r="L395" s="5">
        <v>0.23170000000000002</v>
      </c>
      <c r="M395" t="inlineStr">
        <is>
          <t>True</t>
        </is>
      </c>
      <c r="N395" t="inlineStr">
        <is>
          <t>Health &amp; Household</t>
        </is>
      </c>
      <c r="O395" s="6">
        <v>10480</v>
      </c>
      <c r="P395" s="6">
        <v>16626</v>
      </c>
      <c r="Q395" s="6">
        <v>8374</v>
      </c>
      <c r="R395" s="6">
        <v>165</v>
      </c>
      <c r="S395" s="7">
        <v>14.5</v>
      </c>
      <c r="T395" s="7">
        <v>27.99</v>
      </c>
      <c r="U395">
        <v>30.97</v>
      </c>
      <c r="V395" s="8">
        <v>0</v>
      </c>
      <c r="W395" s="7">
        <v>0</v>
      </c>
      <c r="X395" s="7">
        <v>0</v>
      </c>
      <c r="Y395">
        <v>2.01</v>
      </c>
      <c r="Z395" s="8">
        <v>0</v>
      </c>
      <c r="AB395">
        <v>0</v>
      </c>
      <c r="AC395">
        <v>0</v>
      </c>
      <c r="AD395">
        <v>4</v>
      </c>
      <c r="AE395">
        <v>4</v>
      </c>
      <c r="AF395">
        <v>0</v>
      </c>
      <c r="AG395">
        <v>2</v>
      </c>
      <c r="AH395">
        <v>15</v>
      </c>
      <c r="AI395" t="inlineStr">
        <is>
          <t>False</t>
        </is>
      </c>
      <c r="AJ395" s="2" t="str">
        <f>HYPERLINK("https://keepa.com/#!product/1-B082FP852Q", "https://keepa.com/#!product/1-B082FP852Q")</f>
      </c>
      <c r="AK395" s="2" t="str">
        <f>HYPERLINK("https://camelcamelcamel.com/search?sq=B082FP852Q", "https://camelcamelcamel.com/search?sq=B082FP852Q")</f>
      </c>
      <c r="AL395" t="inlineStr">
        <is>
          <t/>
        </is>
      </c>
      <c r="AM395" s="10">
        <v>45417.11111111111</v>
      </c>
      <c r="AN395" t="inlineStr">
        <is>
          <t>REDCON1 MRE Protein Bar, Peanut Butter Jelly - Contains MCT Oil + 20g of Whole Food Protein - Easily Digestible, Macro Balanced Low Sugar Meal Replacement Bar (12 Bars)</t>
        </is>
      </c>
      <c r="AO395" t="inlineStr">
        <is>
          <t>1000</t>
        </is>
      </c>
      <c r="AP395" t="inlineStr">
        <is>
          <t>TAKE ALL</t>
        </is>
      </c>
    </row>
    <row r="396">
      <c r="A396" t="inlineStr">
        <is>
          <t>B082TTFF87</t>
        </is>
      </c>
      <c r="B396" t="inlineStr">
        <is>
          <t>False</t>
        </is>
      </c>
      <c r="C396" t="inlineStr">
        <is>
          <t>B082TTFF87</t>
        </is>
      </c>
      <c r="D396" t="inlineStr">
        <is>
          <t>KOS</t>
        </is>
      </c>
      <c r="E396" t="inlineStr">
        <is>
          <t>False</t>
        </is>
      </c>
      <c r="F396" t="inlineStr">
        <is>
          <t>KOS Organic Plant Based Protein Powder, Chocolate Peanut Butter - Delicious Vegan Protein Powder - Keto Friendly, Gluten Free, Dairy Free &amp; Soy Free - 1.3 Pounds, 15 Servings</t>
        </is>
      </c>
      <c r="G396">
        <v>1</v>
      </c>
      <c r="H396" s="2" t="str">
        <f>HYPERLINK("https://www.amazon.com/dp/B082TTFF87", "https://www.amazon.com/dp/B082TTFF87")</f>
      </c>
      <c r="I396" s="3">
        <v>16721</v>
      </c>
      <c r="J396" s="11">
        <v>1.81</v>
      </c>
      <c r="K396" s="5">
        <v>0.058499999999999996</v>
      </c>
      <c r="L396" s="5">
        <v>0.0978</v>
      </c>
      <c r="M396" t="inlineStr">
        <is>
          <t>True</t>
        </is>
      </c>
      <c r="N396" t="inlineStr">
        <is>
          <t>Health &amp; Household</t>
        </is>
      </c>
      <c r="O396" s="6">
        <v>1195</v>
      </c>
      <c r="P396" s="6">
        <v>1500</v>
      </c>
      <c r="Q396" s="6">
        <v>378</v>
      </c>
      <c r="R396" s="6">
        <v>285</v>
      </c>
      <c r="S396" s="7">
        <v>18.5</v>
      </c>
      <c r="T396" s="7">
        <v>30.92</v>
      </c>
      <c r="U396">
        <v>34.08</v>
      </c>
      <c r="V396" s="8">
        <v>0</v>
      </c>
      <c r="W396" s="7">
        <v>0</v>
      </c>
      <c r="X396" s="7">
        <v>0</v>
      </c>
      <c r="Y396">
        <v>2.03</v>
      </c>
      <c r="Z396" s="9">
        <v>0.1</v>
      </c>
      <c r="AB396">
        <v>0</v>
      </c>
      <c r="AC396">
        <v>0</v>
      </c>
      <c r="AD396">
        <v>16</v>
      </c>
      <c r="AE396">
        <v>7</v>
      </c>
      <c r="AF396">
        <v>9</v>
      </c>
      <c r="AG396">
        <v>5</v>
      </c>
      <c r="AH396">
        <v>16</v>
      </c>
      <c r="AI396" t="inlineStr">
        <is>
          <t>False</t>
        </is>
      </c>
      <c r="AJ396" s="2" t="str">
        <f>HYPERLINK("https://keepa.com/#!product/1-B082TTFF87", "https://keepa.com/#!product/1-B082TTFF87")</f>
      </c>
      <c r="AK396" s="2" t="str">
        <f>HYPERLINK("https://camelcamelcamel.com/search?sq=B082TTFF87", "https://camelcamelcamel.com/search?sq=B082TTFF87")</f>
      </c>
      <c r="AL396" t="inlineStr">
        <is>
          <t/>
        </is>
      </c>
      <c r="AM396" s="10">
        <v>45417.11111111111</v>
      </c>
      <c r="AN396" t="inlineStr">
        <is>
          <t>KOS HOT OFFER</t>
        </is>
      </c>
      <c r="AO396" t="inlineStr">
        <is>
          <t>1600</t>
        </is>
      </c>
      <c r="AP396" t="inlineStr">
        <is>
          <t>800</t>
        </is>
      </c>
    </row>
    <row r="397">
      <c r="A397" t="inlineStr">
        <is>
          <t>B082XKSGDS</t>
        </is>
      </c>
      <c r="B397" t="inlineStr">
        <is>
          <t>False</t>
        </is>
      </c>
      <c r="C397" t="inlineStr">
        <is>
          <t>B082XKSGDS</t>
        </is>
      </c>
      <c r="D397" t="inlineStr">
        <is>
          <t>VitaCup</t>
        </is>
      </c>
      <c r="E397" t="inlineStr">
        <is>
          <t>False</t>
        </is>
      </c>
      <c r="F397" t="inlineStr">
        <is>
          <t>VitaCup Slim Instant Coffee Packets, with Garcinia, Fiber, B Vitamins, Bold &amp; Smooth, Medium Dark Roast, 100% Arabica Coffee in Single Serve Sticks, 24 Ct</t>
        </is>
      </c>
      <c r="G397">
        <v>1</v>
      </c>
      <c r="H397" s="2" t="str">
        <f>HYPERLINK("https://www.amazon.com/dp/B082XKSGDS", "https://www.amazon.com/dp/B082XKSGDS")</f>
      </c>
      <c r="I397" s="3">
        <v>5155</v>
      </c>
      <c r="J397" s="4">
        <v>7.55</v>
      </c>
      <c r="K397" s="5">
        <v>0.2291</v>
      </c>
      <c r="L397" s="15">
        <v>0.5033</v>
      </c>
      <c r="M397" t="inlineStr">
        <is>
          <t>True</t>
        </is>
      </c>
      <c r="N397" t="inlineStr">
        <is>
          <t>Grocery &amp; Gourmet Food</t>
        </is>
      </c>
      <c r="O397" s="6">
        <v>1010</v>
      </c>
      <c r="P397" s="6">
        <v>1157</v>
      </c>
      <c r="Q397" s="6">
        <v>736</v>
      </c>
      <c r="R397" s="6">
        <v>280</v>
      </c>
      <c r="S397" s="7">
        <v>15</v>
      </c>
      <c r="T397" s="7">
        <v>32.95</v>
      </c>
      <c r="U397">
        <v>32.95</v>
      </c>
      <c r="V397" s="8">
        <v>0</v>
      </c>
      <c r="W397" s="7">
        <v>0</v>
      </c>
      <c r="X397" s="7">
        <v>0</v>
      </c>
      <c r="Y397">
        <v>0.26</v>
      </c>
      <c r="Z397" s="8">
        <v>0</v>
      </c>
      <c r="AB397">
        <v>0</v>
      </c>
      <c r="AC397">
        <v>0</v>
      </c>
      <c r="AD397">
        <v>1</v>
      </c>
      <c r="AE397">
        <v>1</v>
      </c>
      <c r="AF397">
        <v>0</v>
      </c>
      <c r="AG397">
        <v>1</v>
      </c>
      <c r="AH397">
        <v>20</v>
      </c>
      <c r="AI397" t="inlineStr">
        <is>
          <t>False</t>
        </is>
      </c>
      <c r="AJ397" s="2" t="str">
        <f>HYPERLINK("https://keepa.com/#!product/1-B082XKSGDS", "https://keepa.com/#!product/1-B082XKSGDS")</f>
      </c>
      <c r="AK397" s="2" t="str">
        <f>HYPERLINK("https://camelcamelcamel.com/search?sq=B082XKSGDS", "https://camelcamelcamel.com/search?sq=B082XKSGDS")</f>
      </c>
      <c r="AL397" t="inlineStr">
        <is>
          <t/>
        </is>
      </c>
      <c r="AM397" s="10">
        <v>45417.11111111111</v>
      </c>
      <c r="AN397" t="inlineStr">
        <is>
          <t>VitaCup Slim Instant Coffee Packets, with Garcinia, Fiber, B Vitamins, Bold &amp; Smooth, Medium Dark Roast, 100% Arabica Coffee in Single Serve Sticks, 24 Ct</t>
        </is>
      </c>
      <c r="AO397" t="inlineStr">
        <is>
          <t>1000</t>
        </is>
      </c>
      <c r="AP397" t="inlineStr">
        <is>
          <t>250</t>
        </is>
      </c>
    </row>
    <row r="398">
      <c r="A398" t="inlineStr">
        <is>
          <t>B083C2PF78</t>
        </is>
      </c>
      <c r="B398" t="inlineStr">
        <is>
          <t>False</t>
        </is>
      </c>
      <c r="C398" t="inlineStr">
        <is>
          <t>B083C2PF78</t>
        </is>
      </c>
      <c r="D398" t="inlineStr">
        <is>
          <t>Neutrogena</t>
        </is>
      </c>
      <c r="E398" t="inlineStr">
        <is>
          <t>False</t>
        </is>
      </c>
      <c r="F398" t="inlineStr">
        <is>
          <t>Neutrogena Deep Moisture Body Lotion for Dry Skin, Norwegian Formula, 24 Hour Moisture, 13.5 Ounce (Pack of 3)</t>
        </is>
      </c>
      <c r="G398">
        <v>3</v>
      </c>
      <c r="H398" s="2" t="str">
        <f>HYPERLINK("https://www.amazon.com/dp/B083C2PF78", "https://www.amazon.com/dp/B083C2PF78")</f>
      </c>
      <c r="I398" s="3">
        <v>312</v>
      </c>
      <c r="J398" s="12">
        <v>-24.52</v>
      </c>
      <c r="K398" s="13">
        <v>-1.1437</v>
      </c>
      <c r="L398" s="13">
        <v>-0.6811</v>
      </c>
      <c r="M398" t="inlineStr">
        <is>
          <t>True</t>
        </is>
      </c>
      <c r="N398" t="inlineStr">
        <is>
          <t>Beauty &amp; Personal Care</t>
        </is>
      </c>
      <c r="O398" s="6">
        <v>44032</v>
      </c>
      <c r="P398" s="6">
        <v>32586</v>
      </c>
      <c r="Q398" s="6">
        <v>13724</v>
      </c>
      <c r="R398" s="6">
        <v>189</v>
      </c>
      <c r="S398" s="7">
        <v>12</v>
      </c>
      <c r="T398" s="7">
        <v>21.44</v>
      </c>
      <c r="U398">
        <v>25.64</v>
      </c>
      <c r="V398" s="8">
        <v>0</v>
      </c>
      <c r="W398" s="7">
        <v>0</v>
      </c>
      <c r="X398" s="7">
        <v>0</v>
      </c>
      <c r="Y398">
        <v>3</v>
      </c>
      <c r="Z398" s="8">
        <v>0</v>
      </c>
      <c r="AB398">
        <v>0</v>
      </c>
      <c r="AC398">
        <v>0</v>
      </c>
      <c r="AD398">
        <v>9</v>
      </c>
      <c r="AE398">
        <v>8</v>
      </c>
      <c r="AF398">
        <v>1</v>
      </c>
      <c r="AG398">
        <v>1</v>
      </c>
      <c r="AH398">
        <v>2</v>
      </c>
      <c r="AI398" t="inlineStr">
        <is>
          <t>False</t>
        </is>
      </c>
      <c r="AJ398" s="2" t="str">
        <f>HYPERLINK("https://keepa.com/#!product/1-B083C2PF78", "https://keepa.com/#!product/1-B083C2PF78")</f>
      </c>
      <c r="AK398" s="2" t="str">
        <f>HYPERLINK("https://camelcamelcamel.com/search?sq=B083C2PF78", "https://camelcamelcamel.com/search?sq=B083C2PF78")</f>
      </c>
      <c r="AL398" t="inlineStr">
        <is>
          <t/>
        </is>
      </c>
      <c r="AM398" s="10">
        <v>45417.11111111111</v>
      </c>
      <c r="AN398" t="inlineStr">
        <is>
          <t>Neutrogena Deep Moisture Body Lotion for Dry Skin, Norwegian Formula, 24 Hour Moisture, 13.5 Ounce (Pack of 3)</t>
        </is>
      </c>
      <c r="AO398" t="inlineStr">
        <is>
          <t>500</t>
        </is>
      </c>
      <c r="AP398" t="inlineStr">
        <is>
          <t>TAKE ALL</t>
        </is>
      </c>
    </row>
    <row r="399">
      <c r="A399" t="inlineStr">
        <is>
          <t>B083X2S4KS</t>
        </is>
      </c>
      <c r="B399" t="inlineStr">
        <is>
          <t>False</t>
        </is>
      </c>
      <c r="C399" t="inlineStr">
        <is>
          <t>B083X2S4KS</t>
        </is>
      </c>
      <c r="D399" t="inlineStr">
        <is>
          <t>Natural Balance</t>
        </is>
      </c>
      <c r="E399" t="inlineStr">
        <is>
          <t>False</t>
        </is>
      </c>
      <c r="F399" t="inlineStr">
        <is>
          <t>Natural Balance Limited Ingredient Puppy Dry Dog Food with Healthy Grains, Chicken &amp; Brown Rice Recipe, 24 Pound (Pack of 1)</t>
        </is>
      </c>
      <c r="G399">
        <v>1</v>
      </c>
      <c r="H399" s="2" t="str">
        <f>HYPERLINK("https://www.amazon.com/dp/B083X2S4KS", "https://www.amazon.com/dp/B083X2S4KS")</f>
      </c>
      <c r="I399" s="3">
        <v>1452</v>
      </c>
      <c r="J399" s="12">
        <v>-18.74</v>
      </c>
      <c r="K399" s="13">
        <v>-0.5682</v>
      </c>
      <c r="L399" s="13">
        <v>-0.6815000000000001</v>
      </c>
      <c r="M399" t="inlineStr">
        <is>
          <t>True</t>
        </is>
      </c>
      <c r="N399" t="inlineStr">
        <is>
          <t>Pet Supplies</t>
        </is>
      </c>
      <c r="O399" s="6">
        <v>5699</v>
      </c>
      <c r="P399" s="6">
        <v>5706</v>
      </c>
      <c r="Q399" s="6">
        <v>4504</v>
      </c>
      <c r="R399" s="6">
        <v>192</v>
      </c>
      <c r="S399" s="7">
        <v>27.5</v>
      </c>
      <c r="T399" s="7">
        <v>32.98</v>
      </c>
      <c r="U399">
        <v>49.1</v>
      </c>
      <c r="V399" s="8">
        <v>0</v>
      </c>
      <c r="W399" s="7">
        <v>0</v>
      </c>
      <c r="X399" s="7">
        <v>0</v>
      </c>
      <c r="Y399">
        <v>24.65</v>
      </c>
      <c r="Z399" s="9">
        <v>0.75</v>
      </c>
      <c r="AB399">
        <v>0</v>
      </c>
      <c r="AC399">
        <v>0</v>
      </c>
      <c r="AD399">
        <v>13</v>
      </c>
      <c r="AE399">
        <v>4</v>
      </c>
      <c r="AF399">
        <v>9</v>
      </c>
      <c r="AG399">
        <v>1</v>
      </c>
      <c r="AH399">
        <v>8</v>
      </c>
      <c r="AI399" t="inlineStr">
        <is>
          <t>False</t>
        </is>
      </c>
      <c r="AJ399" s="2" t="str">
        <f>HYPERLINK("https://keepa.com/#!product/1-B083X2S4KS", "https://keepa.com/#!product/1-B083X2S4KS")</f>
      </c>
      <c r="AK399" s="2" t="str">
        <f>HYPERLINK("https://camelcamelcamel.com/search?sq=B083X2S4KS", "https://camelcamelcamel.com/search?sq=B083X2S4KS")</f>
      </c>
      <c r="AL399" t="inlineStr">
        <is>
          <t/>
        </is>
      </c>
      <c r="AM399" s="10">
        <v>45417.11111111111</v>
      </c>
      <c r="AN399" t="inlineStr">
        <is>
          <t>Natural Balance Limited Ingredient Puppy Dry Dog Food with Healthy Grains, Chicken &amp; Brown Rice Recipe, 24 Pound (Pack of 1)</t>
        </is>
      </c>
      <c r="AO399" t="inlineStr">
        <is>
          <t>194</t>
        </is>
      </c>
      <c r="AP399" t="inlineStr">
        <is>
          <t>TAKE ALL</t>
        </is>
      </c>
    </row>
    <row r="400">
      <c r="A400" t="inlineStr">
        <is>
          <t>B0842RSW4R</t>
        </is>
      </c>
      <c r="B400" t="inlineStr">
        <is>
          <t>False</t>
        </is>
      </c>
      <c r="C400" t="inlineStr">
        <is>
          <t>B0842RSW4R</t>
        </is>
      </c>
      <c r="D400" t="inlineStr">
        <is>
          <t>DASH</t>
        </is>
      </c>
      <c r="E400" t="inlineStr">
        <is>
          <t>False</t>
        </is>
      </c>
      <c r="F400" t="inlineStr">
        <is>
          <t>DASH Deluxe Sous Vide Style Egg Bite Maker with Silicone Molds for Breakfast Sandwiches, Healthy Snacks or Desserts, Keto &amp; Paleo Friendly, (1 large, 4 mini) - Red</t>
        </is>
      </c>
      <c r="G400">
        <v>1</v>
      </c>
      <c r="H400" s="2" t="str">
        <f>HYPERLINK("https://www.amazon.com/dp/B0842RSW4R", "https://www.amazon.com/dp/B0842RSW4R")</f>
      </c>
      <c r="I400" s="14">
        <v>5</v>
      </c>
      <c r="J400" s="4">
        <v>4.61</v>
      </c>
      <c r="K400" s="5">
        <v>0.15789999999999998</v>
      </c>
      <c r="L400" s="15">
        <v>0.3293</v>
      </c>
      <c r="M400" t="inlineStr">
        <is>
          <t>True</t>
        </is>
      </c>
      <c r="N400" t="inlineStr">
        <is>
          <t>Kitchen</t>
        </is>
      </c>
      <c r="P400" s="6">
        <v>3539</v>
      </c>
      <c r="Q400" s="6">
        <v>846</v>
      </c>
      <c r="R400" s="6">
        <v>109</v>
      </c>
      <c r="S400" s="7">
        <v>14</v>
      </c>
      <c r="T400" s="7">
        <v>29.19</v>
      </c>
      <c r="U400">
        <v>27.4</v>
      </c>
      <c r="V400" s="8">
        <v>0</v>
      </c>
      <c r="W400" s="7">
        <v>0</v>
      </c>
      <c r="X400" s="7">
        <v>0</v>
      </c>
      <c r="Y400">
        <v>2.29</v>
      </c>
      <c r="Z400" s="9">
        <v>1</v>
      </c>
      <c r="AB400">
        <v>0</v>
      </c>
      <c r="AC400">
        <v>0</v>
      </c>
      <c r="AD400">
        <v>10</v>
      </c>
      <c r="AE400">
        <v>3</v>
      </c>
      <c r="AF400">
        <v>2</v>
      </c>
      <c r="AG400">
        <v>3</v>
      </c>
      <c r="AH400">
        <v>6</v>
      </c>
      <c r="AI400" t="inlineStr">
        <is>
          <t>False</t>
        </is>
      </c>
      <c r="AJ400" s="2" t="str">
        <f>HYPERLINK("https://keepa.com/#!product/1-B0842RSW4R", "https://keepa.com/#!product/1-B0842RSW4R")</f>
      </c>
      <c r="AK400" s="2" t="str">
        <f>HYPERLINK("https://camelcamelcamel.com/search?sq=B0842RSW4R", "https://camelcamelcamel.com/search?sq=B0842RSW4R")</f>
      </c>
      <c r="AL400" t="inlineStr">
        <is>
          <t/>
        </is>
      </c>
      <c r="AM400" s="10">
        <v>45417.11111111111</v>
      </c>
      <c r="AN400" t="inlineStr">
        <is>
          <t>DASH Deluxe Sous Vide Style Egg Bite Maker with Silicone Molds for Breakfast Sandwiches, Healthy Snacks or Desserts, Keto &amp; Paleo Friendly, (1 large, 4 mini) - Red</t>
        </is>
      </c>
      <c r="AO400" t="inlineStr">
        <is>
          <t>200</t>
        </is>
      </c>
      <c r="AP400" t="inlineStr">
        <is>
          <t>TAKE ALL</t>
        </is>
      </c>
    </row>
    <row r="401">
      <c r="A401" t="inlineStr">
        <is>
          <t>B0846LMF24</t>
        </is>
      </c>
      <c r="B401" t="inlineStr">
        <is>
          <t>False</t>
        </is>
      </c>
      <c r="C401" t="inlineStr">
        <is>
          <t>B0846LMF24</t>
        </is>
      </c>
      <c r="D401" t="inlineStr">
        <is>
          <t>Nature Made</t>
        </is>
      </c>
      <c r="E401" t="inlineStr">
        <is>
          <t>True</t>
        </is>
      </c>
      <c r="F401" t="inlineStr">
        <is>
          <t>Nature Made Organic Flaxseed Oil 1400 mg Omega-3 700 mg 300 Softgels</t>
        </is>
      </c>
      <c r="G401">
        <v>298</v>
      </c>
      <c r="H401" s="2" t="str">
        <f>HYPERLINK("https://www.amazon.com/dp/B0846LMF24", "https://www.amazon.com/dp/B0846LMF24")</f>
      </c>
      <c r="I401" s="3">
        <v>172</v>
      </c>
      <c r="J401" s="12">
        <v>-4155.61</v>
      </c>
      <c r="K401" s="13">
        <v>-160.88309999999998</v>
      </c>
      <c r="L401" s="13">
        <v>-0.9961</v>
      </c>
      <c r="M401" t="inlineStr">
        <is>
          <t>True</t>
        </is>
      </c>
      <c r="N401" t="inlineStr">
        <is>
          <t>Health &amp; Household</t>
        </is>
      </c>
      <c r="O401" s="6">
        <v>74492</v>
      </c>
      <c r="P401" s="6">
        <v>41262</v>
      </c>
      <c r="Q401" s="6">
        <v>15236</v>
      </c>
      <c r="R401" s="6">
        <v>159</v>
      </c>
      <c r="S401" s="7">
        <v>14</v>
      </c>
      <c r="T401" s="7">
        <v>25.83</v>
      </c>
      <c r="U401">
        <v>24.98</v>
      </c>
      <c r="V401" s="8">
        <v>0</v>
      </c>
      <c r="W401" s="7">
        <v>0</v>
      </c>
      <c r="X401" s="7">
        <v>0</v>
      </c>
      <c r="Y401">
        <v>1.52</v>
      </c>
      <c r="Z401" s="8">
        <v>0</v>
      </c>
      <c r="AB401">
        <v>0</v>
      </c>
      <c r="AC401">
        <v>0</v>
      </c>
      <c r="AD401">
        <v>38</v>
      </c>
      <c r="AE401">
        <v>8</v>
      </c>
      <c r="AF401">
        <v>30</v>
      </c>
      <c r="AG401">
        <v>0</v>
      </c>
      <c r="AH401">
        <v>1</v>
      </c>
      <c r="AI401" t="inlineStr">
        <is>
          <t>False</t>
        </is>
      </c>
      <c r="AJ401" s="2" t="str">
        <f>HYPERLINK("https://keepa.com/#!product/1-B0846LMF24", "https://keepa.com/#!product/1-B0846LMF24")</f>
      </c>
      <c r="AK401" s="2" t="str">
        <f>HYPERLINK("https://camelcamelcamel.com/search?sq=B0846LMF24", "https://camelcamelcamel.com/search?sq=B0846LMF24")</f>
      </c>
      <c r="AL401" t="inlineStr">
        <is>
          <t/>
        </is>
      </c>
      <c r="AM401" s="10">
        <v>45417.11111111111</v>
      </c>
      <c r="AN401" t="inlineStr">
        <is>
          <t>Nature Made Organic Flaxseed Oil 1400 mg Omega-3 700 mg 300 Softgels</t>
        </is>
      </c>
      <c r="AO401" t="inlineStr">
        <is>
          <t>200</t>
        </is>
      </c>
      <c r="AP401" t="inlineStr">
        <is>
          <t>TAKE ALL</t>
        </is>
      </c>
    </row>
    <row r="402">
      <c r="A402" t="inlineStr">
        <is>
          <t>B084BQGXZS</t>
        </is>
      </c>
      <c r="B402" t="inlineStr">
        <is>
          <t>False</t>
        </is>
      </c>
      <c r="C402" t="inlineStr">
        <is>
          <t>B084BQGXZS</t>
        </is>
      </c>
      <c r="D402" t="inlineStr">
        <is>
          <t>GOOD TO GO</t>
        </is>
      </c>
      <c r="E402" t="inlineStr">
        <is>
          <t>False</t>
        </is>
      </c>
      <c r="F402" t="inlineStr">
        <is>
          <t>GOOD TO GO Soft Baked Bars - Strawberry Macadamia Nut, 9 Pack - gluten-free, Keto Certified, Paleo Friendly, Low Carb Snacks</t>
        </is>
      </c>
      <c r="G402">
        <v>1</v>
      </c>
      <c r="H402" s="2" t="str">
        <f>HYPERLINK("https://www.amazon.com/dp/B084BQGXZS", "https://www.amazon.com/dp/B084BQGXZS")</f>
      </c>
      <c r="I402" s="3">
        <v>880</v>
      </c>
      <c r="J402" s="12">
        <v>-0.17</v>
      </c>
      <c r="K402" s="13">
        <v>-0.0132</v>
      </c>
      <c r="L402" s="13">
        <v>-0.0227</v>
      </c>
      <c r="M402" t="inlineStr">
        <is>
          <t>True</t>
        </is>
      </c>
      <c r="N402" t="inlineStr">
        <is>
          <t>Grocery &amp; Gourmet Food</t>
        </is>
      </c>
      <c r="O402" s="6">
        <v>9913</v>
      </c>
      <c r="P402" s="6">
        <v>5078</v>
      </c>
      <c r="Q402" s="6">
        <v>3485</v>
      </c>
      <c r="R402" s="6">
        <v>195</v>
      </c>
      <c r="S402" s="7">
        <v>7.5</v>
      </c>
      <c r="T402" s="7">
        <v>12.88</v>
      </c>
      <c r="U402">
        <v>14.43</v>
      </c>
      <c r="V402" s="8">
        <v>0</v>
      </c>
      <c r="W402" s="7">
        <v>0</v>
      </c>
      <c r="X402" s="7">
        <v>0</v>
      </c>
      <c r="Y402">
        <v>0.93</v>
      </c>
      <c r="Z402" s="8">
        <v>0</v>
      </c>
      <c r="AB402">
        <v>0</v>
      </c>
      <c r="AC402">
        <v>0</v>
      </c>
      <c r="AD402">
        <v>1</v>
      </c>
      <c r="AE402">
        <v>1</v>
      </c>
      <c r="AF402">
        <v>0</v>
      </c>
      <c r="AG402">
        <v>1</v>
      </c>
      <c r="AH402">
        <v>3</v>
      </c>
      <c r="AI402" t="inlineStr">
        <is>
          <t>False</t>
        </is>
      </c>
      <c r="AJ402" s="2" t="str">
        <f>HYPERLINK("https://keepa.com/#!product/1-B084BQGXZS", "https://keepa.com/#!product/1-B084BQGXZS")</f>
      </c>
      <c r="AK402" s="2" t="str">
        <f>HYPERLINK("https://camelcamelcamel.com/search?sq=B084BQGXZS", "https://camelcamelcamel.com/search?sq=B084BQGXZS")</f>
      </c>
      <c r="AL402" t="inlineStr">
        <is>
          <t/>
        </is>
      </c>
      <c r="AM402" s="10">
        <v>45417.11111111111</v>
      </c>
      <c r="AN402" t="inlineStr">
        <is>
          <t>GOOD TO GO Soft Baked Bars - Strawberry Macadamia Nut, 9 Pack - gluten-free, Keto Certified, Paleo Friendly, Low Carb Snacks</t>
        </is>
      </c>
      <c r="AO402" t="inlineStr">
        <is>
          <t>1000</t>
        </is>
      </c>
      <c r="AP402" t="inlineStr">
        <is>
          <t>TAKE ALL</t>
        </is>
      </c>
    </row>
    <row r="403">
      <c r="A403" t="inlineStr">
        <is>
          <t>B084BRJ14T</t>
        </is>
      </c>
      <c r="B403" t="inlineStr">
        <is>
          <t>False</t>
        </is>
      </c>
      <c r="C403" t="inlineStr">
        <is>
          <t>B084BRJ14T</t>
        </is>
      </c>
      <c r="D403" t="inlineStr">
        <is>
          <t>OUAI</t>
        </is>
      </c>
      <c r="E403" t="inlineStr">
        <is>
          <t>False</t>
        </is>
      </c>
      <c r="F403" t="inlineStr">
        <is>
          <t>OUAI Thick Hair Conditioner - Moisturizing Conditioner for Dry, Frizzy Hair - Keratin, Marshmallow Root, Shea Butter and Avocado Oil - Paraben, Phthalate and Sulfate Free Hair Care - 10 oz</t>
        </is>
      </c>
      <c r="G403">
        <v>1</v>
      </c>
      <c r="H403" s="2" t="str">
        <f>HYPERLINK("https://www.amazon.com/dp/B084BRJ14T", "https://www.amazon.com/dp/B084BRJ14T")</f>
      </c>
      <c r="I403" s="3">
        <v>6745</v>
      </c>
      <c r="J403" s="4">
        <v>6.53</v>
      </c>
      <c r="K403" s="5">
        <v>0.2041</v>
      </c>
      <c r="L403" s="15">
        <v>0.3958</v>
      </c>
      <c r="M403" t="inlineStr">
        <is>
          <t>True</t>
        </is>
      </c>
      <c r="N403" t="inlineStr">
        <is>
          <t>Beauty &amp; Personal Care</t>
        </is>
      </c>
      <c r="O403" s="6">
        <v>2475</v>
      </c>
      <c r="P403" s="6">
        <v>2275</v>
      </c>
      <c r="Q403" s="6">
        <v>1809</v>
      </c>
      <c r="R403" s="6">
        <v>280</v>
      </c>
      <c r="S403" s="7">
        <v>16.5</v>
      </c>
      <c r="T403" s="7">
        <v>32</v>
      </c>
      <c r="U403">
        <v>31.56</v>
      </c>
      <c r="V403" s="8">
        <v>0</v>
      </c>
      <c r="W403" s="7">
        <v>0</v>
      </c>
      <c r="X403" s="7">
        <v>0</v>
      </c>
      <c r="Y403">
        <v>0.73</v>
      </c>
      <c r="Z403" s="8">
        <v>0</v>
      </c>
      <c r="AB403">
        <v>0</v>
      </c>
      <c r="AC403">
        <v>0</v>
      </c>
      <c r="AD403">
        <v>2</v>
      </c>
      <c r="AE403">
        <v>1</v>
      </c>
      <c r="AF403">
        <v>1</v>
      </c>
      <c r="AG403">
        <v>1</v>
      </c>
      <c r="AH403">
        <v>6</v>
      </c>
      <c r="AI403" t="inlineStr">
        <is>
          <t>False</t>
        </is>
      </c>
      <c r="AJ403" s="2" t="str">
        <f>HYPERLINK("https://keepa.com/#!product/1-B084BRJ14T", "https://keepa.com/#!product/1-B084BRJ14T")</f>
      </c>
      <c r="AK403" s="2" t="str">
        <f>HYPERLINK("https://camelcamelcamel.com/search?sq=B084BRJ14T", "https://camelcamelcamel.com/search?sq=B084BRJ14T")</f>
      </c>
      <c r="AL403" t="inlineStr">
        <is>
          <t/>
        </is>
      </c>
      <c r="AM403" s="10">
        <v>45417.11111111111</v>
      </c>
      <c r="AN403" t="inlineStr">
        <is>
          <t>OUAI Thick Hair Conditioner - Moisturizing Conditioner for Dry, Frizzy Hair - Keratin, Marshmallow Root, Shea Butter and Avocado Oil - Paraben, Phthalate and Sulfate Free Hair Care - 10 oz</t>
        </is>
      </c>
      <c r="AO403" t="inlineStr">
        <is>
          <t>1000</t>
        </is>
      </c>
      <c r="AP403" t="inlineStr">
        <is>
          <t>500</t>
        </is>
      </c>
    </row>
    <row r="404">
      <c r="A404" t="inlineStr">
        <is>
          <t>B084C2PC69</t>
        </is>
      </c>
      <c r="B404" t="inlineStr">
        <is>
          <t>False</t>
        </is>
      </c>
      <c r="C404" t="inlineStr">
        <is>
          <t>B084C2PC69</t>
        </is>
      </c>
      <c r="D404" t="inlineStr">
        <is>
          <t>OUAI</t>
        </is>
      </c>
      <c r="E404" t="inlineStr">
        <is>
          <t>False</t>
        </is>
      </c>
      <c r="F404" t="inlineStr">
        <is>
          <t>OUAI Detox Shampoo - Clarifying Shampoo for Build Up, Dirt, Oil, Product and Hard Water - Apple Cider Vinegar &amp; Keratin for Clean, Refreshed Hair - Sulfate-Free Hair Care (10 oz)</t>
        </is>
      </c>
      <c r="G404">
        <v>1</v>
      </c>
      <c r="H404" s="2" t="str">
        <f>HYPERLINK("https://www.amazon.com/dp/B084C2PC69", "https://www.amazon.com/dp/B084C2PC69")</f>
      </c>
      <c r="I404" s="3">
        <v>13448</v>
      </c>
      <c r="J404" s="4">
        <v>6.13</v>
      </c>
      <c r="K404" s="5">
        <v>0.1916</v>
      </c>
      <c r="L404" s="15">
        <v>0.3715</v>
      </c>
      <c r="M404" t="inlineStr">
        <is>
          <t>True</t>
        </is>
      </c>
      <c r="N404" t="inlineStr">
        <is>
          <t>Beauty &amp; Personal Care</t>
        </is>
      </c>
      <c r="O404" s="6">
        <v>956</v>
      </c>
      <c r="P404" s="6">
        <v>852</v>
      </c>
      <c r="Q404" s="6">
        <v>568</v>
      </c>
      <c r="R404" s="6">
        <v>319</v>
      </c>
      <c r="S404" s="7">
        <v>16.5</v>
      </c>
      <c r="T404" s="7">
        <v>32</v>
      </c>
      <c r="U404">
        <v>30.74</v>
      </c>
      <c r="V404" s="8">
        <v>0</v>
      </c>
      <c r="W404" s="7">
        <v>0</v>
      </c>
      <c r="X404" s="7">
        <v>0</v>
      </c>
      <c r="Y404">
        <v>0.79</v>
      </c>
      <c r="Z404" s="8">
        <v>0</v>
      </c>
      <c r="AB404">
        <v>0</v>
      </c>
      <c r="AC404">
        <v>0</v>
      </c>
      <c r="AD404">
        <v>17</v>
      </c>
      <c r="AE404">
        <v>4</v>
      </c>
      <c r="AF404">
        <v>13</v>
      </c>
      <c r="AG404">
        <v>3</v>
      </c>
      <c r="AH404">
        <v>4</v>
      </c>
      <c r="AI404" t="inlineStr">
        <is>
          <t>False</t>
        </is>
      </c>
      <c r="AJ404" s="2" t="str">
        <f>HYPERLINK("https://keepa.com/#!product/1-B084C2PC69", "https://keepa.com/#!product/1-B084C2PC69")</f>
      </c>
      <c r="AK404" s="2" t="str">
        <f>HYPERLINK("https://camelcamelcamel.com/search?sq=B084C2PC69", "https://camelcamelcamel.com/search?sq=B084C2PC69")</f>
      </c>
      <c r="AL404" t="inlineStr">
        <is>
          <t/>
        </is>
      </c>
      <c r="AM404" s="10">
        <v>45417.11111111111</v>
      </c>
      <c r="AN404" t="inlineStr">
        <is>
          <t>OUAI Detox Shampoo - Clarifying Shampoo for Build Up, Dirt, Oil, Product and Hard Water - Apple Cider Vinegar &amp; Keratin for Clean, Refreshed Hair - Sulfate-Free Hair Care (10 oz)</t>
        </is>
      </c>
      <c r="AO404" t="inlineStr">
        <is>
          <t>1000</t>
        </is>
      </c>
      <c r="AP404" t="inlineStr">
        <is>
          <t>500</t>
        </is>
      </c>
    </row>
    <row r="405">
      <c r="A405" t="inlineStr">
        <is>
          <t>B084CQ41M2</t>
        </is>
      </c>
      <c r="B405" t="inlineStr">
        <is>
          <t>False</t>
        </is>
      </c>
      <c r="C405" t="inlineStr">
        <is>
          <t>B084CQ41M2</t>
        </is>
      </c>
      <c r="D405" t="inlineStr">
        <is>
          <t>Fitbit</t>
        </is>
      </c>
      <c r="E405" t="inlineStr">
        <is>
          <t>True</t>
        </is>
      </c>
      <c r="F405" t="inlineStr">
        <is>
          <t>Fitbit Charge 4 Fitness and Activity Tracker with Built-in GPS, Heart Rate, Sleep &amp; Swim Tracking, Black/Black, One Size (S &amp;L Bands Included)</t>
        </is>
      </c>
      <c r="G405">
        <v>1</v>
      </c>
      <c r="H405" s="2" t="str">
        <f>HYPERLINK("https://www.amazon.com/dp/B084CQ41M2", "https://www.amazon.com/dp/B084CQ41M2")</f>
      </c>
      <c r="I405" s="3">
        <v>2799</v>
      </c>
      <c r="J405" s="4">
        <v>21.65</v>
      </c>
      <c r="K405" s="5">
        <v>0.17600000000000002</v>
      </c>
      <c r="L405" s="5">
        <v>0.26890000000000003</v>
      </c>
      <c r="M405" t="inlineStr">
        <is>
          <t>True</t>
        </is>
      </c>
      <c r="N405" t="inlineStr">
        <is>
          <t>Sports &amp; Outdoors</t>
        </is>
      </c>
      <c r="O405" s="6">
        <v>1772</v>
      </c>
      <c r="P405" s="6">
        <v>1349</v>
      </c>
      <c r="Q405" s="6">
        <v>848</v>
      </c>
      <c r="R405" s="6">
        <v>283</v>
      </c>
      <c r="S405" s="7">
        <v>80.5</v>
      </c>
      <c r="T405" s="7">
        <v>123.03</v>
      </c>
      <c r="U405">
        <v>120.59</v>
      </c>
      <c r="V405" s="8">
        <v>0</v>
      </c>
      <c r="W405" s="7">
        <v>0</v>
      </c>
      <c r="X405" s="7">
        <v>0</v>
      </c>
      <c r="Y405">
        <v>0.4</v>
      </c>
      <c r="Z405" s="9">
        <v>0.13</v>
      </c>
      <c r="AB405">
        <v>0</v>
      </c>
      <c r="AC405">
        <v>0</v>
      </c>
      <c r="AD405">
        <v>19</v>
      </c>
      <c r="AE405">
        <v>14</v>
      </c>
      <c r="AF405">
        <v>5</v>
      </c>
      <c r="AG405">
        <v>4</v>
      </c>
      <c r="AH405">
        <v>3</v>
      </c>
      <c r="AI405" t="inlineStr">
        <is>
          <t>True</t>
        </is>
      </c>
      <c r="AJ405" s="2" t="str">
        <f>HYPERLINK("https://keepa.com/#!product/1-B084CQ41M2", "https://keepa.com/#!product/1-B084CQ41M2")</f>
      </c>
      <c r="AK405" s="2" t="str">
        <f>HYPERLINK("https://camelcamelcamel.com/search?sq=B084CQ41M2", "https://camelcamelcamel.com/search?sq=B084CQ41M2")</f>
      </c>
      <c r="AL405" t="inlineStr">
        <is>
          <t/>
        </is>
      </c>
      <c r="AM405" s="10">
        <v>45417.11111111111</v>
      </c>
      <c r="AN405" t="inlineStr">
        <is>
          <t>Fitbit Charge 4 Fitness and Activity Tracker with Built-in GPS, Heart Rate, Sleep &amp; Swim Tracking, Black/Black, One Size (S &amp;L Bands Included)</t>
        </is>
      </c>
      <c r="AO405" t="inlineStr">
        <is>
          <t>400</t>
        </is>
      </c>
      <c r="AP405" t="inlineStr">
        <is>
          <t>100</t>
        </is>
      </c>
    </row>
    <row r="406">
      <c r="A406" t="inlineStr">
        <is>
          <t>B084D8BSTN</t>
        </is>
      </c>
      <c r="B406" t="inlineStr">
        <is>
          <t>False</t>
        </is>
      </c>
      <c r="C406" t="inlineStr">
        <is>
          <t>B084D8BSTN</t>
        </is>
      </c>
      <c r="D406" t="inlineStr">
        <is>
          <t>Goli</t>
        </is>
      </c>
      <c r="E406" t="inlineStr">
        <is>
          <t>False</t>
        </is>
      </c>
      <c r="F406" t="inlineStr">
        <is>
          <t>Goli Nutrition Goli nutrition World's First Apple Cider Vinegar Gummies 60 Count, 60 Count</t>
        </is>
      </c>
      <c r="G406">
        <v>1</v>
      </c>
      <c r="H406" s="2" t="str">
        <f>HYPERLINK("https://www.amazon.com/dp/B084D8BSTN", "https://www.amazon.com/dp/B084D8BSTN")</f>
      </c>
      <c r="I406" s="3">
        <v>229</v>
      </c>
      <c r="J406" s="11">
        <v>1.81</v>
      </c>
      <c r="K406" s="5">
        <v>0.1208</v>
      </c>
      <c r="L406" s="5">
        <v>0.2681</v>
      </c>
      <c r="M406" t="inlineStr">
        <is>
          <t>True</t>
        </is>
      </c>
      <c r="N406" t="inlineStr">
        <is>
          <t>Health &amp; Household</t>
        </is>
      </c>
      <c r="O406" s="6">
        <v>62596</v>
      </c>
      <c r="P406" s="6">
        <v>18480</v>
      </c>
      <c r="Q406" s="6">
        <v>2080</v>
      </c>
      <c r="R406" s="6">
        <v>188</v>
      </c>
      <c r="S406" s="7">
        <v>6.75</v>
      </c>
      <c r="T406" s="7">
        <v>14.98</v>
      </c>
      <c r="U406">
        <v>13.93</v>
      </c>
      <c r="V406" s="8">
        <v>0</v>
      </c>
      <c r="W406" s="7">
        <v>0</v>
      </c>
      <c r="X406" s="7">
        <v>0</v>
      </c>
      <c r="Y406">
        <v>0.68</v>
      </c>
      <c r="Z406" s="9">
        <v>0.76</v>
      </c>
      <c r="AB406">
        <v>0</v>
      </c>
      <c r="AC406">
        <v>0</v>
      </c>
      <c r="AD406">
        <v>3</v>
      </c>
      <c r="AE406">
        <v>1</v>
      </c>
      <c r="AF406">
        <v>2</v>
      </c>
      <c r="AG406">
        <v>1</v>
      </c>
      <c r="AH406">
        <v>1</v>
      </c>
      <c r="AI406" t="inlineStr">
        <is>
          <t>False</t>
        </is>
      </c>
      <c r="AJ406" s="2" t="str">
        <f>HYPERLINK("https://keepa.com/#!product/1-B084D8BSTN", "https://keepa.com/#!product/1-B084D8BSTN")</f>
      </c>
      <c r="AK406" s="2" t="str">
        <f>HYPERLINK("https://camelcamelcamel.com/search?sq=B084D8BSTN", "https://camelcamelcamel.com/search?sq=B084D8BSTN")</f>
      </c>
      <c r="AL406" t="inlineStr">
        <is>
          <t/>
        </is>
      </c>
      <c r="AM406" s="10">
        <v>45417.11111111111</v>
      </c>
      <c r="AN406" t="inlineStr">
        <is>
          <t>Goli Nutrition World's First Apple Cider Vinegar Gummies 60 Count, 60 Count</t>
        </is>
      </c>
      <c r="AO406" t="inlineStr">
        <is>
          <t>1500</t>
        </is>
      </c>
      <c r="AP406" t="inlineStr">
        <is>
          <t>TAKE ALL</t>
        </is>
      </c>
    </row>
    <row r="407">
      <c r="A407" t="inlineStr">
        <is>
          <t>B084QR9VH2</t>
        </is>
      </c>
      <c r="B407" t="inlineStr">
        <is>
          <t>False</t>
        </is>
      </c>
      <c r="C407" t="inlineStr">
        <is>
          <t>B084QR9VH2</t>
        </is>
      </c>
      <c r="D407" t="inlineStr">
        <is>
          <t>Air Wick</t>
        </is>
      </c>
      <c r="E407" t="inlineStr">
        <is>
          <t>False</t>
        </is>
      </c>
      <c r="F407" t="inlineStr">
        <is>
          <t>Botanica By Air Wick Plug in Scented Oil Refill, 10Ct, Fresh Pineapple and Tunisian Rosemary, Essential Oils, Air Freshener, Eco Friendly</t>
        </is>
      </c>
      <c r="G407">
        <v>1</v>
      </c>
      <c r="H407" s="2" t="str">
        <f>HYPERLINK("https://www.amazon.com/dp/B084QR9VH2", "https://www.amazon.com/dp/B084QR9VH2")</f>
      </c>
      <c r="I407" s="3">
        <v>5137</v>
      </c>
      <c r="J407" s="11">
        <v>3.67</v>
      </c>
      <c r="K407" s="5">
        <v>0.1393</v>
      </c>
      <c r="L407" s="5">
        <v>0.29359999999999997</v>
      </c>
      <c r="M407" t="inlineStr">
        <is>
          <t>True</t>
        </is>
      </c>
      <c r="N407" t="inlineStr">
        <is>
          <t>Health &amp; Household</t>
        </is>
      </c>
      <c r="O407" s="6">
        <v>5146</v>
      </c>
      <c r="P407" s="6">
        <v>5402</v>
      </c>
      <c r="Q407" s="6">
        <v>3999</v>
      </c>
      <c r="R407" s="6">
        <v>272</v>
      </c>
      <c r="S407" s="7">
        <v>12.5</v>
      </c>
      <c r="T407" s="7">
        <v>26.34</v>
      </c>
      <c r="U407">
        <v>26.26</v>
      </c>
      <c r="V407" s="8">
        <v>0</v>
      </c>
      <c r="W407" s="7">
        <v>0</v>
      </c>
      <c r="X407" s="7">
        <v>0</v>
      </c>
      <c r="Y407">
        <v>2.23</v>
      </c>
      <c r="Z407" s="9">
        <v>0.91</v>
      </c>
      <c r="AB407">
        <v>0</v>
      </c>
      <c r="AC407">
        <v>0</v>
      </c>
      <c r="AD407">
        <v>2</v>
      </c>
      <c r="AE407">
        <v>1</v>
      </c>
      <c r="AF407">
        <v>1</v>
      </c>
      <c r="AG407">
        <v>1</v>
      </c>
      <c r="AH407">
        <v>4</v>
      </c>
      <c r="AI407" t="inlineStr">
        <is>
          <t>False</t>
        </is>
      </c>
      <c r="AJ407" s="2" t="str">
        <f>HYPERLINK("https://keepa.com/#!product/1-B084QR9VH2", "https://keepa.com/#!product/1-B084QR9VH2")</f>
      </c>
      <c r="AK407" s="2" t="str">
        <f>HYPERLINK("https://camelcamelcamel.com/search?sq=B084QR9VH2", "https://camelcamelcamel.com/search?sq=B084QR9VH2")</f>
      </c>
      <c r="AL407" t="inlineStr">
        <is>
          <t/>
        </is>
      </c>
      <c r="AM407" s="10">
        <v>45417.11111111111</v>
      </c>
      <c r="AN407" t="inlineStr">
        <is>
          <t>Botanica By Air Wick Plug in Scented Oil Refill, 10Ct, Fresh Pineapple and Tunisian Rosemary, Essential Oils, Air Freshener, Eco Friendly</t>
        </is>
      </c>
      <c r="AO407" t="inlineStr">
        <is>
          <t>600</t>
        </is>
      </c>
      <c r="AP407" t="inlineStr">
        <is>
          <t>TAKE ALL</t>
        </is>
      </c>
    </row>
    <row r="408">
      <c r="A408" t="inlineStr">
        <is>
          <t>B084TM34N4</t>
        </is>
      </c>
      <c r="B408" t="inlineStr">
        <is>
          <t>False</t>
        </is>
      </c>
      <c r="C408" t="inlineStr">
        <is>
          <t>B084TM34N4</t>
        </is>
      </c>
      <c r="D408" t="inlineStr">
        <is>
          <t>Philips Sonicare</t>
        </is>
      </c>
      <c r="E408" t="inlineStr">
        <is>
          <t>False</t>
        </is>
      </c>
      <c r="F408" t="inlineStr">
        <is>
          <t>PHILIPS Sonicare ProtectiveClean 6500 Rechargeable Electric Power Toothbrush with Charging Travel Case and Extra Brush Head, White, HX6462/05</t>
        </is>
      </c>
      <c r="G408">
        <v>1</v>
      </c>
      <c r="H408" s="2" t="str">
        <f>HYPERLINK("https://www.amazon.com/dp/B084TM34N4", "https://www.amazon.com/dp/B084TM34N4")</f>
      </c>
      <c r="I408" s="3">
        <v>1483</v>
      </c>
      <c r="J408" s="12">
        <v>-5.34</v>
      </c>
      <c r="K408" s="13">
        <v>-0.0368</v>
      </c>
      <c r="L408" s="13">
        <v>-0.0434</v>
      </c>
      <c r="M408" t="inlineStr">
        <is>
          <t>True</t>
        </is>
      </c>
      <c r="N408" t="inlineStr">
        <is>
          <t>Health &amp; Household</t>
        </is>
      </c>
      <c r="O408" s="6">
        <v>16397</v>
      </c>
      <c r="P408" s="6">
        <v>13171</v>
      </c>
      <c r="Q408" s="6">
        <v>1351</v>
      </c>
      <c r="R408" s="6">
        <v>158</v>
      </c>
      <c r="S408" s="7">
        <v>123</v>
      </c>
      <c r="T408" s="7">
        <v>144.99</v>
      </c>
      <c r="U408">
        <v>175.94</v>
      </c>
      <c r="V408" s="8">
        <v>0</v>
      </c>
      <c r="W408" s="7">
        <v>0</v>
      </c>
      <c r="X408" s="7">
        <v>0</v>
      </c>
      <c r="Y408">
        <v>1.28</v>
      </c>
      <c r="Z408" s="9">
        <v>1</v>
      </c>
      <c r="AB408">
        <v>0</v>
      </c>
      <c r="AC408">
        <v>0</v>
      </c>
      <c r="AD408">
        <v>3</v>
      </c>
      <c r="AE408">
        <v>1</v>
      </c>
      <c r="AF408">
        <v>2</v>
      </c>
      <c r="AG408">
        <v>1</v>
      </c>
      <c r="AH408">
        <v>5</v>
      </c>
      <c r="AI408" t="inlineStr">
        <is>
          <t>True</t>
        </is>
      </c>
      <c r="AJ408" s="2" t="str">
        <f>HYPERLINK("https://keepa.com/#!product/1-B084TM34N4", "https://keepa.com/#!product/1-B084TM34N4")</f>
      </c>
      <c r="AK408" s="2" t="str">
        <f>HYPERLINK("https://camelcamelcamel.com/search?sq=B084TM34N4", "https://camelcamelcamel.com/search?sq=B084TM34N4")</f>
      </c>
      <c r="AL408" t="inlineStr">
        <is>
          <t/>
        </is>
      </c>
      <c r="AM408" s="10">
        <v>45417.11111111111</v>
      </c>
      <c r="AN408" t="inlineStr">
        <is>
          <t>PHILIPS Sonicare ProtectiveClean 6500 Rechargeable Electric Power Toothbrush with Charging Travel Case and Extra Brush Head, White, HX6462/05</t>
        </is>
      </c>
      <c r="AO408" t="inlineStr">
        <is>
          <t>300</t>
        </is>
      </c>
      <c r="AP408" t="inlineStr">
        <is>
          <t>TAKE ALL</t>
        </is>
      </c>
    </row>
    <row r="409">
      <c r="A409" t="inlineStr">
        <is>
          <t>B0859Q3DQ2</t>
        </is>
      </c>
      <c r="B409" t="inlineStr">
        <is>
          <t>False</t>
        </is>
      </c>
      <c r="C409" t="inlineStr">
        <is>
          <t>B0859Q3DQ2</t>
        </is>
      </c>
      <c r="D409" t="inlineStr">
        <is>
          <t>ZAP IT!</t>
        </is>
      </c>
      <c r="E409" t="inlineStr">
        <is>
          <t>False</t>
        </is>
      </c>
      <c r="F409" t="inlineStr">
        <is>
          <t>ZAP IT! Bug Zapper Battery Powered (2xAA Included) Bug Zapper Racket, 3,500 Volt</t>
        </is>
      </c>
      <c r="G409">
        <v>1</v>
      </c>
      <c r="H409" s="2" t="str">
        <f>HYPERLINK("https://www.amazon.com/dp/B0859Q3DQ2", "https://www.amazon.com/dp/B0859Q3DQ2")</f>
      </c>
      <c r="I409" s="3">
        <v>2662</v>
      </c>
      <c r="J409" s="4">
        <v>7.35</v>
      </c>
      <c r="K409" s="5">
        <v>0.2451</v>
      </c>
      <c r="L409" s="15">
        <v>0.6255</v>
      </c>
      <c r="M409" t="inlineStr">
        <is>
          <t>True</t>
        </is>
      </c>
      <c r="N409" t="inlineStr">
        <is>
          <t>Patio, Lawn &amp; Garden</t>
        </is>
      </c>
      <c r="O409" s="6">
        <v>1992</v>
      </c>
      <c r="P409" s="6">
        <v>9605</v>
      </c>
      <c r="Q409" s="6">
        <v>1104</v>
      </c>
      <c r="R409" s="6">
        <v>253</v>
      </c>
      <c r="S409" s="7">
        <v>11.75</v>
      </c>
      <c r="T409" s="7">
        <v>29.99</v>
      </c>
      <c r="U409">
        <v>25.03</v>
      </c>
      <c r="V409" s="8">
        <v>0</v>
      </c>
      <c r="W409" s="7">
        <v>0</v>
      </c>
      <c r="X409" s="7">
        <v>0</v>
      </c>
      <c r="Y409">
        <v>1.15</v>
      </c>
      <c r="Z409" s="8">
        <v>0</v>
      </c>
      <c r="AB409">
        <v>0</v>
      </c>
      <c r="AC409">
        <v>0</v>
      </c>
      <c r="AD409">
        <v>2</v>
      </c>
      <c r="AE409">
        <v>2</v>
      </c>
      <c r="AF409">
        <v>0</v>
      </c>
      <c r="AG409">
        <v>2</v>
      </c>
      <c r="AH409">
        <v>3</v>
      </c>
      <c r="AI409" t="inlineStr">
        <is>
          <t>False</t>
        </is>
      </c>
      <c r="AJ409" s="2" t="str">
        <f>HYPERLINK("https://keepa.com/#!product/1-B0859Q3DQ2", "https://keepa.com/#!product/1-B0859Q3DQ2")</f>
      </c>
      <c r="AK409" s="2" t="str">
        <f>HYPERLINK("https://camelcamelcamel.com/search?sq=B0859Q3DQ2", "https://camelcamelcamel.com/search?sq=B0859Q3DQ2")</f>
      </c>
      <c r="AL409" t="inlineStr">
        <is>
          <t/>
        </is>
      </c>
      <c r="AM409" s="10">
        <v>45417.11111111111</v>
      </c>
      <c r="AN409" t="inlineStr">
        <is>
          <t>Zap Offer</t>
        </is>
      </c>
      <c r="AO409" t="inlineStr">
        <is>
          <t>250</t>
        </is>
      </c>
      <c r="AP409" t="inlineStr">
        <is>
          <t>TAKE ALL</t>
        </is>
      </c>
    </row>
    <row r="410">
      <c r="A410" t="inlineStr">
        <is>
          <t>B085HK5LY2</t>
        </is>
      </c>
      <c r="B410" t="inlineStr">
        <is>
          <t>False</t>
        </is>
      </c>
      <c r="C410" t="inlineStr">
        <is>
          <t>B085HK5LY2</t>
        </is>
      </c>
      <c r="D410" t="inlineStr">
        <is>
          <t>Natural Vitality</t>
        </is>
      </c>
      <c r="E410" t="inlineStr">
        <is>
          <t>False</t>
        </is>
      </c>
      <c r="F410" t="inlineStr">
        <is>
          <t>Natural Vitality SLEEP Gummies, Magnesium Supplement With Melatonin and L-Theanine, Vegan, Gluten Free, Helps the Body Ease Into Sleep, Blueberry Pomegranate 120 Count</t>
        </is>
      </c>
      <c r="G410">
        <v>1</v>
      </c>
      <c r="H410" s="2" t="str">
        <f>HYPERLINK("https://www.amazon.com/dp/B085HK5LY2", "https://www.amazon.com/dp/B085HK5LY2")</f>
      </c>
      <c r="I410" s="3">
        <v>5055</v>
      </c>
      <c r="J410" s="11">
        <v>2.27</v>
      </c>
      <c r="K410" s="5">
        <v>0.0998</v>
      </c>
      <c r="L410" s="5">
        <v>0.1816</v>
      </c>
      <c r="M410" t="inlineStr">
        <is>
          <t>True</t>
        </is>
      </c>
      <c r="N410" t="inlineStr">
        <is>
          <t>Health &amp; Household</t>
        </is>
      </c>
      <c r="O410" s="6">
        <v>5257</v>
      </c>
      <c r="P410" s="6">
        <v>5015</v>
      </c>
      <c r="Q410" s="6">
        <v>3562</v>
      </c>
      <c r="R410" s="6">
        <v>238</v>
      </c>
      <c r="S410" s="7">
        <v>12.5</v>
      </c>
      <c r="T410" s="7">
        <v>22.75</v>
      </c>
      <c r="U410">
        <v>22.57</v>
      </c>
      <c r="V410" s="8">
        <v>0</v>
      </c>
      <c r="W410" s="7">
        <v>0</v>
      </c>
      <c r="X410" s="7">
        <v>0</v>
      </c>
      <c r="Y410">
        <v>0.99</v>
      </c>
      <c r="Z410" s="9">
        <v>0.11</v>
      </c>
      <c r="AB410">
        <v>0</v>
      </c>
      <c r="AC410">
        <v>0</v>
      </c>
      <c r="AD410">
        <v>11</v>
      </c>
      <c r="AE410">
        <v>1</v>
      </c>
      <c r="AF410">
        <v>10</v>
      </c>
      <c r="AG410">
        <v>1</v>
      </c>
      <c r="AH410">
        <v>2</v>
      </c>
      <c r="AI410" t="inlineStr">
        <is>
          <t>False</t>
        </is>
      </c>
      <c r="AJ410" s="2" t="str">
        <f>HYPERLINK("https://keepa.com/#!product/1-B085HK5LY2", "https://keepa.com/#!product/1-B085HK5LY2")</f>
      </c>
      <c r="AK410" s="2" t="str">
        <f>HYPERLINK("https://camelcamelcamel.com/search?sq=B085HK5LY2", "https://camelcamelcamel.com/search?sq=B085HK5LY2")</f>
      </c>
      <c r="AL410" t="inlineStr">
        <is>
          <t/>
        </is>
      </c>
      <c r="AM410" s="10">
        <v>45417.11111111111</v>
      </c>
      <c r="AN410" t="inlineStr">
        <is>
          <t>Natural Vitality SLEEP Gummies, Magnesium Supplement With Melatonin and L-Theanine, Vegan, Gluten Free, Helps the Body Ease Into Sleep, Blueberry Pomegranate 120 Count</t>
        </is>
      </c>
      <c r="AO410" t="inlineStr">
        <is>
          <t>500</t>
        </is>
      </c>
      <c r="AP410" t="inlineStr">
        <is>
          <t>TAKE ALL</t>
        </is>
      </c>
    </row>
    <row r="411">
      <c r="A411" t="inlineStr">
        <is>
          <t>B085NTR26K</t>
        </is>
      </c>
      <c r="B411" t="inlineStr">
        <is>
          <t>False</t>
        </is>
      </c>
      <c r="C411" t="inlineStr">
        <is>
          <t>B085NTR26K</t>
        </is>
      </c>
      <c r="D411" t="inlineStr">
        <is>
          <t>RENPHO</t>
        </is>
      </c>
      <c r="E411" t="inlineStr">
        <is>
          <t>False</t>
        </is>
      </c>
      <c r="F411" t="inlineStr">
        <is>
          <t>RENPHO Active Massage Gun Deep Tissue Muscle, Powerful Percussion Massage Gun, Portable Back Massager Gun for Athletes for Pain Relief, Handheld Back Massagers, Carry Case - FSA and HSA Eligible</t>
        </is>
      </c>
      <c r="G411">
        <v>1</v>
      </c>
      <c r="H411" s="2" t="str">
        <f>HYPERLINK("https://www.amazon.com/dp/B085NTR26K", "https://www.amazon.com/dp/B085NTR26K")</f>
      </c>
      <c r="I411" s="3">
        <v>4183</v>
      </c>
      <c r="J411" s="4">
        <v>22.72</v>
      </c>
      <c r="K411" s="5">
        <v>0.2525</v>
      </c>
      <c r="L411" s="15">
        <v>0.48340000000000005</v>
      </c>
      <c r="M411" t="inlineStr">
        <is>
          <t>True</t>
        </is>
      </c>
      <c r="N411" t="inlineStr">
        <is>
          <t>Health &amp; Household</t>
        </is>
      </c>
      <c r="O411" s="6">
        <v>6379</v>
      </c>
      <c r="P411" s="6">
        <v>5285</v>
      </c>
      <c r="Q411" s="6">
        <v>1721</v>
      </c>
      <c r="R411" s="6">
        <v>288</v>
      </c>
      <c r="S411" s="7">
        <v>47</v>
      </c>
      <c r="T411" s="7">
        <v>89.99</v>
      </c>
      <c r="U411">
        <v>85.28</v>
      </c>
      <c r="V411" s="8">
        <v>0</v>
      </c>
      <c r="W411" s="7">
        <v>0</v>
      </c>
      <c r="X411" s="7">
        <v>0</v>
      </c>
      <c r="Y411">
        <v>2.98</v>
      </c>
      <c r="Z411" s="8">
        <v>0</v>
      </c>
      <c r="AB411">
        <v>0</v>
      </c>
      <c r="AC411">
        <v>0</v>
      </c>
      <c r="AD411">
        <v>1</v>
      </c>
      <c r="AE411">
        <v>1</v>
      </c>
      <c r="AF411">
        <v>0</v>
      </c>
      <c r="AG411">
        <v>1</v>
      </c>
      <c r="AH411">
        <v>3</v>
      </c>
      <c r="AI411" t="inlineStr">
        <is>
          <t>True</t>
        </is>
      </c>
      <c r="AJ411" s="2" t="str">
        <f>HYPERLINK("https://keepa.com/#!product/1-B085NTR26K", "https://keepa.com/#!product/1-B085NTR26K")</f>
      </c>
      <c r="AK411" s="2" t="str">
        <f>HYPERLINK("https://camelcamelcamel.com/search?sq=B085NTR26K", "https://camelcamelcamel.com/search?sq=B085NTR26K")</f>
      </c>
      <c r="AL411" t="inlineStr">
        <is>
          <t/>
        </is>
      </c>
      <c r="AM411" s="10">
        <v>45417.11111111111</v>
      </c>
      <c r="AN411" t="inlineStr">
        <is>
          <t>RENPHO Active Massage Gun Deep Tissue Muscle, Powerful Percussion Massage Gun, Portable Back Massager Gun for Athletes for Pain Relief, Handheld Back Massagers, Carry Case - FSA and HSA Eligible</t>
        </is>
      </c>
      <c r="AO411" t="inlineStr">
        <is>
          <t>350</t>
        </is>
      </c>
      <c r="AP411" t="inlineStr">
        <is>
          <t>TAKE ALL</t>
        </is>
      </c>
    </row>
    <row r="412">
      <c r="A412" t="inlineStr">
        <is>
          <t>B085QKQMP1</t>
        </is>
      </c>
      <c r="B412" t="inlineStr">
        <is>
          <t>False</t>
        </is>
      </c>
      <c r="C412" t="inlineStr">
        <is>
          <t>B085QKQMP1</t>
        </is>
      </c>
      <c r="D412" t="inlineStr">
        <is>
          <t>Calming Comfort</t>
        </is>
      </c>
      <c r="E412" t="inlineStr">
        <is>
          <t>False</t>
        </is>
      </c>
      <c r="F412" t="inlineStr">
        <is>
          <t>Calming Heat Massaging Weighted Heating Pad by Sharper Image- Weighted Electric Heating Pad with Massaging Vibrations, 6 Settings- 3 Heat, 3 Massage- 9 Relaxing Combinations, 12” x 24”, 4 lbs</t>
        </is>
      </c>
      <c r="G412">
        <v>1</v>
      </c>
      <c r="H412" s="2" t="str">
        <f>HYPERLINK("https://www.amazon.com/dp/B085QKQMP1", "https://www.amazon.com/dp/B085QKQMP1")</f>
      </c>
      <c r="I412" s="3">
        <v>652</v>
      </c>
      <c r="J412" s="4">
        <v>9.46</v>
      </c>
      <c r="K412" s="5">
        <v>0.1892</v>
      </c>
      <c r="L412" s="15">
        <v>0.3747</v>
      </c>
      <c r="M412" t="inlineStr">
        <is>
          <t>True</t>
        </is>
      </c>
      <c r="N412" t="inlineStr">
        <is>
          <t>Health &amp; Household</t>
        </is>
      </c>
      <c r="O412" s="6">
        <v>31056</v>
      </c>
      <c r="P412" s="6">
        <v>14227</v>
      </c>
      <c r="Q412" s="6">
        <v>3645</v>
      </c>
      <c r="R412" s="6">
        <v>237</v>
      </c>
      <c r="S412" s="7">
        <v>25.25</v>
      </c>
      <c r="T412" s="7">
        <v>49.99</v>
      </c>
      <c r="U412">
        <v>44.85</v>
      </c>
      <c r="V412" s="8">
        <v>0</v>
      </c>
      <c r="W412" s="7">
        <v>0</v>
      </c>
      <c r="X412" s="7">
        <v>0</v>
      </c>
      <c r="Y412">
        <v>4.91</v>
      </c>
      <c r="Z412" s="8">
        <v>0</v>
      </c>
      <c r="AB412">
        <v>0</v>
      </c>
      <c r="AC412">
        <v>0</v>
      </c>
      <c r="AD412">
        <v>1</v>
      </c>
      <c r="AE412">
        <v>1</v>
      </c>
      <c r="AF412">
        <v>0</v>
      </c>
      <c r="AG412">
        <v>1</v>
      </c>
      <c r="AH412">
        <v>2</v>
      </c>
      <c r="AI412" t="inlineStr">
        <is>
          <t>False</t>
        </is>
      </c>
      <c r="AJ412" s="2" t="str">
        <f>HYPERLINK("https://keepa.com/#!product/1-B085QKQMP1", "https://keepa.com/#!product/1-B085QKQMP1")</f>
      </c>
      <c r="AK412" s="2" t="str">
        <f>HYPERLINK("https://camelcamelcamel.com/search?sq=B085QKQMP1", "https://camelcamelcamel.com/search?sq=B085QKQMP1")</f>
      </c>
      <c r="AL412" t="inlineStr">
        <is>
          <t/>
        </is>
      </c>
      <c r="AM412" s="10">
        <v>45417.11111111111</v>
      </c>
      <c r="AN412" t="inlineStr">
        <is>
          <t>Calming Heat Massaging Weighted Heating Pad by Sharper Image- Weighted Electric Heating Pad with Massaging Vibrations, 6 Settings- 3 Heat, 3 Massage- 9 Relaxing Combinations, 12â€ x 24â€, 4 lbs</t>
        </is>
      </c>
      <c r="AO412" t="inlineStr">
        <is>
          <t>600</t>
        </is>
      </c>
      <c r="AP412" t="inlineStr">
        <is>
          <t>300</t>
        </is>
      </c>
    </row>
    <row r="413">
      <c r="A413" t="inlineStr">
        <is>
          <t>B085S5CGK8</t>
        </is>
      </c>
      <c r="B413" t="inlineStr">
        <is>
          <t>False</t>
        </is>
      </c>
      <c r="C413" t="inlineStr">
        <is>
          <t>B085S5CGK8</t>
        </is>
      </c>
      <c r="D413" t="inlineStr">
        <is>
          <t>Preparation H</t>
        </is>
      </c>
      <c r="E413" t="inlineStr">
        <is>
          <t>False</t>
        </is>
      </c>
      <c r="F413" t="inlineStr">
        <is>
          <t>Preparation H Hemorrhoid Treatment Soothing Relief Cleansing and Cooling Wipes, Aloe and Witch Hazel Wipes for Butt Itch Relief - 60 Count (Pack of 3)</t>
        </is>
      </c>
      <c r="G413">
        <v>1</v>
      </c>
      <c r="H413" s="2" t="str">
        <f>HYPERLINK("https://www.amazon.com/dp/B085S5CGK8", "https://www.amazon.com/dp/B085S5CGK8")</f>
      </c>
      <c r="I413" s="3">
        <v>8414</v>
      </c>
      <c r="J413" s="12">
        <v>-4.77</v>
      </c>
      <c r="K413" s="13">
        <v>-0.669</v>
      </c>
      <c r="L413" s="13">
        <v>-0.8017</v>
      </c>
      <c r="M413" t="inlineStr">
        <is>
          <t>True</t>
        </is>
      </c>
      <c r="N413" t="inlineStr">
        <is>
          <t>Health &amp; Household</t>
        </is>
      </c>
      <c r="O413" s="6">
        <v>2966</v>
      </c>
      <c r="P413" s="6">
        <v>5172</v>
      </c>
      <c r="Q413" s="6">
        <v>2866</v>
      </c>
      <c r="R413" s="6">
        <v>226</v>
      </c>
      <c r="S413" s="7">
        <v>5.95</v>
      </c>
      <c r="T413" s="7">
        <v>7.13</v>
      </c>
      <c r="U413">
        <v>10.3</v>
      </c>
      <c r="V413" s="8">
        <v>0</v>
      </c>
      <c r="W413" s="7">
        <v>0</v>
      </c>
      <c r="X413" s="7">
        <v>0</v>
      </c>
      <c r="Y413">
        <v>2.45</v>
      </c>
      <c r="Z413" s="9">
        <v>1</v>
      </c>
      <c r="AB413">
        <v>0</v>
      </c>
      <c r="AC413">
        <v>0</v>
      </c>
      <c r="AD413">
        <v>17</v>
      </c>
      <c r="AE413">
        <v>7</v>
      </c>
      <c r="AF413">
        <v>10</v>
      </c>
      <c r="AG413">
        <v>2</v>
      </c>
      <c r="AH413">
        <v>2</v>
      </c>
      <c r="AI413" t="inlineStr">
        <is>
          <t>False</t>
        </is>
      </c>
      <c r="AJ413" s="2" t="str">
        <f>HYPERLINK("https://keepa.com/#!product/1-B085S5CGK8", "https://keepa.com/#!product/1-B085S5CGK8")</f>
      </c>
      <c r="AK413" s="2" t="str">
        <f>HYPERLINK("https://camelcamelcamel.com/search?sq=B085S5CGK8", "https://camelcamelcamel.com/search?sq=B085S5CGK8")</f>
      </c>
      <c r="AL413" t="inlineStr">
        <is>
          <t/>
        </is>
      </c>
      <c r="AM413" s="10">
        <v>45417.11111111111</v>
      </c>
      <c r="AN413" t="inlineStr">
        <is>
          <t>Preparation H Hemorrhoid Treatment Soothing Relief Cleansing and Cooling Wipes, Aloe and Witch Hazel Wipes for Butt Itch Relief - 60 Count (Pack of 3)</t>
        </is>
      </c>
      <c r="AO413" t="inlineStr">
        <is>
          <t>2500</t>
        </is>
      </c>
      <c r="AP413" t="inlineStr">
        <is>
          <t>1250</t>
        </is>
      </c>
    </row>
    <row r="414">
      <c r="A414" t="inlineStr">
        <is>
          <t>B085V653KM</t>
        </is>
      </c>
      <c r="B414" t="inlineStr">
        <is>
          <t>False</t>
        </is>
      </c>
      <c r="C414" t="inlineStr">
        <is>
          <t>B085V653KM</t>
        </is>
      </c>
      <c r="D414" t="inlineStr">
        <is>
          <t>Wüsthof</t>
        </is>
      </c>
      <c r="E414" t="inlineStr">
        <is>
          <t>False</t>
        </is>
      </c>
      <c r="F414" t="inlineStr">
        <is>
          <t>WÜSTHOF Classic 8" Chef's Knife, Black</t>
        </is>
      </c>
      <c r="G414">
        <v>1</v>
      </c>
      <c r="H414" s="2" t="str">
        <f>HYPERLINK("https://www.amazon.com/dp/B085V653KM", "https://www.amazon.com/dp/B085V653KM")</f>
      </c>
      <c r="I414" s="3">
        <v>388</v>
      </c>
      <c r="J414" s="4">
        <v>36.33</v>
      </c>
      <c r="K414" s="5">
        <v>0.2137</v>
      </c>
      <c r="L414" s="15">
        <v>0.3493</v>
      </c>
      <c r="M414" t="inlineStr">
        <is>
          <t>True</t>
        </is>
      </c>
      <c r="N414" t="inlineStr">
        <is>
          <t>Kitchen &amp; Dining</t>
        </is>
      </c>
      <c r="O414" s="6">
        <v>19150</v>
      </c>
      <c r="P414" s="6">
        <v>25478</v>
      </c>
      <c r="Q414" s="6">
        <v>13297</v>
      </c>
      <c r="R414" s="6">
        <v>223</v>
      </c>
      <c r="S414" s="7">
        <v>104</v>
      </c>
      <c r="T414" s="7">
        <v>170</v>
      </c>
      <c r="U414">
        <v>156.24</v>
      </c>
      <c r="V414" s="8">
        <v>0</v>
      </c>
      <c r="W414" s="7">
        <v>0</v>
      </c>
      <c r="X414" s="7">
        <v>0</v>
      </c>
      <c r="Y414">
        <v>0.75</v>
      </c>
      <c r="Z414" s="9">
        <v>1</v>
      </c>
      <c r="AB414">
        <v>0</v>
      </c>
      <c r="AC414">
        <v>0</v>
      </c>
      <c r="AD414">
        <v>20</v>
      </c>
      <c r="AE414">
        <v>1</v>
      </c>
      <c r="AF414">
        <v>12</v>
      </c>
      <c r="AG414">
        <v>1</v>
      </c>
      <c r="AH414">
        <v>2</v>
      </c>
      <c r="AI414" t="inlineStr">
        <is>
          <t>False</t>
        </is>
      </c>
      <c r="AJ414" s="2" t="str">
        <f>HYPERLINK("https://keepa.com/#!product/1-B085V653KM", "https://keepa.com/#!product/1-B085V653KM")</f>
      </c>
      <c r="AK414" s="2" t="str">
        <f>HYPERLINK("https://camelcamelcamel.com/search?sq=B085V653KM", "https://camelcamelcamel.com/search?sq=B085V653KM")</f>
      </c>
      <c r="AL414" t="inlineStr">
        <is>
          <t/>
        </is>
      </c>
      <c r="AM414" s="10">
        <v>45417.11111111111</v>
      </c>
      <c r="AN414" t="inlineStr">
        <is>
          <t>WÃœSTHOF Classic 8" Chef's Knife, Black</t>
        </is>
      </c>
      <c r="AO414" t="inlineStr">
        <is>
          <t>1000</t>
        </is>
      </c>
      <c r="AP414" t="inlineStr">
        <is>
          <t>500</t>
        </is>
      </c>
    </row>
    <row r="415">
      <c r="A415" t="inlineStr">
        <is>
          <t>B0867GPPSJ</t>
        </is>
      </c>
      <c r="B415" t="inlineStr">
        <is>
          <t>False</t>
        </is>
      </c>
      <c r="C415" t="inlineStr">
        <is>
          <t>B0867GPPSJ</t>
        </is>
      </c>
      <c r="D415" t="inlineStr">
        <is>
          <t>RIBEX</t>
        </is>
      </c>
      <c r="E415" t="inlineStr">
        <is>
          <t>False</t>
        </is>
      </c>
      <c r="F415" t="inlineStr">
        <is>
          <t>Ribex Muscle Massage Gun with Warranty - Deep Tissue Percussive Handheld Cordless Massager for Sore Muscles and Stiffness - 6 Speeds of Intense Percussion</t>
        </is>
      </c>
      <c r="G415">
        <v>1</v>
      </c>
      <c r="H415" s="2" t="str">
        <f>HYPERLINK("https://www.amazon.com/dp/B0867GPPSJ", "https://www.amazon.com/dp/B0867GPPSJ")</f>
      </c>
      <c r="I415" s="14">
        <v>5</v>
      </c>
      <c r="J415" s="4">
        <v>8.68</v>
      </c>
      <c r="K415" s="5">
        <v>0.217</v>
      </c>
      <c r="L415" s="15">
        <v>0.48219999999999996</v>
      </c>
      <c r="M415" t="inlineStr">
        <is>
          <t>False</t>
        </is>
      </c>
      <c r="N415" t="inlineStr">
        <is>
          <t>Health and Beauty</t>
        </is>
      </c>
      <c r="P415" s="6">
        <v>0</v>
      </c>
      <c r="Q415" s="6">
        <v>0</v>
      </c>
      <c r="R415" s="6">
        <v>0</v>
      </c>
      <c r="S415" s="7">
        <v>18</v>
      </c>
      <c r="T415" s="7">
        <v>40</v>
      </c>
      <c r="U415">
        <v>40</v>
      </c>
      <c r="V415" s="8">
        <v>0</v>
      </c>
      <c r="W415" s="7">
        <v>0</v>
      </c>
      <c r="X415" s="7">
        <v>0</v>
      </c>
      <c r="Y415">
        <v>3.02</v>
      </c>
      <c r="Z415" s="8">
        <v>0</v>
      </c>
      <c r="AB415">
        <v>0</v>
      </c>
      <c r="AC415">
        <v>0</v>
      </c>
      <c r="AD415">
        <v>1</v>
      </c>
      <c r="AE415">
        <v>0</v>
      </c>
      <c r="AF415">
        <v>1</v>
      </c>
      <c r="AG415">
        <v>1</v>
      </c>
      <c r="AH415">
        <v>0</v>
      </c>
      <c r="AI415" t="inlineStr">
        <is>
          <t>True</t>
        </is>
      </c>
      <c r="AJ415" s="2" t="str">
        <f>HYPERLINK("https://keepa.com/#!product/1-B0867GPPSJ", "https://keepa.com/#!product/1-B0867GPPSJ")</f>
      </c>
      <c r="AK415" s="2" t="str">
        <f>HYPERLINK("https://camelcamelcamel.com/search?sq=B0867GPPSJ", "https://camelcamelcamel.com/search?sq=B0867GPPSJ")</f>
      </c>
      <c r="AL415" t="inlineStr">
        <is>
          <t/>
        </is>
      </c>
      <c r="AM415" s="10">
        <v>45417.11111111111</v>
      </c>
      <c r="AN415" t="inlineStr">
        <is>
          <t>Muscle Massage Gun with Warranty - Deep Tissue Percussive Handheld Cordless Massager for Sore Muscles and Stiffness - 6 Speeds of Intense Percussion</t>
        </is>
      </c>
      <c r="AO415" t="inlineStr">
        <is>
          <t>500</t>
        </is>
      </c>
      <c r="AP415" t="inlineStr">
        <is>
          <t>TAKE ALL</t>
        </is>
      </c>
    </row>
    <row r="416">
      <c r="A416" t="inlineStr">
        <is>
          <t>B086967C9X</t>
        </is>
      </c>
      <c r="B416" t="inlineStr">
        <is>
          <t>False</t>
        </is>
      </c>
      <c r="C416" t="inlineStr">
        <is>
          <t>B086967C9X</t>
        </is>
      </c>
      <c r="D416" t="inlineStr">
        <is>
          <t>Ubiquiti Networks</t>
        </is>
      </c>
      <c r="E416" t="inlineStr">
        <is>
          <t>False</t>
        </is>
      </c>
      <c r="F416" t="inlineStr">
        <is>
          <t>Ubiquiti Networks UniFi Dream Machine Pro All-In-One Enterprise Security Gateway &amp; Network Appliance</t>
        </is>
      </c>
      <c r="G416">
        <v>1</v>
      </c>
      <c r="H416" s="2" t="str">
        <f>HYPERLINK("https://www.amazon.com/dp/B086967C9X", "https://www.amazon.com/dp/B086967C9X")</f>
      </c>
      <c r="I416" s="14">
        <v>5</v>
      </c>
      <c r="J416" s="4">
        <v>80.26</v>
      </c>
      <c r="K416" s="5">
        <v>0.2064</v>
      </c>
      <c r="L416" s="15">
        <v>0.3034</v>
      </c>
      <c r="M416" t="inlineStr">
        <is>
          <t>False</t>
        </is>
      </c>
      <c r="N416" t="inlineStr">
        <is>
          <t>Computer Networking Switches</t>
        </is>
      </c>
      <c r="O416" s="6">
        <v>264</v>
      </c>
      <c r="P416" s="6">
        <v>0</v>
      </c>
      <c r="Q416" s="6">
        <v>0</v>
      </c>
      <c r="R416" s="6">
        <v>0</v>
      </c>
      <c r="S416" s="7">
        <v>264.5</v>
      </c>
      <c r="T416" s="7">
        <v>388.85</v>
      </c>
      <c r="U416">
        <v>319.99</v>
      </c>
      <c r="V416" s="8">
        <v>0</v>
      </c>
      <c r="W416" s="7">
        <v>0</v>
      </c>
      <c r="X416" s="7">
        <v>0</v>
      </c>
      <c r="Y416">
        <v>11.29</v>
      </c>
      <c r="Z416" s="8">
        <v>0</v>
      </c>
      <c r="AB416">
        <v>0</v>
      </c>
      <c r="AC416">
        <v>0</v>
      </c>
      <c r="AD416">
        <v>44</v>
      </c>
      <c r="AE416">
        <v>7</v>
      </c>
      <c r="AF416">
        <v>33</v>
      </c>
      <c r="AG416">
        <v>0</v>
      </c>
      <c r="AH416">
        <v>0</v>
      </c>
      <c r="AI416" t="inlineStr">
        <is>
          <t>False</t>
        </is>
      </c>
      <c r="AJ416" s="2" t="str">
        <f>HYPERLINK("https://keepa.com/#!product/1-B086967C9X", "https://keepa.com/#!product/1-B086967C9X")</f>
      </c>
      <c r="AK416" s="2" t="str">
        <f>HYPERLINK("https://camelcamelcamel.com/search?sq=B086967C9X", "https://camelcamelcamel.com/search?sq=B086967C9X")</f>
      </c>
      <c r="AL416" t="inlineStr">
        <is>
          <t/>
        </is>
      </c>
      <c r="AM416" s="10">
        <v>45417.11111111111</v>
      </c>
      <c r="AN416" t="inlineStr">
        <is>
          <t>Ubiquiti Networks UniFi Dream Machine Pro All-In-One Enterprise Security Gateway &amp; Network Appliance</t>
        </is>
      </c>
      <c r="AO416" t="inlineStr">
        <is>
          <t>100</t>
        </is>
      </c>
      <c r="AP416" t="inlineStr">
        <is>
          <t>TAKE ALL</t>
        </is>
      </c>
    </row>
    <row r="417">
      <c r="A417" t="inlineStr">
        <is>
          <t>B08698MJWT</t>
        </is>
      </c>
      <c r="B417" t="inlineStr">
        <is>
          <t>False</t>
        </is>
      </c>
      <c r="C417" t="inlineStr">
        <is>
          <t>B08698MJWT</t>
        </is>
      </c>
      <c r="D417" t="inlineStr">
        <is>
          <t>SHARPIE</t>
        </is>
      </c>
      <c r="E417" t="inlineStr">
        <is>
          <t>False</t>
        </is>
      </c>
      <c r="F417" t="inlineStr">
        <is>
          <t>SHARPIE S-Note Creative Markers, Assorted Colors, Chisel Tip, 24 Count</t>
        </is>
      </c>
      <c r="G417">
        <v>1</v>
      </c>
      <c r="H417" s="2" t="str">
        <f>HYPERLINK("https://www.amazon.com/dp/B08698MJWT", "https://www.amazon.com/dp/B08698MJWT")</f>
      </c>
      <c r="I417" s="3">
        <v>8918</v>
      </c>
      <c r="J417" s="12">
        <v>-3.78</v>
      </c>
      <c r="K417" s="13">
        <v>-0.27</v>
      </c>
      <c r="L417" s="13">
        <v>-0.3287</v>
      </c>
      <c r="M417" t="inlineStr">
        <is>
          <t>True</t>
        </is>
      </c>
      <c r="N417" t="inlineStr">
        <is>
          <t>Office Products</t>
        </is>
      </c>
      <c r="O417" s="6">
        <v>354</v>
      </c>
      <c r="P417" s="6">
        <v>1218</v>
      </c>
      <c r="Q417" s="6">
        <v>305</v>
      </c>
      <c r="R417" s="6">
        <v>311</v>
      </c>
      <c r="S417" s="7">
        <v>11.5</v>
      </c>
      <c r="T417" s="7">
        <v>14</v>
      </c>
      <c r="U417">
        <v>17.06</v>
      </c>
      <c r="V417" s="8">
        <v>0</v>
      </c>
      <c r="W417" s="7">
        <v>0</v>
      </c>
      <c r="X417" s="7">
        <v>0</v>
      </c>
      <c r="Y417">
        <v>0.6</v>
      </c>
      <c r="Z417" s="9">
        <v>1</v>
      </c>
      <c r="AB417">
        <v>0</v>
      </c>
      <c r="AC417">
        <v>0</v>
      </c>
      <c r="AD417">
        <v>37</v>
      </c>
      <c r="AE417">
        <v>7</v>
      </c>
      <c r="AF417">
        <v>28</v>
      </c>
      <c r="AG417">
        <v>1</v>
      </c>
      <c r="AH417">
        <v>3</v>
      </c>
      <c r="AI417" t="inlineStr">
        <is>
          <t>False</t>
        </is>
      </c>
      <c r="AJ417" s="2" t="str">
        <f>HYPERLINK("https://keepa.com/#!product/1-B08698MJWT", "https://keepa.com/#!product/1-B08698MJWT")</f>
      </c>
      <c r="AK417" s="2" t="str">
        <f>HYPERLINK("https://camelcamelcamel.com/search?sq=B08698MJWT", "https://camelcamelcamel.com/search?sq=B08698MJWT")</f>
      </c>
      <c r="AL417" t="inlineStr">
        <is>
          <t/>
        </is>
      </c>
      <c r="AM417" s="10">
        <v>45417.11111111111</v>
      </c>
      <c r="AN417" t="inlineStr">
        <is>
          <t>SHARPIE S-Note Creative Markers, Highlighters</t>
        </is>
      </c>
      <c r="AO417" t="inlineStr">
        <is>
          <t>6000</t>
        </is>
      </c>
      <c r="AP417" t="inlineStr">
        <is>
          <t>4000</t>
        </is>
      </c>
    </row>
    <row r="418">
      <c r="A418" t="inlineStr">
        <is>
          <t>B086H36NSM</t>
        </is>
      </c>
      <c r="B418" t="inlineStr">
        <is>
          <t>False</t>
        </is>
      </c>
      <c r="C418" t="inlineStr">
        <is>
          <t>B086H36NSM</t>
        </is>
      </c>
      <c r="D418" t="inlineStr">
        <is>
          <t>Scotchgard</t>
        </is>
      </c>
      <c r="E418" t="inlineStr">
        <is>
          <t>False</t>
        </is>
      </c>
      <c r="F418" t="inlineStr">
        <is>
          <t>Scotchgard Rug &amp; Carpet Protector, Carpet &amp; Rug Protector Blocks Stains During Spring and Summer Gatherings, Fabric Protector Makes Cleanup of Stains from Muddy Footprints Easier, 14 oz(Pack of 6)</t>
        </is>
      </c>
      <c r="G418">
        <v>1</v>
      </c>
      <c r="H418" s="2" t="str">
        <f>HYPERLINK("https://www.amazon.com/dp/B086H36NSM", "https://www.amazon.com/dp/B086H36NSM")</f>
      </c>
      <c r="I418" s="3">
        <v>5136</v>
      </c>
      <c r="J418" s="4">
        <v>4.58</v>
      </c>
      <c r="K418" s="5">
        <v>0.1018</v>
      </c>
      <c r="L418" s="5">
        <v>0.1843</v>
      </c>
      <c r="M418" t="inlineStr">
        <is>
          <t>True</t>
        </is>
      </c>
      <c r="N418" t="inlineStr">
        <is>
          <t>Health &amp; Household</t>
        </is>
      </c>
      <c r="O418" s="6">
        <v>5162</v>
      </c>
      <c r="P418" s="6">
        <v>5682</v>
      </c>
      <c r="Q418" s="6">
        <v>4281</v>
      </c>
      <c r="R418" s="6">
        <v>273</v>
      </c>
      <c r="S418" s="7">
        <v>24.85</v>
      </c>
      <c r="T418" s="7">
        <v>44.98</v>
      </c>
      <c r="U418">
        <v>46</v>
      </c>
      <c r="V418" s="8">
        <v>0</v>
      </c>
      <c r="W418" s="7">
        <v>0</v>
      </c>
      <c r="X418" s="7">
        <v>0</v>
      </c>
      <c r="Y418">
        <v>6.64</v>
      </c>
      <c r="Z418" s="9">
        <v>1</v>
      </c>
      <c r="AB418">
        <v>0</v>
      </c>
      <c r="AC418">
        <v>0</v>
      </c>
      <c r="AD418">
        <v>9</v>
      </c>
      <c r="AE418">
        <v>2</v>
      </c>
      <c r="AF418">
        <v>7</v>
      </c>
      <c r="AG418">
        <v>1</v>
      </c>
      <c r="AH418">
        <v>3</v>
      </c>
      <c r="AI418" t="inlineStr">
        <is>
          <t>True</t>
        </is>
      </c>
      <c r="AJ418" s="2" t="str">
        <f>HYPERLINK("https://keepa.com/#!product/1-B086H36NSM", "https://keepa.com/#!product/1-B086H36NSM")</f>
      </c>
      <c r="AK418" s="2" t="str">
        <f>HYPERLINK("https://camelcamelcamel.com/search?sq=B086H36NSM", "https://camelcamelcamel.com/search?sq=B086H36NSM")</f>
      </c>
      <c r="AL418" t="inlineStr">
        <is>
          <t/>
        </is>
      </c>
      <c r="AM418" s="10">
        <v>45417.11111111111</v>
      </c>
      <c r="AN418" t="inlineStr">
        <is>
          <t>Scotchgard Rug &amp; Carpet Protector, Carpet &amp; Rug Protector Blocks Stains During Spring and Summer Gatherings, Fabric Protector Makes Cleanup of Stains from Muddy Footprints Easier, 14 oz(Pack of 6)</t>
        </is>
      </c>
      <c r="AO418" t="inlineStr">
        <is>
          <t>1000</t>
        </is>
      </c>
      <c r="AP418" t="inlineStr">
        <is>
          <t>500</t>
        </is>
      </c>
    </row>
    <row r="419">
      <c r="A419" t="inlineStr">
        <is>
          <t>B086JQGX27</t>
        </is>
      </c>
      <c r="B419" t="inlineStr">
        <is>
          <t>False</t>
        </is>
      </c>
      <c r="C419" t="inlineStr">
        <is>
          <t>B086JQGX27</t>
        </is>
      </c>
      <c r="D419" t="inlineStr">
        <is>
          <t>MAXIMILIAN</t>
        </is>
      </c>
      <c r="E419" t="inlineStr">
        <is>
          <t>False</t>
        </is>
      </c>
      <c r="F419" t="inlineStr">
        <is>
          <t>Keratin Shampoo And Conditioner For Color Treated Hair- Sulfate Free Hair Care Treatment For Dry, Curly, Blonde, Damaged Women Hair- Clarifying And Protective Keratin Complex(2x16.9 Fl Oz)</t>
        </is>
      </c>
      <c r="G419">
        <v>1</v>
      </c>
      <c r="H419" s="2" t="str">
        <f>HYPERLINK("https://www.amazon.com/dp/B086JQGX27", "https://www.amazon.com/dp/B086JQGX27")</f>
      </c>
      <c r="I419" s="14">
        <v>5</v>
      </c>
      <c r="J419" s="11">
        <v>1.55</v>
      </c>
      <c r="K419" s="5">
        <v>0.0581</v>
      </c>
      <c r="L419" s="5">
        <v>0.1033</v>
      </c>
      <c r="M419" t="inlineStr">
        <is>
          <t>True</t>
        </is>
      </c>
      <c r="N419" t="inlineStr">
        <is>
          <t>Beauty &amp; Personal Care</t>
        </is>
      </c>
      <c r="O419" s="6">
        <v>568370</v>
      </c>
      <c r="P419" s="6">
        <v>166947</v>
      </c>
      <c r="Q419" s="6">
        <v>11499</v>
      </c>
      <c r="R419" s="6">
        <v>119</v>
      </c>
      <c r="S419" s="7">
        <v>15</v>
      </c>
      <c r="T419" s="7">
        <v>26.67</v>
      </c>
      <c r="U419">
        <v>28.19</v>
      </c>
      <c r="V419" s="8">
        <v>0</v>
      </c>
      <c r="W419" s="7">
        <v>0</v>
      </c>
      <c r="X419" s="7">
        <v>0</v>
      </c>
      <c r="Y419">
        <v>2.4</v>
      </c>
      <c r="Z419" s="8">
        <v>0</v>
      </c>
      <c r="AB419">
        <v>0</v>
      </c>
      <c r="AC419">
        <v>0</v>
      </c>
      <c r="AD419">
        <v>14</v>
      </c>
      <c r="AE419">
        <v>12</v>
      </c>
      <c r="AF419">
        <v>2</v>
      </c>
      <c r="AG419">
        <v>5</v>
      </c>
      <c r="AH419">
        <v>0</v>
      </c>
      <c r="AI419" t="inlineStr">
        <is>
          <t>False</t>
        </is>
      </c>
      <c r="AJ419" s="2" t="str">
        <f>HYPERLINK("https://keepa.com/#!product/1-B086JQGX27", "https://keepa.com/#!product/1-B086JQGX27")</f>
      </c>
      <c r="AK419" s="2" t="str">
        <f>HYPERLINK("https://camelcamelcamel.com/search?sq=B086JQGX27", "https://camelcamelcamel.com/search?sq=B086JQGX27")</f>
      </c>
      <c r="AL419" t="inlineStr">
        <is>
          <t/>
        </is>
      </c>
      <c r="AM419" s="10">
        <v>45417.11111111111</v>
      </c>
      <c r="AN419" t="inlineStr">
        <is>
          <t>Keratin Shampoo And Conditioner For Color Treated Hair- Sulfate Free Hair Care Treatment For Dry, Curly, Blonde, Damaged Women Hair- Clarifying And Protective Keratin Complex(2x16.9 Fl Oz)</t>
        </is>
      </c>
      <c r="AO419" t="inlineStr">
        <is>
          <t>1000</t>
        </is>
      </c>
      <c r="AP419" t="inlineStr">
        <is>
          <t>TAKE ALL</t>
        </is>
      </c>
    </row>
    <row r="420">
      <c r="A420" t="inlineStr">
        <is>
          <t>B086MHYC1R</t>
        </is>
      </c>
      <c r="B420" t="inlineStr">
        <is>
          <t>False</t>
        </is>
      </c>
      <c r="C420" t="inlineStr">
        <is>
          <t>B086MHYC1R</t>
        </is>
      </c>
      <c r="D420" t="inlineStr">
        <is>
          <t>DEWALT</t>
        </is>
      </c>
      <c r="E420" t="inlineStr">
        <is>
          <t>True</t>
        </is>
      </c>
      <c r="F420" t="inlineStr">
        <is>
          <t>DEWALT FLEXVOLT 60V MAX* Circular Saw with Brake Kit, 7-1/4-Inch (DCS578X2)</t>
        </is>
      </c>
      <c r="G420">
        <v>1</v>
      </c>
      <c r="H420" s="2" t="str">
        <f>HYPERLINK("https://www.amazon.com/dp/B086MHYC1R", "https://www.amazon.com/dp/B086MHYC1R")</f>
      </c>
      <c r="I420" s="3">
        <v>238</v>
      </c>
      <c r="J420" s="4">
        <v>42.93</v>
      </c>
      <c r="K420" s="5">
        <v>0.10060000000000001</v>
      </c>
      <c r="L420" s="5">
        <v>0.1363</v>
      </c>
      <c r="M420" t="inlineStr">
        <is>
          <t>True</t>
        </is>
      </c>
      <c r="N420" t="inlineStr">
        <is>
          <t>Tools &amp; Home Improvement</t>
        </is>
      </c>
      <c r="O420" s="6">
        <v>40779</v>
      </c>
      <c r="P420" s="6">
        <v>80083</v>
      </c>
      <c r="Q420" s="6">
        <v>22172</v>
      </c>
      <c r="R420" s="6">
        <v>182</v>
      </c>
      <c r="S420" s="7">
        <v>315</v>
      </c>
      <c r="T420" s="7">
        <v>426.74</v>
      </c>
      <c r="U420">
        <v>489.53</v>
      </c>
      <c r="V420" s="8">
        <v>0</v>
      </c>
      <c r="W420" s="7">
        <v>0</v>
      </c>
      <c r="X420" s="7">
        <v>0</v>
      </c>
      <c r="Y420">
        <v>19.75</v>
      </c>
      <c r="Z420" s="8">
        <v>0</v>
      </c>
      <c r="AB420">
        <v>0</v>
      </c>
      <c r="AC420">
        <v>0</v>
      </c>
      <c r="AD420">
        <v>11</v>
      </c>
      <c r="AE420">
        <v>2</v>
      </c>
      <c r="AF420">
        <v>9</v>
      </c>
      <c r="AG420">
        <v>2</v>
      </c>
      <c r="AH420">
        <v>0</v>
      </c>
      <c r="AI420" t="inlineStr">
        <is>
          <t>True</t>
        </is>
      </c>
      <c r="AJ420" s="2" t="str">
        <f>HYPERLINK("https://keepa.com/#!product/1-B086MHYC1R", "https://keepa.com/#!product/1-B086MHYC1R")</f>
      </c>
      <c r="AK420" s="2" t="str">
        <f>HYPERLINK("https://camelcamelcamel.com/search?sq=B086MHYC1R", "https://camelcamelcamel.com/search?sq=B086MHYC1R")</f>
      </c>
      <c r="AL420" t="inlineStr">
        <is>
          <t/>
        </is>
      </c>
      <c r="AM420" s="10">
        <v>45417.11111111111</v>
      </c>
      <c r="AN420" t="inlineStr">
        <is>
          <t>DEWALT FLEXVOLT 60V MAX* Circular Saw with Brake Kit, 7-1/4-Inch (DCS578X2)</t>
        </is>
      </c>
      <c r="AO420" t="inlineStr">
        <is>
          <t>108</t>
        </is>
      </c>
      <c r="AP420" t="inlineStr">
        <is>
          <t>TAKE ALL</t>
        </is>
      </c>
    </row>
    <row r="421">
      <c r="A421" t="inlineStr">
        <is>
          <t>B086NQBVC3</t>
        </is>
      </c>
      <c r="B421" t="inlineStr">
        <is>
          <t>False</t>
        </is>
      </c>
      <c r="C421" t="inlineStr">
        <is>
          <t>B086NQBVC3</t>
        </is>
      </c>
      <c r="D421" t="inlineStr">
        <is>
          <t>WIPESPLUS</t>
        </is>
      </c>
      <c r="E421" t="inlineStr">
        <is>
          <t>False</t>
        </is>
      </c>
      <c r="F421" t="inlineStr">
        <is>
          <t>WipesPlus Disinfecting Wipes Bulk (960 Total Wipes) - 12 Packs of Industrial Strength Sanitizing Wipes - 80 Disinfectant Wipes per Pack - Made in USA</t>
        </is>
      </c>
      <c r="G421">
        <v>960</v>
      </c>
      <c r="H421" s="2" t="str">
        <f>HYPERLINK("https://www.amazon.com/dp/B086NQBVC3", "https://www.amazon.com/dp/B086NQBVC3")</f>
      </c>
      <c r="I421" s="3">
        <v>317</v>
      </c>
      <c r="J421" s="12">
        <v>-13909.28</v>
      </c>
      <c r="K421" s="13">
        <v>-467.5388</v>
      </c>
      <c r="L421" s="13">
        <v>-0.9992</v>
      </c>
      <c r="M421" t="inlineStr">
        <is>
          <t>True</t>
        </is>
      </c>
      <c r="N421" t="inlineStr">
        <is>
          <t>Health &amp; Household</t>
        </is>
      </c>
      <c r="O421" s="6">
        <v>50627</v>
      </c>
      <c r="P421" s="6">
        <v>130855</v>
      </c>
      <c r="Q421" s="6">
        <v>37921</v>
      </c>
      <c r="R421" s="6">
        <v>100</v>
      </c>
      <c r="S421" s="7">
        <v>14.5</v>
      </c>
      <c r="T421" s="7">
        <v>29.75</v>
      </c>
      <c r="U421">
        <v>52.97</v>
      </c>
      <c r="V421" s="8">
        <v>0</v>
      </c>
      <c r="W421" s="7">
        <v>0</v>
      </c>
      <c r="X421" s="7">
        <v>0</v>
      </c>
      <c r="Y421">
        <v>12.75</v>
      </c>
      <c r="Z421" s="8">
        <v>0</v>
      </c>
      <c r="AB421">
        <v>0</v>
      </c>
      <c r="AC421">
        <v>0</v>
      </c>
      <c r="AD421">
        <v>12</v>
      </c>
      <c r="AE421">
        <v>4</v>
      </c>
      <c r="AF421">
        <v>8</v>
      </c>
      <c r="AG421">
        <v>3</v>
      </c>
      <c r="AH421">
        <v>0</v>
      </c>
      <c r="AI421" t="inlineStr">
        <is>
          <t>False</t>
        </is>
      </c>
      <c r="AJ421" s="2" t="str">
        <f>HYPERLINK("https://keepa.com/#!product/1-B086NQBVC3", "https://keepa.com/#!product/1-B086NQBVC3")</f>
      </c>
      <c r="AK421" s="2" t="str">
        <f>HYPERLINK("https://camelcamelcamel.com/search?sq=B086NQBVC3", "https://camelcamelcamel.com/search?sq=B086NQBVC3")</f>
      </c>
      <c r="AL421" t="inlineStr">
        <is>
          <t/>
        </is>
      </c>
      <c r="AM421" s="10">
        <v>45417.11111111111</v>
      </c>
      <c r="AN421" t="inlineStr">
        <is>
          <t>Disinfecting Wipes Bulk (960 Total Wipes) - 12 Packs of Industrial Strength Sanitizing Wipes - 80 Disinfectant Wipes per Pack - Made in USA</t>
        </is>
      </c>
      <c r="AO421" t="inlineStr">
        <is>
          <t>500</t>
        </is>
      </c>
      <c r="AP421" t="inlineStr">
        <is>
          <t>TAKE ALL</t>
        </is>
      </c>
    </row>
    <row r="422">
      <c r="A422" t="inlineStr">
        <is>
          <t>B086PJ4BY1</t>
        </is>
      </c>
      <c r="B422" t="inlineStr">
        <is>
          <t>False</t>
        </is>
      </c>
      <c r="C422" t="inlineStr">
        <is>
          <t>B086PJ4BY1</t>
        </is>
      </c>
      <c r="D422" t="inlineStr">
        <is>
          <t>X-Acto</t>
        </is>
      </c>
      <c r="E422" t="inlineStr">
        <is>
          <t>False</t>
        </is>
      </c>
      <c r="F422" t="inlineStr">
        <is>
          <t>X-ACTO® Pencil Sharpener, Teacher Pro® Electric Pencil Sharpener, With Auto Adjust Dial, SafeStart® Motor, SmartStop®, Black, 1 Count</t>
        </is>
      </c>
      <c r="G422">
        <v>1</v>
      </c>
      <c r="H422" s="2" t="str">
        <f>HYPERLINK("https://www.amazon.com/dp/B086PJ4BY1", "https://www.amazon.com/dp/B086PJ4BY1")</f>
      </c>
      <c r="I422" s="3">
        <v>1352</v>
      </c>
      <c r="J422" s="11">
        <v>3.16</v>
      </c>
      <c r="K422" s="5">
        <v>0.10400000000000001</v>
      </c>
      <c r="L422" s="5">
        <v>0.2107</v>
      </c>
      <c r="M422" t="inlineStr">
        <is>
          <t>True</t>
        </is>
      </c>
      <c r="N422" t="inlineStr">
        <is>
          <t>Office Products</t>
        </is>
      </c>
      <c r="O422" s="6">
        <v>4263</v>
      </c>
      <c r="P422" s="6">
        <v>4667</v>
      </c>
      <c r="Q422" s="6">
        <v>2181</v>
      </c>
      <c r="R422" s="6">
        <v>245</v>
      </c>
      <c r="S422" s="7">
        <v>15</v>
      </c>
      <c r="T422" s="7">
        <v>30.39</v>
      </c>
      <c r="U422">
        <v>37.03</v>
      </c>
      <c r="V422" s="8">
        <v>0</v>
      </c>
      <c r="W422" s="7">
        <v>0</v>
      </c>
      <c r="X422" s="7">
        <v>0</v>
      </c>
      <c r="Y422">
        <v>4.72</v>
      </c>
      <c r="Z422" s="9">
        <v>1</v>
      </c>
      <c r="AB422">
        <v>0</v>
      </c>
      <c r="AC422">
        <v>0</v>
      </c>
      <c r="AD422">
        <v>129</v>
      </c>
      <c r="AE422">
        <v>2</v>
      </c>
      <c r="AF422">
        <v>125</v>
      </c>
      <c r="AG422">
        <v>1</v>
      </c>
      <c r="AH422">
        <v>1</v>
      </c>
      <c r="AI422" t="inlineStr">
        <is>
          <t>False</t>
        </is>
      </c>
      <c r="AJ422" s="2" t="str">
        <f>HYPERLINK("https://keepa.com/#!product/1-B086PJ4BY1", "https://keepa.com/#!product/1-B086PJ4BY1")</f>
      </c>
      <c r="AK422" s="2" t="str">
        <f>HYPERLINK("https://camelcamelcamel.com/search?sq=B086PJ4BY1", "https://camelcamelcamel.com/search?sq=B086PJ4BY1")</f>
      </c>
      <c r="AL422" t="inlineStr">
        <is>
          <t/>
        </is>
      </c>
      <c r="AM422" s="10">
        <v>45417.11111111111</v>
      </c>
      <c r="AN422" t="inlineStr">
        <is>
          <t>X-ACTOÂ® Pencil Sharpener, Teacher ProÂ® Electric Pencil Sharpener, With Auto Adjust Dial, SafeStartÂ® Motor, SmartStopÂ®, Black, 1 Count</t>
        </is>
      </c>
      <c r="AO422" t="inlineStr">
        <is>
          <t>280</t>
        </is>
      </c>
      <c r="AP422" t="inlineStr">
        <is>
          <t>140</t>
        </is>
      </c>
    </row>
    <row r="423">
      <c r="A423" t="inlineStr">
        <is>
          <t>B086X1RDT7</t>
        </is>
      </c>
      <c r="B423" t="inlineStr">
        <is>
          <t>False</t>
        </is>
      </c>
      <c r="C423" t="inlineStr">
        <is>
          <t>B086X1RDT7</t>
        </is>
      </c>
      <c r="D423" t="inlineStr">
        <is>
          <t>Optimum Nutrition</t>
        </is>
      </c>
      <c r="E423" t="inlineStr">
        <is>
          <t>False</t>
        </is>
      </c>
      <c r="F423" t="inlineStr">
        <is>
          <t>Optimum Nutrition Gold Standard 100% Whey Protein Powder, Extreme Milk Chocolate, 5 Pound (Packaging May Vary)</t>
        </is>
      </c>
      <c r="G423">
        <v>1</v>
      </c>
      <c r="H423" s="2" t="str">
        <f>HYPERLINK("https://www.amazon.com/dp/B086X1RDT7", "https://www.amazon.com/dp/B086X1RDT7")</f>
      </c>
      <c r="I423" s="3">
        <v>114599</v>
      </c>
      <c r="J423" s="4">
        <v>18.37</v>
      </c>
      <c r="K423" s="5">
        <v>0.2041</v>
      </c>
      <c r="L423" s="15">
        <v>0.3674</v>
      </c>
      <c r="M423" t="inlineStr">
        <is>
          <t>True</t>
        </is>
      </c>
      <c r="N423" t="inlineStr">
        <is>
          <t>Health &amp; Household</t>
        </is>
      </c>
      <c r="O423" s="6">
        <v>12</v>
      </c>
      <c r="P423" s="6">
        <v>14983</v>
      </c>
      <c r="Q423" s="6">
        <v>3</v>
      </c>
      <c r="R423" s="6">
        <v>155</v>
      </c>
      <c r="S423" s="7">
        <v>50</v>
      </c>
      <c r="T423" s="7">
        <v>89.99</v>
      </c>
      <c r="U423">
        <v>84.58</v>
      </c>
      <c r="V423" s="8">
        <v>0</v>
      </c>
      <c r="W423" s="7">
        <v>0</v>
      </c>
      <c r="X423" s="7">
        <v>0</v>
      </c>
      <c r="Y423">
        <v>5.73</v>
      </c>
      <c r="Z423" s="9">
        <v>0.38</v>
      </c>
      <c r="AB423">
        <v>0</v>
      </c>
      <c r="AC423">
        <v>0</v>
      </c>
      <c r="AD423">
        <v>7</v>
      </c>
      <c r="AE423">
        <v>0</v>
      </c>
      <c r="AF423">
        <v>7</v>
      </c>
      <c r="AG423">
        <v>1</v>
      </c>
      <c r="AH423">
        <v>38</v>
      </c>
      <c r="AI423" t="inlineStr">
        <is>
          <t>False</t>
        </is>
      </c>
      <c r="AJ423" s="2" t="str">
        <f>HYPERLINK("https://keepa.com/#!product/1-B086X1RDT7", "https://keepa.com/#!product/1-B086X1RDT7")</f>
      </c>
      <c r="AK423" s="2" t="str">
        <f>HYPERLINK("https://camelcamelcamel.com/search?sq=B086X1RDT7", "https://camelcamelcamel.com/search?sq=B086X1RDT7")</f>
      </c>
      <c r="AL423" t="inlineStr">
        <is>
          <t/>
        </is>
      </c>
      <c r="AM423" s="10">
        <v>45417.11111111111</v>
      </c>
      <c r="AN423" t="inlineStr">
        <is>
          <t>Optimum Nutrition Gold Standard 100% Whey Protein Powder, Extreme Milk Chocolate, 5 Pound (Packaging May Vary)</t>
        </is>
      </c>
      <c r="AO423" t="inlineStr">
        <is>
          <t>100</t>
        </is>
      </c>
      <c r="AP423" t="inlineStr">
        <is>
          <t>TAKE ALL</t>
        </is>
      </c>
    </row>
    <row r="424">
      <c r="A424" t="inlineStr">
        <is>
          <t>B0872BR9PZ</t>
        </is>
      </c>
      <c r="B424" t="inlineStr">
        <is>
          <t>False</t>
        </is>
      </c>
      <c r="C424" t="inlineStr">
        <is>
          <t>B0872BR9PZ</t>
        </is>
      </c>
      <c r="D424" t="inlineStr">
        <is>
          <t>FOCO</t>
        </is>
      </c>
      <c r="E424" t="inlineStr">
        <is>
          <t>False</t>
        </is>
      </c>
      <c r="F424" t="inlineStr">
        <is>
          <t>FOCO NFL Green Bay Packers Neck Gaiter, One Size, Big Logo</t>
        </is>
      </c>
      <c r="G424">
        <v>1</v>
      </c>
      <c r="H424" s="2" t="str">
        <f>HYPERLINK("https://www.amazon.com/dp/B0872BR9PZ", "https://www.amazon.com/dp/B0872BR9PZ")</f>
      </c>
      <c r="I424" s="3">
        <v>777</v>
      </c>
      <c r="J424" s="4">
        <v>4.95</v>
      </c>
      <c r="K424" s="15">
        <v>0.33020000000000005</v>
      </c>
      <c r="L424" s="15">
        <v>0.825</v>
      </c>
      <c r="M424" t="inlineStr">
        <is>
          <t>True</t>
        </is>
      </c>
      <c r="N424" t="inlineStr">
        <is>
          <t>Sports &amp; Outdoors</t>
        </is>
      </c>
      <c r="O424" s="6">
        <v>8356</v>
      </c>
      <c r="P424" s="6">
        <v>5182</v>
      </c>
      <c r="Q424" s="6">
        <v>490</v>
      </c>
      <c r="R424" s="6">
        <v>181</v>
      </c>
      <c r="S424" s="7">
        <v>6</v>
      </c>
      <c r="T424" s="7">
        <v>14.99</v>
      </c>
      <c r="U424">
        <v>13.71</v>
      </c>
      <c r="V424" s="8">
        <v>0</v>
      </c>
      <c r="W424" s="7">
        <v>0</v>
      </c>
      <c r="X424" s="7">
        <v>0</v>
      </c>
      <c r="Y424">
        <v>0.2</v>
      </c>
      <c r="Z424" s="9">
        <v>1</v>
      </c>
      <c r="AB424">
        <v>0</v>
      </c>
      <c r="AC424">
        <v>0</v>
      </c>
      <c r="AD424">
        <v>1</v>
      </c>
      <c r="AE424">
        <v>1</v>
      </c>
      <c r="AF424">
        <v>0</v>
      </c>
      <c r="AG424">
        <v>1</v>
      </c>
      <c r="AH424">
        <v>139</v>
      </c>
      <c r="AI424" t="inlineStr">
        <is>
          <t>False</t>
        </is>
      </c>
      <c r="AJ424" s="2" t="str">
        <f>HYPERLINK("https://keepa.com/#!product/1-B0872BR9PZ", "https://keepa.com/#!product/1-B0872BR9PZ")</f>
      </c>
      <c r="AK424" s="2" t="str">
        <f>HYPERLINK("https://camelcamelcamel.com/search?sq=B0872BR9PZ", "https://camelcamelcamel.com/search?sq=B0872BR9PZ")</f>
      </c>
      <c r="AL424" t="inlineStr">
        <is>
          <t/>
        </is>
      </c>
      <c r="AM424" s="10">
        <v>45417.11111111111</v>
      </c>
      <c r="AN424" t="inlineStr">
        <is>
          <t>FOCO NFL Big Logo Multi-Use Neck Gaiter</t>
        </is>
      </c>
      <c r="AO424" t="inlineStr">
        <is>
          <t>600</t>
        </is>
      </c>
      <c r="AP424" t="inlineStr">
        <is>
          <t>300</t>
        </is>
      </c>
    </row>
    <row r="425">
      <c r="A425" t="inlineStr">
        <is>
          <t>B0872C5KZP</t>
        </is>
      </c>
      <c r="B425" t="inlineStr">
        <is>
          <t>False</t>
        </is>
      </c>
      <c r="C425" t="inlineStr">
        <is>
          <t>B0872C5KZP</t>
        </is>
      </c>
      <c r="D425" t="inlineStr">
        <is>
          <t>FOCO</t>
        </is>
      </c>
      <c r="E425" t="inlineStr">
        <is>
          <t>False</t>
        </is>
      </c>
      <c r="F425" t="inlineStr">
        <is>
          <t>FOCO NFL New York Jets Neck Gaiter, One Size, Big Logo</t>
        </is>
      </c>
      <c r="G425">
        <v>1</v>
      </c>
      <c r="H425" s="2" t="str">
        <f>HYPERLINK("https://www.amazon.com/dp/B0872C5KZP", "https://www.amazon.com/dp/B0872C5KZP")</f>
      </c>
      <c r="I425" s="3">
        <v>777</v>
      </c>
      <c r="J425" s="4">
        <v>4.54</v>
      </c>
      <c r="K425" s="15">
        <v>0.31329999999999997</v>
      </c>
      <c r="L425" s="15">
        <v>0.7567</v>
      </c>
      <c r="M425" t="inlineStr">
        <is>
          <t>True</t>
        </is>
      </c>
      <c r="N425" t="inlineStr">
        <is>
          <t>Sports &amp; Outdoors</t>
        </is>
      </c>
      <c r="O425" s="6">
        <v>8356</v>
      </c>
      <c r="P425" s="6">
        <v>5206</v>
      </c>
      <c r="Q425" s="6">
        <v>490</v>
      </c>
      <c r="R425" s="6">
        <v>184</v>
      </c>
      <c r="S425" s="7">
        <v>6</v>
      </c>
      <c r="T425" s="7">
        <v>14.49</v>
      </c>
      <c r="U425">
        <v>13.99</v>
      </c>
      <c r="V425" s="8">
        <v>0</v>
      </c>
      <c r="W425" s="7">
        <v>0</v>
      </c>
      <c r="X425" s="7">
        <v>0</v>
      </c>
      <c r="Y425">
        <v>0.16</v>
      </c>
      <c r="Z425" s="9">
        <v>1</v>
      </c>
      <c r="AB425">
        <v>0</v>
      </c>
      <c r="AC425">
        <v>0</v>
      </c>
      <c r="AD425">
        <v>1</v>
      </c>
      <c r="AE425">
        <v>1</v>
      </c>
      <c r="AF425">
        <v>0</v>
      </c>
      <c r="AG425">
        <v>1</v>
      </c>
      <c r="AH425">
        <v>139</v>
      </c>
      <c r="AI425" t="inlineStr">
        <is>
          <t>False</t>
        </is>
      </c>
      <c r="AJ425" s="2" t="str">
        <f>HYPERLINK("https://keepa.com/#!product/1-B0872C5KZP", "https://keepa.com/#!product/1-B0872C5KZP")</f>
      </c>
      <c r="AK425" s="2" t="str">
        <f>HYPERLINK("https://camelcamelcamel.com/search?sq=B0872C5KZP", "https://camelcamelcamel.com/search?sq=B0872C5KZP")</f>
      </c>
      <c r="AL425" t="inlineStr">
        <is>
          <t/>
        </is>
      </c>
      <c r="AM425" s="10">
        <v>45417.11111111111</v>
      </c>
      <c r="AN425" t="inlineStr">
        <is>
          <t>FOCO NFL Big Logo Multi-Use Neck Gaite</t>
        </is>
      </c>
      <c r="AO425" t="inlineStr">
        <is>
          <t>426</t>
        </is>
      </c>
      <c r="AP425" t="inlineStr">
        <is>
          <t>TAKE ALL</t>
        </is>
      </c>
    </row>
    <row r="426">
      <c r="A426" t="inlineStr">
        <is>
          <t>B0874P7Z38</t>
        </is>
      </c>
      <c r="B426" t="inlineStr">
        <is>
          <t>False</t>
        </is>
      </c>
      <c r="C426" t="inlineStr">
        <is>
          <t>B0874P7Z38</t>
        </is>
      </c>
      <c r="D426" t="inlineStr">
        <is>
          <t>Wet Brush</t>
        </is>
      </c>
      <c r="E426" t="inlineStr">
        <is>
          <t>False</t>
        </is>
      </c>
      <c r="F426" t="inlineStr">
        <is>
          <t>Wet Brush Disney Original Detangler Brush Princess Wholehearted - Jasmine, Dark Purple - All Hair Types - Ultra-Soft IntelliFlex Bristles Glide Through Tangles with Ease</t>
        </is>
      </c>
      <c r="G426">
        <v>1</v>
      </c>
      <c r="H426" s="2" t="str">
        <f>HYPERLINK("https://www.amazon.com/dp/B0874P7Z38", "https://www.amazon.com/dp/B0874P7Z38")</f>
      </c>
      <c r="I426" s="3">
        <v>7919</v>
      </c>
      <c r="J426" s="4">
        <v>6.59</v>
      </c>
      <c r="K426" s="15">
        <v>0.3065</v>
      </c>
      <c r="L426" s="15">
        <v>0.8503000000000001</v>
      </c>
      <c r="M426" t="inlineStr">
        <is>
          <t>True</t>
        </is>
      </c>
      <c r="N426" t="inlineStr">
        <is>
          <t>Beauty &amp; Personal Care</t>
        </is>
      </c>
      <c r="O426" s="6">
        <v>2009</v>
      </c>
      <c r="P426" s="6">
        <v>2278</v>
      </c>
      <c r="Q426" s="6">
        <v>1308</v>
      </c>
      <c r="R426" s="6">
        <v>267</v>
      </c>
      <c r="S426" s="7">
        <v>7.75</v>
      </c>
      <c r="T426" s="7">
        <v>21.5</v>
      </c>
      <c r="U426">
        <v>17.18</v>
      </c>
      <c r="V426" s="8">
        <v>0</v>
      </c>
      <c r="W426" s="7">
        <v>0</v>
      </c>
      <c r="X426" s="7">
        <v>0</v>
      </c>
      <c r="Y426">
        <v>0.29</v>
      </c>
      <c r="Z426" s="9">
        <v>0.02</v>
      </c>
      <c r="AB426">
        <v>0</v>
      </c>
      <c r="AC426">
        <v>0</v>
      </c>
      <c r="AD426">
        <v>6</v>
      </c>
      <c r="AE426">
        <v>2</v>
      </c>
      <c r="AF426">
        <v>4</v>
      </c>
      <c r="AG426">
        <v>0</v>
      </c>
      <c r="AH426">
        <v>44</v>
      </c>
      <c r="AI426" t="inlineStr">
        <is>
          <t>False</t>
        </is>
      </c>
      <c r="AJ426" s="2" t="str">
        <f>HYPERLINK("https://keepa.com/#!product/1-B0874P7Z38", "https://keepa.com/#!product/1-B0874P7Z38")</f>
      </c>
      <c r="AK426" s="2" t="str">
        <f>HYPERLINK("https://camelcamelcamel.com/search?sq=B0874P7Z38", "https://camelcamelcamel.com/search?sq=B0874P7Z38")</f>
      </c>
      <c r="AL426" t="inlineStr">
        <is>
          <t/>
        </is>
      </c>
      <c r="AM426" s="10">
        <v>45417.11111111111</v>
      </c>
      <c r="AN426" t="inlineStr">
        <is>
          <t>Wet Brush Disney Original Detangler Brush Princess Wholehearted - Jasmine, Dark Purple - All Hair Types - Ultra-Soft IntelliFlex Bristles Glide Through Tangles with Ease</t>
        </is>
      </c>
      <c r="AO426" t="inlineStr">
        <is>
          <t>3000</t>
        </is>
      </c>
      <c r="AP426" t="inlineStr">
        <is>
          <t>TAKE ALL</t>
        </is>
      </c>
    </row>
    <row r="427">
      <c r="A427" t="inlineStr">
        <is>
          <t>B087TGVJYM</t>
        </is>
      </c>
      <c r="B427" t="inlineStr">
        <is>
          <t>False</t>
        </is>
      </c>
      <c r="C427" t="inlineStr">
        <is>
          <t>B087TGVJYM</t>
        </is>
      </c>
      <c r="D427" t="inlineStr">
        <is>
          <t>Holy Stone</t>
        </is>
      </c>
      <c r="E427" t="inlineStr">
        <is>
          <t>False</t>
        </is>
      </c>
      <c r="F427" t="inlineStr">
        <is>
          <t>Holy Stone HS440 Foldable FPV Drone with 1080P WiFi Camera for Adult Beginners and Kids; Voice Gesture Control RC Quadcopter with Modular Battery for long flight time, Auto Hover, Carrying Case</t>
        </is>
      </c>
      <c r="G427">
        <v>1</v>
      </c>
      <c r="H427" s="2" t="str">
        <f>HYPERLINK("https://www.amazon.com/dp/B087TGVJYM", "https://www.amazon.com/dp/B087TGVJYM")</f>
      </c>
      <c r="I427" s="3">
        <v>746</v>
      </c>
      <c r="J427" s="4">
        <v>34.4</v>
      </c>
      <c r="K427" s="15">
        <v>0.34409999999999996</v>
      </c>
      <c r="L427" s="15">
        <v>0.7644</v>
      </c>
      <c r="M427" t="inlineStr">
        <is>
          <t>True</t>
        </is>
      </c>
      <c r="N427" t="inlineStr">
        <is>
          <t>Toys &amp; Games</t>
        </is>
      </c>
      <c r="O427" s="6">
        <v>13061</v>
      </c>
      <c r="P427" s="6">
        <v>9739</v>
      </c>
      <c r="Q427" s="6">
        <v>3113</v>
      </c>
      <c r="R427" s="6">
        <v>264</v>
      </c>
      <c r="S427" s="7">
        <v>45</v>
      </c>
      <c r="T427" s="7">
        <v>99.98</v>
      </c>
      <c r="U427">
        <v>94.62</v>
      </c>
      <c r="V427" s="8">
        <v>0</v>
      </c>
      <c r="W427" s="7">
        <v>0</v>
      </c>
      <c r="X427" s="7">
        <v>0</v>
      </c>
      <c r="Y427">
        <v>1.43</v>
      </c>
      <c r="Z427" s="8">
        <v>0</v>
      </c>
      <c r="AB427">
        <v>0</v>
      </c>
      <c r="AC427">
        <v>0</v>
      </c>
      <c r="AD427">
        <v>3</v>
      </c>
      <c r="AE427">
        <v>2</v>
      </c>
      <c r="AF427">
        <v>1</v>
      </c>
      <c r="AG427">
        <v>1</v>
      </c>
      <c r="AH427">
        <v>0</v>
      </c>
      <c r="AI427" t="inlineStr">
        <is>
          <t>True</t>
        </is>
      </c>
      <c r="AJ427" s="2" t="str">
        <f>HYPERLINK("https://keepa.com/#!product/1-B087TGVJYM", "https://keepa.com/#!product/1-B087TGVJYM")</f>
      </c>
      <c r="AK427" s="2" t="str">
        <f>HYPERLINK("https://camelcamelcamel.com/search?sq=B087TGVJYM", "https://camelcamelcamel.com/search?sq=B087TGVJYM")</f>
      </c>
      <c r="AL427" t="inlineStr">
        <is>
          <t/>
        </is>
      </c>
      <c r="AM427" s="10">
        <v>45417.11111111111</v>
      </c>
      <c r="AN427" t="inlineStr">
        <is>
          <t>Holy Stone HS440 Foldable FPV Drone with 1080P WiFi Camera for Adult Beginners and Kids; Voice Gesture Control RC Quadcopter with Modular Battery for long flight time, Auto Hover, Carrying Case</t>
        </is>
      </c>
      <c r="AO427" t="inlineStr">
        <is>
          <t>1000</t>
        </is>
      </c>
      <c r="AP427" t="inlineStr">
        <is>
          <t>TAKE ALL</t>
        </is>
      </c>
    </row>
    <row r="428">
      <c r="A428" t="inlineStr">
        <is>
          <t>B087TKQLD9</t>
        </is>
      </c>
      <c r="B428" t="inlineStr">
        <is>
          <t>False</t>
        </is>
      </c>
      <c r="C428" t="inlineStr">
        <is>
          <t>B087TKQLD9</t>
        </is>
      </c>
      <c r="D428" t="inlineStr">
        <is>
          <t>MaryRuth Organics</t>
        </is>
      </c>
      <c r="E428" t="inlineStr">
        <is>
          <t>False</t>
        </is>
      </c>
      <c r="F428" t="inlineStr">
        <is>
          <t>MaryRuth Organics | Liquid Iron Supplement Prenatal &amp; Postnatal for Pregnant &amp; Lactating | Iron Deficiency | Immune Support | Sugar/Gluten Free | Vegan | Non-GMO | 15.22 Fl Oz</t>
        </is>
      </c>
      <c r="G428">
        <v>1</v>
      </c>
      <c r="H428" s="2" t="str">
        <f>HYPERLINK("https://www.amazon.com/dp/B087TKQLD9", "https://www.amazon.com/dp/B087TKQLD9")</f>
      </c>
      <c r="I428" s="3">
        <v>2818</v>
      </c>
      <c r="J428" s="12">
        <v>-1.29</v>
      </c>
      <c r="K428" s="13">
        <v>-0.0431</v>
      </c>
      <c r="L428" s="13">
        <v>-0.0593</v>
      </c>
      <c r="M428" t="inlineStr">
        <is>
          <t>True</t>
        </is>
      </c>
      <c r="N428" t="inlineStr">
        <is>
          <t>Health &amp; Household</t>
        </is>
      </c>
      <c r="O428" s="6">
        <v>9360</v>
      </c>
      <c r="P428" s="6">
        <v>6145</v>
      </c>
      <c r="Q428" s="6">
        <v>1040</v>
      </c>
      <c r="R428" s="6">
        <v>272</v>
      </c>
      <c r="S428" s="7">
        <v>21.75</v>
      </c>
      <c r="T428" s="7">
        <v>29.96</v>
      </c>
      <c r="U428">
        <v>37.38</v>
      </c>
      <c r="V428" s="8">
        <v>0</v>
      </c>
      <c r="W428" s="7">
        <v>0</v>
      </c>
      <c r="X428" s="7">
        <v>0</v>
      </c>
      <c r="Y428">
        <v>1.17</v>
      </c>
      <c r="Z428" s="8">
        <v>0</v>
      </c>
      <c r="AB428">
        <v>0</v>
      </c>
      <c r="AC428">
        <v>0</v>
      </c>
      <c r="AD428">
        <v>10</v>
      </c>
      <c r="AE428">
        <v>8</v>
      </c>
      <c r="AF428">
        <v>2</v>
      </c>
      <c r="AG428">
        <v>2</v>
      </c>
      <c r="AH428">
        <v>1</v>
      </c>
      <c r="AI428" t="inlineStr">
        <is>
          <t>False</t>
        </is>
      </c>
      <c r="AJ428" s="2" t="str">
        <f>HYPERLINK("https://keepa.com/#!product/1-B087TKQLD9", "https://keepa.com/#!product/1-B087TKQLD9")</f>
      </c>
      <c r="AK428" s="2" t="str">
        <f>HYPERLINK("https://camelcamelcamel.com/search?sq=B087TKQLD9", "https://camelcamelcamel.com/search?sq=B087TKQLD9")</f>
      </c>
      <c r="AL428" t="inlineStr">
        <is>
          <t/>
        </is>
      </c>
      <c r="AM428" s="10">
        <v>45417.11111111111</v>
      </c>
      <c r="AN428" t="inlineStr">
        <is>
          <t>MaryRuth Organics | Liquid Iron Supplement Prenatal &amp; Postnatal for Pregnant &amp; Lactating | Iron Deficiency | Immune Support | Sugar/Gluten Free | Vegan | Non-GMO | 15.22 Fl Oz</t>
        </is>
      </c>
      <c r="AO428" t="inlineStr">
        <is>
          <t>3000</t>
        </is>
      </c>
      <c r="AP428" t="inlineStr">
        <is>
          <t>1500</t>
        </is>
      </c>
    </row>
    <row r="429">
      <c r="A429" t="inlineStr">
        <is>
          <t>B087XSL57C</t>
        </is>
      </c>
      <c r="B429" t="inlineStr">
        <is>
          <t>False</t>
        </is>
      </c>
      <c r="C429" t="inlineStr">
        <is>
          <t>B087XSL57C</t>
        </is>
      </c>
      <c r="D429" t="inlineStr">
        <is>
          <t>Orgain</t>
        </is>
      </c>
      <c r="E429" t="inlineStr">
        <is>
          <t>False</t>
        </is>
      </c>
      <c r="F429" t="inlineStr">
        <is>
          <t>Orgain Vegan Protein Shake, Creamy Chocolate - 20g Plant Based Protein, Meal Replacement with Organic Ingredients, Gluten Free, Dairy Free, Soy Free, 11 Fl Oz (Pack of 12)</t>
        </is>
      </c>
      <c r="G429">
        <v>1</v>
      </c>
      <c r="H429" s="2" t="str">
        <f>HYPERLINK("https://www.amazon.com/dp/B087XSL57C", "https://www.amazon.com/dp/B087XSL57C")</f>
      </c>
      <c r="I429" s="3">
        <v>4361</v>
      </c>
      <c r="J429" s="4">
        <v>6.26</v>
      </c>
      <c r="K429" s="5">
        <v>0.1739</v>
      </c>
      <c r="L429" s="15">
        <v>0.41869999999999996</v>
      </c>
      <c r="M429" t="inlineStr">
        <is>
          <t>True</t>
        </is>
      </c>
      <c r="N429" t="inlineStr">
        <is>
          <t>Grocery &amp; Gourmet Food</t>
        </is>
      </c>
      <c r="O429" s="6">
        <v>1347</v>
      </c>
      <c r="P429" s="6">
        <v>1404</v>
      </c>
      <c r="Q429" s="6">
        <v>953</v>
      </c>
      <c r="R429" s="6">
        <v>268</v>
      </c>
      <c r="S429" s="7">
        <v>14.95</v>
      </c>
      <c r="T429" s="7">
        <v>35.99</v>
      </c>
      <c r="U429">
        <v>35.26</v>
      </c>
      <c r="V429" s="8">
        <v>0</v>
      </c>
      <c r="W429" s="7">
        <v>0</v>
      </c>
      <c r="X429" s="7">
        <v>0</v>
      </c>
      <c r="Y429">
        <v>9.94</v>
      </c>
      <c r="Z429" s="9">
        <v>1</v>
      </c>
      <c r="AB429">
        <v>0</v>
      </c>
      <c r="AC429">
        <v>0</v>
      </c>
      <c r="AD429">
        <v>10</v>
      </c>
      <c r="AE429">
        <v>1</v>
      </c>
      <c r="AF429">
        <v>9</v>
      </c>
      <c r="AG429">
        <v>1</v>
      </c>
      <c r="AH429">
        <v>0</v>
      </c>
      <c r="AI429" t="inlineStr">
        <is>
          <t>False</t>
        </is>
      </c>
      <c r="AJ429" s="2" t="str">
        <f>HYPERLINK("https://keepa.com/#!product/1-B087XSL57C", "https://keepa.com/#!product/1-B087XSL57C")</f>
      </c>
      <c r="AK429" s="2" t="str">
        <f>HYPERLINK("https://camelcamelcamel.com/search?sq=B087XSL57C", "https://camelcamelcamel.com/search?sq=B087XSL57C")</f>
      </c>
      <c r="AL429" t="inlineStr">
        <is>
          <t/>
        </is>
      </c>
      <c r="AM429" s="10">
        <v>45417.11111111111</v>
      </c>
      <c r="AN429" t="inlineStr">
        <is>
          <t>Orgain Vegan Protein Shake, Creamy Chocolate - 20g Plant Based Protein, Meal Replacement with Organic Ingredients, Gluten Free, Dairy Free, Soy Free, 11 Fl Oz (Pack of 12)</t>
        </is>
      </c>
      <c r="AO429" t="inlineStr">
        <is>
          <t>300</t>
        </is>
      </c>
      <c r="AP429" t="inlineStr">
        <is>
          <t>TAKE ALL</t>
        </is>
      </c>
    </row>
    <row r="430">
      <c r="A430" t="inlineStr">
        <is>
          <t>B087YXPP96</t>
        </is>
      </c>
      <c r="B430" t="inlineStr">
        <is>
          <t>False</t>
        </is>
      </c>
      <c r="C430" t="inlineStr">
        <is>
          <t>B087YXPP96</t>
        </is>
      </c>
      <c r="D430" t="inlineStr">
        <is>
          <t>bioTE</t>
        </is>
      </c>
      <c r="E430" t="inlineStr">
        <is>
          <t>False</t>
        </is>
      </c>
      <c r="F430" t="inlineStr">
        <is>
          <t>Biote Nutraceuticals - DIM SGS + - Hormone + Detox (60 Capsules)</t>
        </is>
      </c>
      <c r="G430">
        <v>1</v>
      </c>
      <c r="H430" s="2" t="str">
        <f>HYPERLINK("https://www.amazon.com/dp/B087YXPP96", "https://www.amazon.com/dp/B087YXPP96")</f>
      </c>
      <c r="I430" s="3">
        <v>10611</v>
      </c>
      <c r="J430" s="12">
        <v>-1.04</v>
      </c>
      <c r="K430" s="13">
        <v>-0.0359</v>
      </c>
      <c r="L430" s="13">
        <v>-0.0473</v>
      </c>
      <c r="M430" t="inlineStr">
        <is>
          <t>True</t>
        </is>
      </c>
      <c r="N430" t="inlineStr">
        <is>
          <t>Health &amp; Household</t>
        </is>
      </c>
      <c r="O430" s="6">
        <v>2222</v>
      </c>
      <c r="P430" s="6">
        <v>2797</v>
      </c>
      <c r="Q430" s="6">
        <v>2092</v>
      </c>
      <c r="R430" s="6">
        <v>288</v>
      </c>
      <c r="S430" s="7">
        <v>22</v>
      </c>
      <c r="T430" s="7">
        <v>29</v>
      </c>
      <c r="U430">
        <v>45.38</v>
      </c>
      <c r="V430" s="8">
        <v>0</v>
      </c>
      <c r="W430" s="7">
        <v>0</v>
      </c>
      <c r="X430" s="7">
        <v>0</v>
      </c>
      <c r="Y430">
        <v>0.15</v>
      </c>
      <c r="Z430" s="8">
        <v>0</v>
      </c>
      <c r="AB430">
        <v>0</v>
      </c>
      <c r="AC430">
        <v>0</v>
      </c>
      <c r="AD430">
        <v>37</v>
      </c>
      <c r="AE430">
        <v>18</v>
      </c>
      <c r="AF430">
        <v>19</v>
      </c>
      <c r="AG430">
        <v>2</v>
      </c>
      <c r="AH430">
        <v>0</v>
      </c>
      <c r="AI430" t="inlineStr">
        <is>
          <t>False</t>
        </is>
      </c>
      <c r="AJ430" s="2" t="str">
        <f>HYPERLINK("https://keepa.com/#!product/1-B087YXPP96", "https://keepa.com/#!product/1-B087YXPP96")</f>
      </c>
      <c r="AK430" s="2" t="str">
        <f>HYPERLINK("https://camelcamelcamel.com/search?sq=B087YXPP96", "https://camelcamelcamel.com/search?sq=B087YXPP96")</f>
      </c>
      <c r="AL430" t="inlineStr">
        <is>
          <t/>
        </is>
      </c>
      <c r="AM430" s="10">
        <v>45417.11111111111</v>
      </c>
      <c r="AN430" t="inlineStr">
        <is>
          <t>Biote Nutraceuticals - DIM SGS + - Hormone + Detox (60 Capsules)</t>
        </is>
      </c>
      <c r="AO430" t="inlineStr">
        <is>
          <t>5000</t>
        </is>
      </c>
      <c r="AP430" t="inlineStr">
        <is>
          <t>1000</t>
        </is>
      </c>
    </row>
    <row r="431">
      <c r="A431" t="inlineStr">
        <is>
          <t>B0883JN171</t>
        </is>
      </c>
      <c r="B431" t="inlineStr">
        <is>
          <t>False</t>
        </is>
      </c>
      <c r="C431" t="inlineStr">
        <is>
          <t>B0883JN171</t>
        </is>
      </c>
      <c r="D431" t="inlineStr">
        <is>
          <t>Cellucor</t>
        </is>
      </c>
      <c r="E431" t="inlineStr">
        <is>
          <t>False</t>
        </is>
      </c>
      <c r="F431" t="inlineStr">
        <is>
          <t>C4 Smart Energy Drink – Boost Focus and Energy with Zero Sugar, Natural Energy, and Nootropics - 200mg Caffeine - Peach Mango (12oz Pack of 12)</t>
        </is>
      </c>
      <c r="G431">
        <v>1</v>
      </c>
      <c r="H431" s="2" t="str">
        <f>HYPERLINK("https://www.amazon.com/dp/B0883JN171", "https://www.amazon.com/dp/B0883JN171")</f>
      </c>
      <c r="I431" s="3">
        <v>11602</v>
      </c>
      <c r="J431" s="11">
        <v>1.42</v>
      </c>
      <c r="K431" s="5">
        <v>0.06309999999999999</v>
      </c>
      <c r="L431" s="5">
        <v>0.1721</v>
      </c>
      <c r="M431" t="inlineStr">
        <is>
          <t>True</t>
        </is>
      </c>
      <c r="N431" t="inlineStr">
        <is>
          <t>Grocery &amp; Gourmet Food</t>
        </is>
      </c>
      <c r="O431" s="6">
        <v>156</v>
      </c>
      <c r="P431" s="6">
        <v>223</v>
      </c>
      <c r="Q431" s="6">
        <v>112</v>
      </c>
      <c r="R431" s="6">
        <v>249</v>
      </c>
      <c r="S431" s="7">
        <v>8.25</v>
      </c>
      <c r="T431" s="7">
        <v>22.49</v>
      </c>
      <c r="U431">
        <v>21.68</v>
      </c>
      <c r="V431" s="8">
        <v>0</v>
      </c>
      <c r="W431" s="7">
        <v>0</v>
      </c>
      <c r="X431" s="7">
        <v>0</v>
      </c>
      <c r="Y431">
        <v>10.04</v>
      </c>
      <c r="Z431" s="9">
        <v>1</v>
      </c>
      <c r="AB431">
        <v>0</v>
      </c>
      <c r="AC431">
        <v>0</v>
      </c>
      <c r="AD431">
        <v>2</v>
      </c>
      <c r="AE431">
        <v>1</v>
      </c>
      <c r="AF431">
        <v>1</v>
      </c>
      <c r="AG431">
        <v>1</v>
      </c>
      <c r="AH431">
        <v>18</v>
      </c>
      <c r="AI431" t="inlineStr">
        <is>
          <t>False</t>
        </is>
      </c>
      <c r="AJ431" s="2" t="str">
        <f>HYPERLINK("https://keepa.com/#!product/1-B0883JN171", "https://keepa.com/#!product/1-B0883JN171")</f>
      </c>
      <c r="AK431" s="2" t="str">
        <f>HYPERLINK("https://camelcamelcamel.com/search?sq=B0883JN171", "https://camelcamelcamel.com/search?sq=B0883JN171")</f>
      </c>
      <c r="AL431" t="inlineStr">
        <is>
          <t/>
        </is>
      </c>
      <c r="AM431" s="10">
        <v>45417.11111111111</v>
      </c>
      <c r="AN431" t="inlineStr">
        <is>
          <t>C4 Energy Drink Offer</t>
        </is>
      </c>
      <c r="AO431" t="inlineStr">
        <is>
          <t>3000</t>
        </is>
      </c>
      <c r="AP431" t="inlineStr">
        <is>
          <t>1500</t>
        </is>
      </c>
    </row>
    <row r="432">
      <c r="A432" t="inlineStr">
        <is>
          <t>B088CGMXG5</t>
        </is>
      </c>
      <c r="B432" t="inlineStr">
        <is>
          <t>False</t>
        </is>
      </c>
      <c r="C432" t="inlineStr">
        <is>
          <t>B088CGMXG5</t>
        </is>
      </c>
      <c r="D432" t="inlineStr">
        <is>
          <t>Oral-B</t>
        </is>
      </c>
      <c r="E432" t="inlineStr">
        <is>
          <t>True</t>
        </is>
      </c>
      <c r="F432" t="inlineStr">
        <is>
          <t>Oral-B iO Series 7 Electric Toothbrush with 1 Replacement Brush Head, Black Onyx, 3 Count (Pack of 1)</t>
        </is>
      </c>
      <c r="G432">
        <v>1</v>
      </c>
      <c r="H432" s="2" t="str">
        <f>HYPERLINK("https://www.amazon.com/dp/B088CGMXG5", "https://www.amazon.com/dp/B088CGMXG5")</f>
      </c>
      <c r="I432" s="3">
        <v>799</v>
      </c>
      <c r="J432" s="4">
        <v>44.53</v>
      </c>
      <c r="K432" s="5">
        <v>0.2433</v>
      </c>
      <c r="L432" s="15">
        <v>0.4241</v>
      </c>
      <c r="M432" t="inlineStr">
        <is>
          <t>True</t>
        </is>
      </c>
      <c r="N432" t="inlineStr">
        <is>
          <t>Health &amp; Household</t>
        </is>
      </c>
      <c r="O432" s="6">
        <v>26650</v>
      </c>
      <c r="P432" s="6">
        <v>24106</v>
      </c>
      <c r="Q432" s="6">
        <v>14732</v>
      </c>
      <c r="R432" s="6">
        <v>170</v>
      </c>
      <c r="S432" s="7">
        <v>105</v>
      </c>
      <c r="T432" s="7">
        <v>183</v>
      </c>
      <c r="U432">
        <v>187.26</v>
      </c>
      <c r="V432" s="8">
        <v>0</v>
      </c>
      <c r="W432" s="7">
        <v>0</v>
      </c>
      <c r="X432" s="7">
        <v>0</v>
      </c>
      <c r="Y432">
        <v>1.63</v>
      </c>
      <c r="Z432" s="9">
        <v>1</v>
      </c>
      <c r="AB432">
        <v>0</v>
      </c>
      <c r="AC432">
        <v>0</v>
      </c>
      <c r="AD432">
        <v>13</v>
      </c>
      <c r="AE432">
        <v>7</v>
      </c>
      <c r="AF432">
        <v>6</v>
      </c>
      <c r="AG432">
        <v>1</v>
      </c>
      <c r="AH432">
        <v>2</v>
      </c>
      <c r="AI432" t="inlineStr">
        <is>
          <t>True</t>
        </is>
      </c>
      <c r="AJ432" s="2" t="str">
        <f>HYPERLINK("https://keepa.com/#!product/1-B088CGMXG5", "https://keepa.com/#!product/1-B088CGMXG5")</f>
      </c>
      <c r="AK432" s="2" t="str">
        <f>HYPERLINK("https://camelcamelcamel.com/search?sq=B088CGMXG5", "https://camelcamelcamel.com/search?sq=B088CGMXG5")</f>
      </c>
      <c r="AL432" t="inlineStr">
        <is>
          <t/>
        </is>
      </c>
      <c r="AM432" s="10">
        <v>45417.11111111111</v>
      </c>
      <c r="AN432" t="inlineStr">
        <is>
          <t>Oral-B iO Series 7 Electric Toothbrush with 1 Replacement Brush Head, Black Onyx, 3 Count (Pack of 1)</t>
        </is>
      </c>
      <c r="AO432" t="inlineStr">
        <is>
          <t>24</t>
        </is>
      </c>
      <c r="AP432" t="inlineStr">
        <is>
          <t>TAKE ALL</t>
        </is>
      </c>
    </row>
    <row r="433">
      <c r="A433" t="inlineStr">
        <is>
          <t>B088L46VK1</t>
        </is>
      </c>
      <c r="B433" t="inlineStr">
        <is>
          <t>False</t>
        </is>
      </c>
      <c r="C433" t="inlineStr">
        <is>
          <t>B088L46VK1</t>
        </is>
      </c>
      <c r="D433" t="inlineStr">
        <is>
          <t>Purex</t>
        </is>
      </c>
      <c r="E433" t="inlineStr">
        <is>
          <t>False</t>
        </is>
      </c>
      <c r="F433" t="inlineStr">
        <is>
          <t>Purex Liquid Laundry Detergent, Natural Elements Linen &amp; Lilies, 2X Concentrated, 126 Loads, 82.5 Fl Oz</t>
        </is>
      </c>
      <c r="G433">
        <v>1</v>
      </c>
      <c r="H433" s="2" t="str">
        <f>HYPERLINK("https://www.amazon.com/dp/B088L46VK1", "https://www.amazon.com/dp/B088L46VK1")</f>
      </c>
      <c r="I433" s="3">
        <v>868</v>
      </c>
      <c r="J433" s="11">
        <v>0.91</v>
      </c>
      <c r="K433" s="5">
        <v>0.0455</v>
      </c>
      <c r="L433" s="5">
        <v>0.11380000000000001</v>
      </c>
      <c r="M433" t="inlineStr">
        <is>
          <t>True</t>
        </is>
      </c>
      <c r="N433" t="inlineStr">
        <is>
          <t>Health &amp; Household</t>
        </is>
      </c>
      <c r="O433" s="6">
        <v>25121</v>
      </c>
      <c r="P433" s="6">
        <v>22077</v>
      </c>
      <c r="Q433" s="6">
        <v>10576</v>
      </c>
      <c r="R433" s="6">
        <v>133</v>
      </c>
      <c r="S433" s="7">
        <v>8</v>
      </c>
      <c r="T433" s="7">
        <v>19.99</v>
      </c>
      <c r="U433">
        <v>17.42</v>
      </c>
      <c r="V433" s="8">
        <v>0</v>
      </c>
      <c r="W433" s="7">
        <v>0</v>
      </c>
      <c r="X433" s="7">
        <v>0</v>
      </c>
      <c r="Y433">
        <v>6</v>
      </c>
      <c r="Z433" s="9">
        <v>0.37</v>
      </c>
      <c r="AB433">
        <v>0</v>
      </c>
      <c r="AC433">
        <v>0</v>
      </c>
      <c r="AD433">
        <v>4</v>
      </c>
      <c r="AE433">
        <v>0</v>
      </c>
      <c r="AF433">
        <v>4</v>
      </c>
      <c r="AG433">
        <v>1</v>
      </c>
      <c r="AH433">
        <v>2</v>
      </c>
      <c r="AI433" t="inlineStr">
        <is>
          <t>False</t>
        </is>
      </c>
      <c r="AJ433" s="2" t="str">
        <f>HYPERLINK("https://keepa.com/#!product/1-B088L46VK1", "https://keepa.com/#!product/1-B088L46VK1")</f>
      </c>
      <c r="AK433" s="2" t="str">
        <f>HYPERLINK("https://camelcamelcamel.com/search?sq=B088L46VK1", "https://camelcamelcamel.com/search?sq=B088L46VK1")</f>
      </c>
      <c r="AL433" t="inlineStr">
        <is>
          <t/>
        </is>
      </c>
      <c r="AM433" s="10">
        <v>45417.11111111111</v>
      </c>
      <c r="AN433" t="inlineStr">
        <is>
          <t>Purex Liquid Laundry Detergent, Natural Elements Linen &amp; Lilies, 2X Concentrated, 126 Loads, 82.5 Fl Oz</t>
        </is>
      </c>
      <c r="AO433" t="inlineStr">
        <is>
          <t>300</t>
        </is>
      </c>
      <c r="AP433" t="inlineStr">
        <is>
          <t>TAKE ALL</t>
        </is>
      </c>
    </row>
    <row r="434">
      <c r="A434" t="inlineStr">
        <is>
          <t>B088VPQQXM</t>
        </is>
      </c>
      <c r="B434" t="inlineStr">
        <is>
          <t>False</t>
        </is>
      </c>
      <c r="C434" t="inlineStr">
        <is>
          <t>B088VPQQXM</t>
        </is>
      </c>
      <c r="D434" t="inlineStr">
        <is>
          <t>Botanical Origins</t>
        </is>
      </c>
      <c r="E434" t="inlineStr">
        <is>
          <t>False</t>
        </is>
      </c>
      <c r="F434" t="inlineStr">
        <is>
          <t>Botanical Origin Plant-based Laundry Detergent Orange Blossom and Citrus Leaves, 54 oz (72 loads)</t>
        </is>
      </c>
      <c r="G434">
        <v>1</v>
      </c>
      <c r="H434" s="2" t="str">
        <f>HYPERLINK("https://www.amazon.com/dp/B088VPQQXM", "https://www.amazon.com/dp/B088VPQQXM")</f>
      </c>
      <c r="I434" s="3">
        <v>381</v>
      </c>
      <c r="J434" s="12">
        <v>-2.34</v>
      </c>
      <c r="K434" s="13">
        <v>-0.1115</v>
      </c>
      <c r="L434" s="13">
        <v>-0.18350000000000002</v>
      </c>
      <c r="M434" t="inlineStr">
        <is>
          <t>True</t>
        </is>
      </c>
      <c r="N434" t="inlineStr">
        <is>
          <t>Health &amp; Household</t>
        </is>
      </c>
      <c r="O434" s="6">
        <v>45055</v>
      </c>
      <c r="P434" s="6">
        <v>40515</v>
      </c>
      <c r="Q434" s="6">
        <v>8722</v>
      </c>
      <c r="R434" s="6">
        <v>170</v>
      </c>
      <c r="S434" s="7">
        <v>12.75</v>
      </c>
      <c r="T434" s="7">
        <v>20.99</v>
      </c>
      <c r="U434">
        <v>13.98</v>
      </c>
      <c r="V434" s="8">
        <v>0</v>
      </c>
      <c r="W434" s="7">
        <v>0</v>
      </c>
      <c r="X434" s="7">
        <v>0</v>
      </c>
      <c r="Y434">
        <v>4.17</v>
      </c>
      <c r="Z434" s="8">
        <v>0</v>
      </c>
      <c r="AB434">
        <v>0</v>
      </c>
      <c r="AC434">
        <v>0</v>
      </c>
      <c r="AD434">
        <v>7</v>
      </c>
      <c r="AE434">
        <v>6</v>
      </c>
      <c r="AF434">
        <v>1</v>
      </c>
      <c r="AG434">
        <v>2</v>
      </c>
      <c r="AH434">
        <v>2</v>
      </c>
      <c r="AI434" t="inlineStr">
        <is>
          <t>False</t>
        </is>
      </c>
      <c r="AJ434" s="2" t="str">
        <f>HYPERLINK("https://keepa.com/#!product/1-B088VPQQXM", "https://keepa.com/#!product/1-B088VPQQXM")</f>
      </c>
      <c r="AK434" s="2" t="str">
        <f>HYPERLINK("https://camelcamelcamel.com/search?sq=B088VPQQXM", "https://camelcamelcamel.com/search?sq=B088VPQQXM")</f>
      </c>
      <c r="AL434" t="inlineStr">
        <is>
          <t/>
        </is>
      </c>
      <c r="AM434" s="10">
        <v>45417.11111111111</v>
      </c>
      <c r="AN434" t="inlineStr">
        <is>
          <t>Botanical Origin Plant-based Laundry Detergent Orange Blossom and Citrus Leaves, 54 oz (72 loads)</t>
        </is>
      </c>
      <c r="AO434" t="inlineStr">
        <is>
          <t>350</t>
        </is>
      </c>
      <c r="AP434" t="inlineStr">
        <is>
          <t>TAKE ALL</t>
        </is>
      </c>
    </row>
    <row r="435">
      <c r="A435" t="inlineStr">
        <is>
          <t>B088ZN47V8</t>
        </is>
      </c>
      <c r="B435" t="inlineStr">
        <is>
          <t>False</t>
        </is>
      </c>
      <c r="C435" t="inlineStr">
        <is>
          <t>B088ZN47V8</t>
        </is>
      </c>
      <c r="D435" t="inlineStr">
        <is>
          <t>JISULIFE</t>
        </is>
      </c>
      <c r="E435" t="inlineStr">
        <is>
          <t>False</t>
        </is>
      </c>
      <c r="F435" t="inlineStr">
        <is>
          <t>JISULIFE Portable Neck Fan, Hands Free Bladeless Fan, 4000 mAh Battery Operated Wearable Personal Fan, Leafless, Rechargeable, Headphone Design,3 Speeds Gifts for Women Men-Grey</t>
        </is>
      </c>
      <c r="G435">
        <v>1</v>
      </c>
      <c r="H435" s="2" t="str">
        <f>HYPERLINK("https://www.amazon.com/dp/B088ZN47V8", "https://www.amazon.com/dp/B088ZN47V8")</f>
      </c>
      <c r="I435" s="3">
        <v>17822</v>
      </c>
      <c r="J435" s="4">
        <v>7.15</v>
      </c>
      <c r="K435" s="5">
        <v>0.2235</v>
      </c>
      <c r="L435" s="15">
        <v>0.4815</v>
      </c>
      <c r="M435" t="inlineStr">
        <is>
          <t>True</t>
        </is>
      </c>
      <c r="N435" t="inlineStr">
        <is>
          <t>Home &amp; Kitchen</t>
        </is>
      </c>
      <c r="O435" s="6">
        <v>236</v>
      </c>
      <c r="P435" s="6">
        <v>2364</v>
      </c>
      <c r="Q435" s="6">
        <v>217</v>
      </c>
      <c r="R435" s="6">
        <v>312</v>
      </c>
      <c r="S435" s="7">
        <v>14.85</v>
      </c>
      <c r="T435" s="7">
        <v>31.99</v>
      </c>
      <c r="U435">
        <v>31.89</v>
      </c>
      <c r="V435" s="8">
        <v>0</v>
      </c>
      <c r="W435" s="7">
        <v>0</v>
      </c>
      <c r="X435" s="7">
        <v>0</v>
      </c>
      <c r="Y435">
        <v>0.64</v>
      </c>
      <c r="Z435" s="9">
        <v>0.54</v>
      </c>
      <c r="AB435">
        <v>0</v>
      </c>
      <c r="AC435">
        <v>0</v>
      </c>
      <c r="AD435">
        <v>3</v>
      </c>
      <c r="AE435">
        <v>1</v>
      </c>
      <c r="AF435">
        <v>0</v>
      </c>
      <c r="AG435">
        <v>1</v>
      </c>
      <c r="AH435">
        <v>5</v>
      </c>
      <c r="AI435" t="inlineStr">
        <is>
          <t>True</t>
        </is>
      </c>
      <c r="AJ435" s="2" t="str">
        <f>HYPERLINK("https://keepa.com/#!product/1-B088ZN47V8", "https://keepa.com/#!product/1-B088ZN47V8")</f>
      </c>
      <c r="AK435" s="2" t="str">
        <f>HYPERLINK("https://camelcamelcamel.com/search?sq=B088ZN47V8", "https://camelcamelcamel.com/search?sq=B088ZN47V8")</f>
      </c>
      <c r="AL435" t="inlineStr">
        <is>
          <t/>
        </is>
      </c>
      <c r="AM435" s="10">
        <v>45417.11111111111</v>
      </c>
      <c r="AN435" t="inlineStr">
        <is>
          <t>JISULIFE Portable Neck Fan, Hands Free Bladeless Fan, 4000 mAh Battery Operated Wearable Personal Fan, Leafless, Rechargeable, Headphone Design,3 Speeds Gifts for Women Men-Grey</t>
        </is>
      </c>
      <c r="AO435" t="inlineStr">
        <is>
          <t>1500</t>
        </is>
      </c>
      <c r="AP435" t="inlineStr">
        <is>
          <t>TAKE ALL</t>
        </is>
      </c>
    </row>
    <row r="436">
      <c r="A436" t="inlineStr">
        <is>
          <t>B089BHX7L5</t>
        </is>
      </c>
      <c r="B436" t="inlineStr">
        <is>
          <t>False</t>
        </is>
      </c>
      <c r="C436" t="inlineStr">
        <is>
          <t>B089BHX7L5</t>
        </is>
      </c>
      <c r="D436" t="inlineStr">
        <is>
          <t>Boiron</t>
        </is>
      </c>
      <c r="E436" t="inlineStr">
        <is>
          <t>False</t>
        </is>
      </c>
      <c r="F436" t="inlineStr">
        <is>
          <t>Boiron Cyclease Menopause Relief Tablets, White, 60 Count</t>
        </is>
      </c>
      <c r="G436">
        <v>1</v>
      </c>
      <c r="H436" s="2" t="str">
        <f>HYPERLINK("https://www.amazon.com/dp/B089BHX7L5", "https://www.amazon.com/dp/B089BHX7L5")</f>
      </c>
      <c r="I436" s="3">
        <v>728</v>
      </c>
      <c r="J436" s="11">
        <v>0.08</v>
      </c>
      <c r="K436" s="5">
        <v>0.0092</v>
      </c>
      <c r="L436" s="5">
        <v>0.016</v>
      </c>
      <c r="M436" t="inlineStr">
        <is>
          <t>True</t>
        </is>
      </c>
      <c r="N436" t="inlineStr">
        <is>
          <t>Health &amp; Household</t>
        </is>
      </c>
      <c r="O436" s="6">
        <v>28527</v>
      </c>
      <c r="P436" s="6">
        <v>26762</v>
      </c>
      <c r="Q436" s="6">
        <v>17802</v>
      </c>
      <c r="R436" s="6">
        <v>159</v>
      </c>
      <c r="S436" s="7">
        <v>5</v>
      </c>
      <c r="T436" s="7">
        <v>8.7</v>
      </c>
      <c r="U436">
        <v>9.46</v>
      </c>
      <c r="V436" s="8">
        <v>0</v>
      </c>
      <c r="W436" s="7">
        <v>0</v>
      </c>
      <c r="X436" s="7">
        <v>0</v>
      </c>
      <c r="Y436">
        <v>0.04</v>
      </c>
      <c r="Z436" s="9">
        <v>0.98</v>
      </c>
      <c r="AB436">
        <v>0</v>
      </c>
      <c r="AC436">
        <v>0</v>
      </c>
      <c r="AD436">
        <v>13</v>
      </c>
      <c r="AE436">
        <v>4</v>
      </c>
      <c r="AF436">
        <v>9</v>
      </c>
      <c r="AG436">
        <v>3</v>
      </c>
      <c r="AH436">
        <v>2</v>
      </c>
      <c r="AI436" t="inlineStr">
        <is>
          <t>False</t>
        </is>
      </c>
      <c r="AJ436" s="2" t="str">
        <f>HYPERLINK("https://keepa.com/#!product/1-B089BHX7L5", "https://keepa.com/#!product/1-B089BHX7L5")</f>
      </c>
      <c r="AK436" s="2" t="str">
        <f>HYPERLINK("https://camelcamelcamel.com/search?sq=B089BHX7L5", "https://camelcamelcamel.com/search?sq=B089BHX7L5")</f>
      </c>
      <c r="AL436" t="inlineStr">
        <is>
          <t/>
        </is>
      </c>
      <c r="AM436" s="10">
        <v>45417.11111111111</v>
      </c>
      <c r="AN436" t="inlineStr">
        <is>
          <t>Boiron Cyclease Menopause Relief Tablets, White, 60 Count</t>
        </is>
      </c>
      <c r="AO436" t="inlineStr">
        <is>
          <t>120</t>
        </is>
      </c>
      <c r="AP436" t="inlineStr">
        <is>
          <t>TAKE ALL</t>
        </is>
      </c>
    </row>
    <row r="437">
      <c r="A437" t="inlineStr">
        <is>
          <t>B089F523M8</t>
        </is>
      </c>
      <c r="B437" t="inlineStr">
        <is>
          <t>False</t>
        </is>
      </c>
      <c r="C437" t="inlineStr">
        <is>
          <t>B089F523M8</t>
        </is>
      </c>
      <c r="D437" t="inlineStr">
        <is>
          <t>Oral-B</t>
        </is>
      </c>
      <c r="E437" t="inlineStr">
        <is>
          <t>True</t>
        </is>
      </c>
      <c r="F437" t="inlineStr">
        <is>
          <t>Oral-B iO Gentle Care Electric Toothbrush Head, Twisted &amp; Angled Bristles for Deeper Plaque Removal, Pack of 4 Toothbrush Heads, Suitable for Mailbox, White</t>
        </is>
      </c>
      <c r="G437">
        <v>1</v>
      </c>
      <c r="H437" s="2" t="str">
        <f>HYPERLINK("https://www.amazon.com/dp/B089F523M8", "https://www.amazon.com/dp/B089F523M8")</f>
      </c>
      <c r="I437" s="3">
        <v>4030</v>
      </c>
      <c r="J437" s="11">
        <v>3.43</v>
      </c>
      <c r="K437" s="5">
        <v>0.1127</v>
      </c>
      <c r="L437" s="5">
        <v>0.18289999999999998</v>
      </c>
      <c r="M437" t="inlineStr">
        <is>
          <t>True</t>
        </is>
      </c>
      <c r="N437" t="inlineStr">
        <is>
          <t>Health &amp; Household</t>
        </is>
      </c>
      <c r="O437" s="6">
        <v>6631</v>
      </c>
      <c r="P437" s="6">
        <v>7211</v>
      </c>
      <c r="Q437" s="6">
        <v>3061</v>
      </c>
      <c r="R437" s="6">
        <v>261</v>
      </c>
      <c r="S437" s="7">
        <v>18.75</v>
      </c>
      <c r="T437" s="7">
        <v>30.43</v>
      </c>
      <c r="U437">
        <v>31.98</v>
      </c>
      <c r="V437" s="8">
        <v>0</v>
      </c>
      <c r="W437" s="7">
        <v>0</v>
      </c>
      <c r="X437" s="7">
        <v>0</v>
      </c>
      <c r="Y437">
        <v>0.13</v>
      </c>
      <c r="Z437" s="9">
        <v>0.05</v>
      </c>
      <c r="AB437">
        <v>0</v>
      </c>
      <c r="AC437">
        <v>0</v>
      </c>
      <c r="AD437">
        <v>20</v>
      </c>
      <c r="AE437">
        <v>13</v>
      </c>
      <c r="AF437">
        <v>7</v>
      </c>
      <c r="AG437">
        <v>10</v>
      </c>
      <c r="AH437">
        <v>2</v>
      </c>
      <c r="AI437" t="inlineStr">
        <is>
          <t>False</t>
        </is>
      </c>
      <c r="AJ437" s="2" t="str">
        <f>HYPERLINK("https://keepa.com/#!product/1-B089F523M8", "https://keepa.com/#!product/1-B089F523M8")</f>
      </c>
      <c r="AK437" s="2" t="str">
        <f>HYPERLINK("https://camelcamelcamel.com/search?sq=B089F523M8", "https://camelcamelcamel.com/search?sq=B089F523M8")</f>
      </c>
      <c r="AL437" t="inlineStr">
        <is>
          <t/>
        </is>
      </c>
      <c r="AM437" s="10">
        <v>45417.11111111111</v>
      </c>
      <c r="AN437" t="inlineStr">
        <is>
          <t>Oral-B iO Gentle Care Electric Toothbrush Head, Twisted &amp; Angled Bristles for Deeper Plaque Removal, Pack of 4, Suitable for Mailbox, White</t>
        </is>
      </c>
      <c r="AO437" t="inlineStr">
        <is>
          <t>1000</t>
        </is>
      </c>
      <c r="AP437" t="inlineStr">
        <is>
          <t>TAKE ALL</t>
        </is>
      </c>
    </row>
    <row r="438">
      <c r="A438" t="inlineStr">
        <is>
          <t>B089T772JV</t>
        </is>
      </c>
      <c r="B438" t="inlineStr">
        <is>
          <t>False</t>
        </is>
      </c>
      <c r="C438" t="inlineStr">
        <is>
          <t>B089T772JV</t>
        </is>
      </c>
      <c r="D438" t="inlineStr">
        <is>
          <t>BioSteel Sports</t>
        </is>
      </c>
      <c r="E438" t="inlineStr">
        <is>
          <t>False</t>
        </is>
      </c>
      <c r="F438" t="inlineStr">
        <is>
          <t>BioSteel Zero Sugar Hydration Mix, Great Tasting Hydration with 5 Essential Electrolytes, White Freeze Flavor, 45 Servings per Tub</t>
        </is>
      </c>
      <c r="G438">
        <v>1</v>
      </c>
      <c r="H438" s="2" t="str">
        <f>HYPERLINK("https://www.amazon.com/dp/B089T772JV", "https://www.amazon.com/dp/B089T772JV")</f>
      </c>
      <c r="I438" s="3">
        <v>443</v>
      </c>
      <c r="J438" s="12">
        <v>-16.6</v>
      </c>
      <c r="K438" s="13">
        <v>-0.8304</v>
      </c>
      <c r="L438" s="13">
        <v>-0.5724</v>
      </c>
      <c r="M438" t="inlineStr">
        <is>
          <t>True</t>
        </is>
      </c>
      <c r="N438" t="inlineStr">
        <is>
          <t>Health &amp; Household</t>
        </is>
      </c>
      <c r="O438" s="6">
        <v>40536</v>
      </c>
      <c r="P438" s="6">
        <v>58863</v>
      </c>
      <c r="Q438" s="6">
        <v>30013</v>
      </c>
      <c r="R438" s="6">
        <v>164</v>
      </c>
      <c r="S438" s="7">
        <v>29</v>
      </c>
      <c r="T438" s="7">
        <v>19.99</v>
      </c>
      <c r="U438">
        <v>30.34</v>
      </c>
      <c r="V438" s="8">
        <v>0</v>
      </c>
      <c r="W438" s="7">
        <v>0</v>
      </c>
      <c r="X438" s="7">
        <v>0</v>
      </c>
      <c r="Y438">
        <v>0.86</v>
      </c>
      <c r="Z438" s="8">
        <v>0</v>
      </c>
      <c r="AB438">
        <v>0</v>
      </c>
      <c r="AC438">
        <v>0</v>
      </c>
      <c r="AD438">
        <v>29</v>
      </c>
      <c r="AE438">
        <v>24</v>
      </c>
      <c r="AF438">
        <v>5</v>
      </c>
      <c r="AG438">
        <v>5</v>
      </c>
      <c r="AH438">
        <v>0</v>
      </c>
      <c r="AI438" t="inlineStr">
        <is>
          <t>False</t>
        </is>
      </c>
      <c r="AJ438" s="2" t="str">
        <f>HYPERLINK("https://keepa.com/#!product/1-B089T772JV", "https://keepa.com/#!product/1-B089T772JV")</f>
      </c>
      <c r="AK438" s="2" t="str">
        <f>HYPERLINK("https://camelcamelcamel.com/search?sq=B089T772JV", "https://camelcamelcamel.com/search?sq=B089T772JV")</f>
      </c>
      <c r="AL438" t="inlineStr">
        <is>
          <t/>
        </is>
      </c>
      <c r="AM438" s="10">
        <v>45417.11111111111</v>
      </c>
      <c r="AN438" t="inlineStr">
        <is>
          <t>BioSteel Zero Sugar Hydration Mix, Great Tasting Hydration with 5 Essential Electrolytes, White Freeze Flavor, 45 Servings per Tub</t>
        </is>
      </c>
      <c r="AO438" t="inlineStr">
        <is>
          <t>2000</t>
        </is>
      </c>
      <c r="AP438" t="inlineStr">
        <is>
          <t>240</t>
        </is>
      </c>
    </row>
    <row r="439">
      <c r="A439" t="inlineStr">
        <is>
          <t>B089TP3K77</t>
        </is>
      </c>
      <c r="B439" t="inlineStr">
        <is>
          <t>False</t>
        </is>
      </c>
      <c r="C439" t="inlineStr">
        <is>
          <t>B089TP3K77</t>
        </is>
      </c>
      <c r="D439" t="inlineStr">
        <is>
          <t>Ninja</t>
        </is>
      </c>
      <c r="E439" t="inlineStr">
        <is>
          <t>False</t>
        </is>
      </c>
      <c r="F439" t="inlineStr">
        <is>
          <t>Ninja BN601 Professional Plus Food Processor, 1000 Peak Watts, 4 Functions for Chopping, Slicing, Purees &amp; Dough with 9-Cup Processor Bowl, 3 Blades, Food Chute &amp; Pusher, Silver</t>
        </is>
      </c>
      <c r="G439">
        <v>1</v>
      </c>
      <c r="H439" s="2" t="str">
        <f>HYPERLINK("https://www.amazon.com/dp/B089TP3K77", "https://www.amazon.com/dp/B089TP3K77")</f>
      </c>
      <c r="I439" s="3">
        <v>4112</v>
      </c>
      <c r="J439" s="4">
        <v>9.88</v>
      </c>
      <c r="K439" s="5">
        <v>0.09880000000000001</v>
      </c>
      <c r="L439" s="5">
        <v>0.16469999999999999</v>
      </c>
      <c r="M439" t="inlineStr">
        <is>
          <t>True</t>
        </is>
      </c>
      <c r="N439" t="inlineStr">
        <is>
          <t>Kitchen &amp; Dining</t>
        </is>
      </c>
      <c r="O439" s="6">
        <v>1160</v>
      </c>
      <c r="P439" s="6">
        <v>2797</v>
      </c>
      <c r="Q439" s="6">
        <v>417</v>
      </c>
      <c r="R439" s="6">
        <v>475</v>
      </c>
      <c r="S439" s="7">
        <v>60</v>
      </c>
      <c r="T439" s="7">
        <v>99.99</v>
      </c>
      <c r="U439">
        <v>106.44</v>
      </c>
      <c r="V439" s="8">
        <v>0</v>
      </c>
      <c r="W439" s="7">
        <v>0</v>
      </c>
      <c r="X439" s="7">
        <v>0</v>
      </c>
      <c r="Y439">
        <v>10.4</v>
      </c>
      <c r="Z439" s="9">
        <v>0.87</v>
      </c>
      <c r="AB439">
        <v>0</v>
      </c>
      <c r="AC439">
        <v>0</v>
      </c>
      <c r="AD439">
        <v>47</v>
      </c>
      <c r="AE439">
        <v>8</v>
      </c>
      <c r="AF439">
        <v>11</v>
      </c>
      <c r="AG439">
        <v>3</v>
      </c>
      <c r="AH439">
        <v>1</v>
      </c>
      <c r="AI439" t="inlineStr">
        <is>
          <t>False</t>
        </is>
      </c>
      <c r="AJ439" s="2" t="str">
        <f>HYPERLINK("https://keepa.com/#!product/1-B089TP3K77", "https://keepa.com/#!product/1-B089TP3K77")</f>
      </c>
      <c r="AK439" s="2" t="str">
        <f>HYPERLINK("https://camelcamelcamel.com/search?sq=B089TP3K77", "https://camelcamelcamel.com/search?sq=B089TP3K77")</f>
      </c>
      <c r="AL439" t="inlineStr">
        <is>
          <t/>
        </is>
      </c>
      <c r="AM439" s="10">
        <v>45417.11111111111</v>
      </c>
      <c r="AN439" t="inlineStr">
        <is>
          <t>Ninja BN601 Professional Plus Food Processor, 1000 Peak Watts, 4 Functions for Chopping, Slicing, Purees &amp; Dough with 9-Cup Processor Bowl, 3 Blades, Food Chute &amp; Pusher, Silver</t>
        </is>
      </c>
      <c r="AO439" t="inlineStr">
        <is>
          <t>25</t>
        </is>
      </c>
      <c r="AP439" t="inlineStr">
        <is>
          <t>TAKE ALL</t>
        </is>
      </c>
    </row>
    <row r="440">
      <c r="A440" t="inlineStr">
        <is>
          <t>B08B3B3LQ3</t>
        </is>
      </c>
      <c r="B440" t="inlineStr">
        <is>
          <t>False</t>
        </is>
      </c>
      <c r="C440" t="inlineStr">
        <is>
          <t>B08B3B3LQ3</t>
        </is>
      </c>
      <c r="D440" t="inlineStr">
        <is>
          <t>Arlo</t>
        </is>
      </c>
      <c r="E440" t="inlineStr">
        <is>
          <t>False</t>
        </is>
      </c>
      <c r="F440" t="inlineStr">
        <is>
          <t>Arlo Essential Spotlight Camera - 3 Pack - Wireless Security, 1080p Video, Color Night Vision, 2 Way Audio, Wire-Free, Direct to WiFi No Hub Needed, Works with Alexa,Motion Sensor, White - VMC2330</t>
        </is>
      </c>
      <c r="G440">
        <v>1</v>
      </c>
      <c r="H440" s="2" t="str">
        <f>HYPERLINK("https://www.amazon.com/dp/B08B3B3LQ3", "https://www.amazon.com/dp/B08B3B3LQ3")</f>
      </c>
      <c r="I440" s="14">
        <v>5</v>
      </c>
      <c r="M440" t="inlineStr">
        <is>
          <t>False</t>
        </is>
      </c>
      <c r="N440" t="inlineStr">
        <is>
          <t>Home Security Systems</t>
        </is>
      </c>
      <c r="O440" s="6">
        <v>42</v>
      </c>
      <c r="P440" s="6">
        <v>0</v>
      </c>
      <c r="Q440" s="6">
        <v>0</v>
      </c>
      <c r="R440" s="6">
        <v>0</v>
      </c>
      <c r="S440" s="7">
        <v>138</v>
      </c>
      <c r="U440">
        <v>188.02</v>
      </c>
      <c r="X440" s="7">
        <v>0</v>
      </c>
      <c r="Y440">
        <v>2.8</v>
      </c>
      <c r="Z440" s="9">
        <v>0.76</v>
      </c>
      <c r="AB440">
        <v>0</v>
      </c>
      <c r="AC440">
        <v>0</v>
      </c>
      <c r="AD440">
        <v>1</v>
      </c>
      <c r="AE440">
        <v>0</v>
      </c>
      <c r="AF440">
        <v>0</v>
      </c>
      <c r="AG440">
        <v>0</v>
      </c>
      <c r="AH440">
        <v>3</v>
      </c>
      <c r="AI440" t="inlineStr">
        <is>
          <t>True</t>
        </is>
      </c>
      <c r="AJ440" s="2" t="str">
        <f>HYPERLINK("https://keepa.com/#!product/1-B08B3B3LQ3", "https://keepa.com/#!product/1-B08B3B3LQ3")</f>
      </c>
      <c r="AK440" s="2" t="str">
        <f>HYPERLINK("https://camelcamelcamel.com/search?sq=B08B3B3LQ3", "https://camelcamelcamel.com/search?sq=B08B3B3LQ3")</f>
      </c>
      <c r="AL440" t="inlineStr">
        <is>
          <t/>
        </is>
      </c>
      <c r="AM440" s="10">
        <v>45417.11111111111</v>
      </c>
      <c r="AN440" t="inlineStr">
        <is>
          <t>Arlo Essential Spotlight Camera - 3 Pack - Wireless Security, 1080p Video, Color Night Vision, 2 Way Audio, Wire-Free, Direct to WiFi No Hub Needed, Works with Alexa,Motion Sensor, White - VMC2330</t>
        </is>
      </c>
      <c r="AO440" t="inlineStr">
        <is>
          <t>150</t>
        </is>
      </c>
      <c r="AP440" t="inlineStr">
        <is>
          <t>TAKE ALL</t>
        </is>
      </c>
    </row>
    <row r="441">
      <c r="A441" t="inlineStr">
        <is>
          <t>B08B4VJHMD</t>
        </is>
      </c>
      <c r="B441" t="inlineStr">
        <is>
          <t>False</t>
        </is>
      </c>
      <c r="C441" t="inlineStr">
        <is>
          <t>B08B4VJHMD</t>
        </is>
      </c>
      <c r="D441" t="inlineStr">
        <is>
          <t>TRUSS</t>
        </is>
      </c>
      <c r="E441" t="inlineStr">
        <is>
          <t>False</t>
        </is>
      </c>
      <c r="F441" t="inlineStr">
        <is>
          <t>TRUSS Night Spa Serum - Anti Aging Damaged Hair Treatment with 100% Vegan Wax Base - Anti Frizz Hair Serum for Extra Shine, Moisture and Elasticity - (250 ml)</t>
        </is>
      </c>
      <c r="G441">
        <v>1</v>
      </c>
      <c r="H441" s="2" t="str">
        <f>HYPERLINK("https://www.amazon.com/dp/B08B4VJHMD", "https://www.amazon.com/dp/B08B4VJHMD")</f>
      </c>
      <c r="I441" s="3">
        <v>594</v>
      </c>
      <c r="J441" s="4">
        <v>6.32</v>
      </c>
      <c r="K441" s="5">
        <v>0.1352</v>
      </c>
      <c r="L441" s="5">
        <v>0.2161</v>
      </c>
      <c r="M441" t="inlineStr">
        <is>
          <t>True</t>
        </is>
      </c>
      <c r="N441" t="inlineStr">
        <is>
          <t>Beauty &amp; Personal Care</t>
        </is>
      </c>
      <c r="O441" s="6">
        <v>27069</v>
      </c>
      <c r="P441" s="6">
        <v>38696</v>
      </c>
      <c r="Q441" s="6">
        <v>21390</v>
      </c>
      <c r="R441" s="6">
        <v>179</v>
      </c>
      <c r="S441" s="7">
        <v>29.25</v>
      </c>
      <c r="T441" s="7">
        <v>46.75</v>
      </c>
      <c r="U441">
        <v>47.29</v>
      </c>
      <c r="V441" s="8">
        <v>0</v>
      </c>
      <c r="W441" s="7">
        <v>0</v>
      </c>
      <c r="X441" s="7">
        <v>0</v>
      </c>
      <c r="Y441">
        <v>0.71</v>
      </c>
      <c r="Z441" s="8">
        <v>0</v>
      </c>
      <c r="AB441">
        <v>0</v>
      </c>
      <c r="AC441">
        <v>0</v>
      </c>
      <c r="AD441">
        <v>5</v>
      </c>
      <c r="AE441">
        <v>5</v>
      </c>
      <c r="AF441">
        <v>0</v>
      </c>
      <c r="AG441">
        <v>5</v>
      </c>
      <c r="AH441">
        <v>2</v>
      </c>
      <c r="AI441" t="inlineStr">
        <is>
          <t>False</t>
        </is>
      </c>
      <c r="AJ441" s="2" t="str">
        <f>HYPERLINK("https://keepa.com/#!product/1-B08B4VJHMD", "https://keepa.com/#!product/1-B08B4VJHMD")</f>
      </c>
      <c r="AK441" s="2" t="str">
        <f>HYPERLINK("https://camelcamelcamel.com/search?sq=B08B4VJHMD", "https://camelcamelcamel.com/search?sq=B08B4VJHMD")</f>
      </c>
      <c r="AL441" t="inlineStr">
        <is>
          <t/>
        </is>
      </c>
      <c r="AM441" s="10">
        <v>45417.11111111111</v>
      </c>
      <c r="AN441" t="inlineStr">
        <is>
          <t>TRUSS Night Spa Serum - Anti Aging Damaged Hair Treatment with 100% Vegan Wax Base - Anti Frizz Hair Serum for Extra Shine, Moisture and Elasticity - (250 ml)</t>
        </is>
      </c>
      <c r="AO441" t="inlineStr">
        <is>
          <t>300</t>
        </is>
      </c>
      <c r="AP441" t="inlineStr">
        <is>
          <t>TAKE ALL</t>
        </is>
      </c>
    </row>
    <row r="442">
      <c r="A442" t="inlineStr">
        <is>
          <t>B08BT9DZQW</t>
        </is>
      </c>
      <c r="B442" t="inlineStr">
        <is>
          <t>False</t>
        </is>
      </c>
      <c r="C442" t="inlineStr">
        <is>
          <t>B08BT9DZQW</t>
        </is>
      </c>
      <c r="D442" t="inlineStr">
        <is>
          <t>AOC</t>
        </is>
      </c>
      <c r="E442" t="inlineStr">
        <is>
          <t>False</t>
        </is>
      </c>
      <c r="F442" t="inlineStr">
        <is>
          <t>AOC C32G2 32" Curved Frameless Gaming Monitor FHD, 1500R Curved VA, 1ms, 165Hz, FreeSync, Height adjustable, 3-Year Zero Dead Pixel Policy, Black</t>
        </is>
      </c>
      <c r="G442">
        <v>1</v>
      </c>
      <c r="H442" s="2" t="str">
        <f>HYPERLINK("https://www.amazon.com/dp/B08BT9DZQW", "https://www.amazon.com/dp/B08BT9DZQW")</f>
      </c>
      <c r="I442" s="3">
        <v>914</v>
      </c>
      <c r="J442" s="12">
        <v>-6.45</v>
      </c>
      <c r="K442" s="13">
        <v>-0.0339</v>
      </c>
      <c r="L442" s="13">
        <v>-0.0415</v>
      </c>
      <c r="M442" t="inlineStr">
        <is>
          <t>True</t>
        </is>
      </c>
      <c r="N442" t="inlineStr">
        <is>
          <t>Electronics</t>
        </is>
      </c>
      <c r="O442" s="6">
        <v>4611</v>
      </c>
      <c r="P442" s="6">
        <v>10666</v>
      </c>
      <c r="Q442" s="6">
        <v>3254</v>
      </c>
      <c r="R442" s="6">
        <v>221</v>
      </c>
      <c r="S442" s="7">
        <v>155.5</v>
      </c>
      <c r="T442" s="7">
        <v>189.99</v>
      </c>
      <c r="U442">
        <v>225.01</v>
      </c>
      <c r="V442" s="8">
        <v>0</v>
      </c>
      <c r="W442" s="7">
        <v>0</v>
      </c>
      <c r="X442" s="7">
        <v>0</v>
      </c>
      <c r="Y442">
        <v>22.15</v>
      </c>
      <c r="Z442" s="9">
        <v>1</v>
      </c>
      <c r="AB442">
        <v>0</v>
      </c>
      <c r="AC442">
        <v>0</v>
      </c>
      <c r="AD442">
        <v>24</v>
      </c>
      <c r="AE442">
        <v>1</v>
      </c>
      <c r="AF442">
        <v>13</v>
      </c>
      <c r="AG442">
        <v>1</v>
      </c>
      <c r="AH442">
        <v>2</v>
      </c>
      <c r="AI442" t="inlineStr">
        <is>
          <t>False</t>
        </is>
      </c>
      <c r="AJ442" s="2" t="str">
        <f>HYPERLINK("https://keepa.com/#!product/1-B08BT9DZQW", "https://keepa.com/#!product/1-B08BT9DZQW")</f>
      </c>
      <c r="AK442" s="2" t="str">
        <f>HYPERLINK("https://camelcamelcamel.com/search?sq=B08BT9DZQW", "https://camelcamelcamel.com/search?sq=B08BT9DZQW")</f>
      </c>
      <c r="AL442" t="inlineStr">
        <is>
          <t/>
        </is>
      </c>
      <c r="AM442" s="10">
        <v>45417.11111111111</v>
      </c>
      <c r="AN442" t="inlineStr">
        <is>
          <t>AOC C32G2 32" Curved Frameless Gaming Monitor FHD, 1500R Curved VA, 1ms, 165Hz, FreeSync, Height adjustable, 3-Year Zero Dead Pixel Policy, Black</t>
        </is>
      </c>
      <c r="AO442" t="inlineStr">
        <is>
          <t>92</t>
        </is>
      </c>
      <c r="AP442" t="inlineStr">
        <is>
          <t>TAKE ALL</t>
        </is>
      </c>
    </row>
    <row r="443">
      <c r="A443" t="inlineStr">
        <is>
          <t>B08C7K99WW</t>
        </is>
      </c>
      <c r="B443" t="inlineStr">
        <is>
          <t>False</t>
        </is>
      </c>
      <c r="C443" t="inlineStr">
        <is>
          <t>B08C7K99WW</t>
        </is>
      </c>
      <c r="D443" t="inlineStr">
        <is>
          <t>AstroAI</t>
        </is>
      </c>
      <c r="E443" t="inlineStr">
        <is>
          <t>False</t>
        </is>
      </c>
      <c r="F443" t="inlineStr">
        <is>
          <t>AstroAI Windshield Cleaner, Car Windshield Cleaning Tool Inside with 4 Reusable and Washable Microfiber Pads and Extendable Handle Auto Glass Wiper Kit, Blue</t>
        </is>
      </c>
      <c r="G443">
        <v>1</v>
      </c>
      <c r="H443" s="2" t="str">
        <f>HYPERLINK("https://www.amazon.com/dp/B08C7K99WW", "https://www.amazon.com/dp/B08C7K99WW")</f>
      </c>
      <c r="I443" s="3">
        <v>5142</v>
      </c>
      <c r="J443" s="11">
        <v>3.52</v>
      </c>
      <c r="K443" s="5">
        <v>0.2148</v>
      </c>
      <c r="L443" s="15">
        <v>0.7040000000000001</v>
      </c>
      <c r="M443" t="inlineStr">
        <is>
          <t>True</t>
        </is>
      </c>
      <c r="N443" t="inlineStr">
        <is>
          <t>Automotive</t>
        </is>
      </c>
      <c r="O443" s="6">
        <v>266</v>
      </c>
      <c r="P443" s="6">
        <v>147</v>
      </c>
      <c r="Q443" s="6">
        <v>46</v>
      </c>
      <c r="R443" s="6">
        <v>261</v>
      </c>
      <c r="S443" s="7">
        <v>5</v>
      </c>
      <c r="T443" s="7">
        <v>16.39</v>
      </c>
      <c r="U443">
        <v>15.32</v>
      </c>
      <c r="V443" s="8">
        <v>0</v>
      </c>
      <c r="W443" s="7">
        <v>0</v>
      </c>
      <c r="X443" s="7">
        <v>0</v>
      </c>
      <c r="Y443">
        <v>0.79</v>
      </c>
      <c r="Z443" s="8">
        <v>0</v>
      </c>
      <c r="AB443">
        <v>0</v>
      </c>
      <c r="AC443">
        <v>0</v>
      </c>
      <c r="AD443">
        <v>1</v>
      </c>
      <c r="AE443">
        <v>1</v>
      </c>
      <c r="AF443">
        <v>0</v>
      </c>
      <c r="AG443">
        <v>1</v>
      </c>
      <c r="AH443">
        <v>2</v>
      </c>
      <c r="AI443" t="inlineStr">
        <is>
          <t>False</t>
        </is>
      </c>
      <c r="AJ443" s="2" t="str">
        <f>HYPERLINK("https://keepa.com/#!product/1-B08C7K99WW", "https://keepa.com/#!product/1-B08C7K99WW")</f>
      </c>
      <c r="AK443" s="2" t="str">
        <f>HYPERLINK("https://camelcamelcamel.com/search?sq=B08C7K99WW", "https://camelcamelcamel.com/search?sq=B08C7K99WW")</f>
      </c>
      <c r="AL443" t="inlineStr">
        <is>
          <t/>
        </is>
      </c>
      <c r="AM443" s="10">
        <v>45417.11111111111</v>
      </c>
      <c r="AN443" t="inlineStr">
        <is>
          <t>AstroAI Windshield Cleaner, Car Windshield Cleaning Tool Inside with 4 Reusable and Washable Microfiber Pads and Extendable Handle Auto Glass Wiper Kit, Blu</t>
        </is>
      </c>
      <c r="AO443" t="inlineStr">
        <is>
          <t>4000</t>
        </is>
      </c>
      <c r="AP443" t="inlineStr">
        <is>
          <t>TAKE ALL</t>
        </is>
      </c>
    </row>
    <row r="444">
      <c r="A444" t="inlineStr">
        <is>
          <t>B08CNFBX24</t>
        </is>
      </c>
      <c r="B444" t="inlineStr">
        <is>
          <t>False</t>
        </is>
      </c>
      <c r="C444" t="inlineStr">
        <is>
          <t>B08CNFBX24</t>
        </is>
      </c>
      <c r="D444" t="inlineStr">
        <is>
          <t>Low Karb</t>
        </is>
      </c>
      <c r="E444" t="inlineStr">
        <is>
          <t>False</t>
        </is>
      </c>
      <c r="F444" t="inlineStr">
        <is>
          <t>Low Karb NuTrail, Keto Blueberry Nut Granola Healthy Breakfast Cereal, Low Carb Snacks &amp; Food, Almonds, Pecans, Coconut and More, 3 g Net Carbs, 1.37 lb, 22 Oz</t>
        </is>
      </c>
      <c r="G444">
        <v>1</v>
      </c>
      <c r="H444" s="2" t="str">
        <f>HYPERLINK("https://www.amazon.com/dp/B08CNFBX24", "https://www.amazon.com/dp/B08CNFBX24")</f>
      </c>
      <c r="I444" s="3">
        <v>1088</v>
      </c>
      <c r="J444" s="12">
        <v>-1.57</v>
      </c>
      <c r="K444" s="13">
        <v>-0.0827</v>
      </c>
      <c r="L444" s="13">
        <v>-0.1282</v>
      </c>
      <c r="M444" t="inlineStr">
        <is>
          <t>True</t>
        </is>
      </c>
      <c r="N444" t="inlineStr">
        <is>
          <t>Grocery &amp; Gourmet Food</t>
        </is>
      </c>
      <c r="O444" s="6">
        <v>8046</v>
      </c>
      <c r="P444" s="6">
        <v>4948</v>
      </c>
      <c r="Q444" s="6">
        <v>2274</v>
      </c>
      <c r="R444" s="6">
        <v>277</v>
      </c>
      <c r="S444" s="7">
        <v>12.25</v>
      </c>
      <c r="T444" s="7">
        <v>18.99</v>
      </c>
      <c r="U444">
        <v>13.42</v>
      </c>
      <c r="V444" s="8">
        <v>0</v>
      </c>
      <c r="W444" s="7">
        <v>0</v>
      </c>
      <c r="X444" s="7">
        <v>0</v>
      </c>
      <c r="Y444">
        <v>1.42</v>
      </c>
      <c r="Z444" s="9">
        <v>0.78</v>
      </c>
      <c r="AB444">
        <v>0</v>
      </c>
      <c r="AC444">
        <v>0</v>
      </c>
      <c r="AD444">
        <v>3</v>
      </c>
      <c r="AE444">
        <v>1</v>
      </c>
      <c r="AF444">
        <v>2</v>
      </c>
      <c r="AG444">
        <v>1</v>
      </c>
      <c r="AH444">
        <v>1</v>
      </c>
      <c r="AI444" t="inlineStr">
        <is>
          <t>False</t>
        </is>
      </c>
      <c r="AJ444" s="2" t="str">
        <f>HYPERLINK("https://keepa.com/#!product/1-B08CNFBX24", "https://keepa.com/#!product/1-B08CNFBX24")</f>
      </c>
      <c r="AK444" s="2" t="str">
        <f>HYPERLINK("https://camelcamelcamel.com/search?sq=B08CNFBX24", "https://camelcamelcamel.com/search?sq=B08CNFBX24")</f>
      </c>
      <c r="AL444" t="inlineStr">
        <is>
          <t/>
        </is>
      </c>
      <c r="AM444" s="10">
        <v>45417.11111111111</v>
      </c>
      <c r="AN444" t="inlineStr">
        <is>
          <t>Low Karb NuTrail, Keto Blueberry Nut Granola Healthy Breakfast Cereal, Low Carb Snacks &amp; Food, Almonds, Pecans, Coconut and More, 3 g Net Carbs, 1.37 lb, 22 Oz</t>
        </is>
      </c>
      <c r="AO444" t="inlineStr">
        <is>
          <t>3000</t>
        </is>
      </c>
      <c r="AP444" t="inlineStr">
        <is>
          <t>TAKE ALL</t>
        </is>
      </c>
    </row>
    <row r="445">
      <c r="A445" t="inlineStr">
        <is>
          <t>B08CSVDHTR</t>
        </is>
      </c>
      <c r="B445" t="inlineStr">
        <is>
          <t>False</t>
        </is>
      </c>
      <c r="C445" t="inlineStr">
        <is>
          <t>B08CSVDHTR</t>
        </is>
      </c>
      <c r="D445" t="inlineStr">
        <is>
          <t>ECOVACS</t>
        </is>
      </c>
      <c r="E445" t="inlineStr">
        <is>
          <t>True</t>
        </is>
      </c>
      <c r="F445" t="inlineStr">
        <is>
          <t>Ecovacs Deebot T8 Robot Vacuum and Mop Cleaner, Precise Laser Navigation, Multi-floor Mapping, Intelligent Object Avoidance, Full-customize clean, No-go and No-mop Zones, Auto-empty Station Compatible</t>
        </is>
      </c>
      <c r="G445">
        <v>1</v>
      </c>
      <c r="H445" s="2" t="str">
        <f>HYPERLINK("https://www.amazon.com/dp/B08CSVDHTR", "https://www.amazon.com/dp/B08CSVDHTR")</f>
      </c>
      <c r="I445" s="16">
        <v>21</v>
      </c>
      <c r="J445" s="4">
        <v>106.9</v>
      </c>
      <c r="K445" s="5">
        <v>0.24719999999999998</v>
      </c>
      <c r="L445" s="15">
        <v>0.4363</v>
      </c>
      <c r="M445" t="inlineStr">
        <is>
          <t>True</t>
        </is>
      </c>
      <c r="N445" t="inlineStr">
        <is>
          <t>Industrial &amp; Scientific</t>
        </is>
      </c>
      <c r="O445" s="6">
        <v>118466</v>
      </c>
      <c r="P445" s="6">
        <v>126693</v>
      </c>
      <c r="Q445" s="6">
        <v>32494</v>
      </c>
      <c r="R445" s="6">
        <v>29</v>
      </c>
      <c r="S445" s="7">
        <v>245</v>
      </c>
      <c r="T445" s="7">
        <v>432.46</v>
      </c>
      <c r="U445">
        <v>422.94</v>
      </c>
      <c r="V445" s="8">
        <v>0</v>
      </c>
      <c r="W445" s="7">
        <v>0</v>
      </c>
      <c r="X445" s="7">
        <v>0</v>
      </c>
      <c r="Y445">
        <v>13.3</v>
      </c>
      <c r="Z445" s="9">
        <v>1</v>
      </c>
      <c r="AB445">
        <v>0</v>
      </c>
      <c r="AC445">
        <v>0</v>
      </c>
      <c r="AD445">
        <v>3</v>
      </c>
      <c r="AE445">
        <v>1</v>
      </c>
      <c r="AF445">
        <v>0</v>
      </c>
      <c r="AG445">
        <v>1</v>
      </c>
      <c r="AH445">
        <v>0</v>
      </c>
      <c r="AI445" t="inlineStr">
        <is>
          <t>True</t>
        </is>
      </c>
      <c r="AJ445" s="2" t="str">
        <f>HYPERLINK("https://keepa.com/#!product/1-B08CSVDHTR", "https://keepa.com/#!product/1-B08CSVDHTR")</f>
      </c>
      <c r="AK445" s="2" t="str">
        <f>HYPERLINK("https://camelcamelcamel.com/search?sq=B08CSVDHTR", "https://camelcamelcamel.com/search?sq=B08CSVDHTR")</f>
      </c>
      <c r="AL445" t="inlineStr">
        <is>
          <t/>
        </is>
      </c>
      <c r="AM445" s="10">
        <v>45417.11111111111</v>
      </c>
      <c r="AN445" t="inlineStr">
        <is>
          <t>Ecovacs Deebot T8 Robot Vacuum and Mop Cleaner, Precise Laser Navigation, Multi-floor Mapping, Intelligent Object Avoidance, Full-customize clean, No-go and No-mop Zones, Auto-empty Station Compatible</t>
        </is>
      </c>
      <c r="AO445" t="inlineStr">
        <is>
          <t>1000</t>
        </is>
      </c>
      <c r="AP445" t="inlineStr">
        <is>
          <t>200</t>
        </is>
      </c>
    </row>
    <row r="446">
      <c r="A446" t="inlineStr">
        <is>
          <t>B08CT3WKLC</t>
        </is>
      </c>
      <c r="B446" t="inlineStr">
        <is>
          <t>False</t>
        </is>
      </c>
      <c r="C446" t="inlineStr">
        <is>
          <t>B08CT3WKLC</t>
        </is>
      </c>
      <c r="D446" t="inlineStr">
        <is>
          <t>Natreve</t>
        </is>
      </c>
      <c r="E446" t="inlineStr">
        <is>
          <t>False</t>
        </is>
      </c>
      <c r="F446" t="inlineStr">
        <is>
          <t>Natreve Vegan Protein Powder - 25g Plant Based Protein Powder with Probiotics and Amino Acids - Gluten Free Peanut Butter Parfait, 18 Servings</t>
        </is>
      </c>
      <c r="G446">
        <v>1</v>
      </c>
      <c r="H446" s="2" t="str">
        <f>HYPERLINK("https://www.amazon.com/dp/B08CT3WKLC", "https://www.amazon.com/dp/B08CT3WKLC")</f>
      </c>
      <c r="I446" s="3">
        <v>248</v>
      </c>
      <c r="J446" s="12">
        <v>-0.09</v>
      </c>
      <c r="K446" s="13">
        <v>-0.0039000000000000003</v>
      </c>
      <c r="L446" s="13">
        <v>-0.006500000000000001</v>
      </c>
      <c r="M446" t="inlineStr">
        <is>
          <t>True</t>
        </is>
      </c>
      <c r="N446" t="inlineStr">
        <is>
          <t>Health &amp; Household</t>
        </is>
      </c>
      <c r="O446" s="6">
        <v>59579</v>
      </c>
      <c r="P446" s="6">
        <v>54922</v>
      </c>
      <c r="Q446" s="6">
        <v>33469</v>
      </c>
      <c r="R446" s="6">
        <v>146</v>
      </c>
      <c r="S446" s="7">
        <v>13.75</v>
      </c>
      <c r="T446" s="7">
        <v>22.99</v>
      </c>
      <c r="U446">
        <v>24.5</v>
      </c>
      <c r="V446" s="8">
        <v>0</v>
      </c>
      <c r="W446" s="7">
        <v>0</v>
      </c>
      <c r="X446" s="7">
        <v>0</v>
      </c>
      <c r="Y446">
        <v>1.79</v>
      </c>
      <c r="Z446" s="8">
        <v>0</v>
      </c>
      <c r="AB446">
        <v>0</v>
      </c>
      <c r="AC446">
        <v>0</v>
      </c>
      <c r="AD446">
        <v>18</v>
      </c>
      <c r="AE446">
        <v>12</v>
      </c>
      <c r="AF446">
        <v>6</v>
      </c>
      <c r="AG446">
        <v>2</v>
      </c>
      <c r="AH446">
        <v>5</v>
      </c>
      <c r="AI446" t="inlineStr">
        <is>
          <t>False</t>
        </is>
      </c>
      <c r="AJ446" s="2" t="str">
        <f>HYPERLINK("https://keepa.com/#!product/1-B08CT3WKLC", "https://keepa.com/#!product/1-B08CT3WKLC")</f>
      </c>
      <c r="AK446" s="2" t="str">
        <f>HYPERLINK("https://camelcamelcamel.com/search?sq=B08CT3WKLC", "https://camelcamelcamel.com/search?sq=B08CT3WKLC")</f>
      </c>
      <c r="AL446" t="inlineStr">
        <is>
          <t/>
        </is>
      </c>
      <c r="AM446" s="10">
        <v>45417.11111111111</v>
      </c>
      <c r="AN446" t="inlineStr">
        <is>
          <t>Natreve Vegan Protein Powder - 25g Plant Based Protein Powder with Probiotics and Amino Acids - Gluten Free Peanut Butter Parfait, 18 Servings</t>
        </is>
      </c>
      <c r="AO446" t="inlineStr">
        <is>
          <t>250</t>
        </is>
      </c>
      <c r="AP446" t="inlineStr">
        <is>
          <t>TAKE ALL</t>
        </is>
      </c>
    </row>
    <row r="447">
      <c r="A447" t="inlineStr">
        <is>
          <t>B08CT4MZ7L</t>
        </is>
      </c>
      <c r="B447" t="inlineStr">
        <is>
          <t>False</t>
        </is>
      </c>
      <c r="C447" t="inlineStr">
        <is>
          <t>B08CT4MZ7L</t>
        </is>
      </c>
      <c r="D447" t="inlineStr">
        <is>
          <t>Natreve</t>
        </is>
      </c>
      <c r="E447" t="inlineStr">
        <is>
          <t>False</t>
        </is>
      </c>
      <c r="F447" t="inlineStr">
        <is>
          <t>Natreve Whey Protein Powder - 26g Grass-Fed Whey Protein with Amino Acids, Probiotics &amp; Collagen - Gluten Free &amp; Unflavored, 20 Servings</t>
        </is>
      </c>
      <c r="G447">
        <v>1</v>
      </c>
      <c r="H447" s="2" t="str">
        <f>HYPERLINK("https://www.amazon.com/dp/B08CT4MZ7L", "https://www.amazon.com/dp/B08CT4MZ7L")</f>
      </c>
      <c r="I447" s="3">
        <v>138</v>
      </c>
      <c r="J447" s="4">
        <v>10.13</v>
      </c>
      <c r="K447" s="5">
        <v>0.2894</v>
      </c>
      <c r="L447" s="15">
        <v>0.7367</v>
      </c>
      <c r="M447" t="inlineStr">
        <is>
          <t>True</t>
        </is>
      </c>
      <c r="N447" t="inlineStr">
        <is>
          <t>Health &amp; Household</t>
        </is>
      </c>
      <c r="O447" s="6">
        <v>84850</v>
      </c>
      <c r="P447" s="6">
        <v>56709</v>
      </c>
      <c r="Q447" s="6">
        <v>35047</v>
      </c>
      <c r="R447" s="6">
        <v>116</v>
      </c>
      <c r="S447" s="7">
        <v>13.75</v>
      </c>
      <c r="T447" s="7">
        <v>35</v>
      </c>
      <c r="U447">
        <v>24.66</v>
      </c>
      <c r="V447" s="8">
        <v>0</v>
      </c>
      <c r="W447" s="7">
        <v>0</v>
      </c>
      <c r="X447" s="7">
        <v>0</v>
      </c>
      <c r="Y447">
        <v>1.85</v>
      </c>
      <c r="Z447" s="8">
        <v>0</v>
      </c>
      <c r="AB447">
        <v>0</v>
      </c>
      <c r="AC447">
        <v>0</v>
      </c>
      <c r="AD447">
        <v>1</v>
      </c>
      <c r="AE447">
        <v>0</v>
      </c>
      <c r="AF447">
        <v>1</v>
      </c>
      <c r="AG447">
        <v>1</v>
      </c>
      <c r="AH447">
        <v>5</v>
      </c>
      <c r="AI447" t="inlineStr">
        <is>
          <t>False</t>
        </is>
      </c>
      <c r="AJ447" s="2" t="str">
        <f>HYPERLINK("https://keepa.com/#!product/1-B08CT4MZ7L", "https://keepa.com/#!product/1-B08CT4MZ7L")</f>
      </c>
      <c r="AK447" s="2" t="str">
        <f>HYPERLINK("https://camelcamelcamel.com/search?sq=B08CT4MZ7L", "https://camelcamelcamel.com/search?sq=B08CT4MZ7L")</f>
      </c>
      <c r="AL447" t="inlineStr">
        <is>
          <t/>
        </is>
      </c>
      <c r="AM447" s="10">
        <v>45417.11111111111</v>
      </c>
      <c r="AN447" t="inlineStr">
        <is>
          <t>Natreve Whey Protein Powder - 26g Grass-Fed Whey Protein with Amino Acids, Probiotics &amp; Collagen - Gluten Free &amp; Unflavored, 20 Servings</t>
        </is>
      </c>
      <c r="AO447" t="inlineStr">
        <is>
          <t>250</t>
        </is>
      </c>
      <c r="AP447" t="inlineStr">
        <is>
          <t>TAKE ALL</t>
        </is>
      </c>
    </row>
    <row r="448">
      <c r="A448" t="inlineStr">
        <is>
          <t>B08D6V7BLY</t>
        </is>
      </c>
      <c r="B448" t="inlineStr">
        <is>
          <t>False</t>
        </is>
      </c>
      <c r="C448" t="inlineStr">
        <is>
          <t>B08D6V7BLY</t>
        </is>
      </c>
      <c r="D448" t="inlineStr">
        <is>
          <t>Purell</t>
        </is>
      </c>
      <c r="E448" t="inlineStr">
        <is>
          <t>False</t>
        </is>
      </c>
      <c r="F448" t="inlineStr">
        <is>
          <t>Purell 64 Oz. Advanced Instant Hand Sanitizer Gel Refill</t>
        </is>
      </c>
      <c r="G448">
        <v>1</v>
      </c>
      <c r="H448" s="2" t="str">
        <f>HYPERLINK("https://www.amazon.com/dp/B08D6V7BLY", "https://www.amazon.com/dp/B08D6V7BLY")</f>
      </c>
      <c r="I448" s="3">
        <v>7034</v>
      </c>
      <c r="J448" s="12">
        <v>-1.41</v>
      </c>
      <c r="K448" s="13">
        <v>-0.1007</v>
      </c>
      <c r="L448" s="13">
        <v>-0.2564</v>
      </c>
      <c r="M448" t="inlineStr">
        <is>
          <t>True</t>
        </is>
      </c>
      <c r="N448" t="inlineStr">
        <is>
          <t>Health &amp; Household</t>
        </is>
      </c>
      <c r="O448" s="6">
        <v>3640</v>
      </c>
      <c r="P448" s="6">
        <v>3986</v>
      </c>
      <c r="Q448" s="6">
        <v>1326</v>
      </c>
      <c r="R448" s="6">
        <v>236</v>
      </c>
      <c r="S448" s="7">
        <v>5.5</v>
      </c>
      <c r="T448" s="7">
        <v>14</v>
      </c>
      <c r="U448">
        <v>18.44</v>
      </c>
      <c r="V448" s="8">
        <v>0</v>
      </c>
      <c r="W448" s="7">
        <v>0</v>
      </c>
      <c r="X448" s="7">
        <v>0</v>
      </c>
      <c r="Y448">
        <v>3.95</v>
      </c>
      <c r="Z448" s="9">
        <v>0.01</v>
      </c>
      <c r="AB448">
        <v>0</v>
      </c>
      <c r="AC448">
        <v>0</v>
      </c>
      <c r="AD448">
        <v>16</v>
      </c>
      <c r="AE448">
        <v>5</v>
      </c>
      <c r="AF448">
        <v>11</v>
      </c>
      <c r="AG448">
        <v>2</v>
      </c>
      <c r="AH448">
        <v>0</v>
      </c>
      <c r="AI448" t="inlineStr">
        <is>
          <t>True</t>
        </is>
      </c>
      <c r="AJ448" s="2" t="str">
        <f>HYPERLINK("https://keepa.com/#!product/1-B08D6V7BLY", "https://keepa.com/#!product/1-B08D6V7BLY")</f>
      </c>
      <c r="AK448" s="2" t="str">
        <f>HYPERLINK("https://camelcamelcamel.com/search?sq=B08D6V7BLY", "https://camelcamelcamel.com/search?sq=B08D6V7BLY")</f>
      </c>
      <c r="AL448" t="inlineStr">
        <is>
          <t/>
        </is>
      </c>
      <c r="AM448" s="10">
        <v>45417.11111111111</v>
      </c>
      <c r="AN448" t="inlineStr">
        <is>
          <t>Purell 64 Oz. Advanced Instant Hand Sanitizer Gel Refill</t>
        </is>
      </c>
      <c r="AO448" t="inlineStr">
        <is>
          <t>6000</t>
        </is>
      </c>
      <c r="AP448" t="inlineStr">
        <is>
          <t>TAKE ALL</t>
        </is>
      </c>
    </row>
    <row r="449">
      <c r="A449" t="inlineStr">
        <is>
          <t>B08DFCWVZ4</t>
        </is>
      </c>
      <c r="B449" t="inlineStr">
        <is>
          <t>False</t>
        </is>
      </c>
      <c r="C449" t="inlineStr">
        <is>
          <t>B08DFCWVZ4</t>
        </is>
      </c>
      <c r="D449" t="inlineStr">
        <is>
          <t>Fitbit</t>
        </is>
      </c>
      <c r="E449" t="inlineStr">
        <is>
          <t>True</t>
        </is>
      </c>
      <c r="F449" t="inlineStr">
        <is>
          <t>Fitbit Sense Advanced Smartwatch with Tools for Heart Health, Stress Management &amp; Skin Temperature Trends, Carbon/Graphite, One Size (S &amp; L Bands Included)</t>
        </is>
      </c>
      <c r="G449">
        <v>1</v>
      </c>
      <c r="H449" s="2" t="str">
        <f>HYPERLINK("https://www.amazon.com/dp/B08DFCWVZ4", "https://www.amazon.com/dp/B08DFCWVZ4")</f>
      </c>
      <c r="I449" s="3">
        <v>466</v>
      </c>
      <c r="J449" s="4">
        <v>33.35</v>
      </c>
      <c r="K449" s="5">
        <v>0.171</v>
      </c>
      <c r="L449" s="5">
        <v>0.247</v>
      </c>
      <c r="M449" t="inlineStr">
        <is>
          <t>True</t>
        </is>
      </c>
      <c r="N449" t="inlineStr">
        <is>
          <t>Electronics</t>
        </is>
      </c>
      <c r="O449" s="6">
        <v>9040</v>
      </c>
      <c r="P449" s="6">
        <v>10894</v>
      </c>
      <c r="Q449" s="6">
        <v>5308</v>
      </c>
      <c r="R449" s="6">
        <v>254</v>
      </c>
      <c r="S449" s="7">
        <v>135</v>
      </c>
      <c r="T449" s="7">
        <v>194.99</v>
      </c>
      <c r="U449">
        <v>197.59</v>
      </c>
      <c r="V449" s="8">
        <v>0</v>
      </c>
      <c r="W449" s="7">
        <v>0</v>
      </c>
      <c r="X449" s="7">
        <v>0</v>
      </c>
      <c r="Y449">
        <v>0.44</v>
      </c>
      <c r="Z449" s="9">
        <v>1</v>
      </c>
      <c r="AB449">
        <v>0</v>
      </c>
      <c r="AC449">
        <v>0</v>
      </c>
      <c r="AD449">
        <v>19</v>
      </c>
      <c r="AE449">
        <v>8</v>
      </c>
      <c r="AF449">
        <v>7</v>
      </c>
      <c r="AG449">
        <v>4</v>
      </c>
      <c r="AH449">
        <v>3</v>
      </c>
      <c r="AI449" t="inlineStr">
        <is>
          <t>True</t>
        </is>
      </c>
      <c r="AJ449" s="2" t="str">
        <f>HYPERLINK("https://keepa.com/#!product/1-B08DFCWVZ4", "https://keepa.com/#!product/1-B08DFCWVZ4")</f>
      </c>
      <c r="AK449" s="2" t="str">
        <f>HYPERLINK("https://camelcamelcamel.com/search?sq=B08DFCWVZ4", "https://camelcamelcamel.com/search?sq=B08DFCWVZ4")</f>
      </c>
      <c r="AL449" t="inlineStr">
        <is>
          <t/>
        </is>
      </c>
      <c r="AM449" s="10">
        <v>45417.11111111111</v>
      </c>
      <c r="AN449" t="inlineStr">
        <is>
          <t>Fitbit Sense Advanced Smartwatch with Tools for Heart Health, Stress Management &amp; Skin Temperature Trends, Carbon/Graphite, One Size (S &amp; L Bands Included)</t>
        </is>
      </c>
      <c r="AO449" t="inlineStr">
        <is>
          <t>600</t>
        </is>
      </c>
      <c r="AP449" t="inlineStr">
        <is>
          <t>300</t>
        </is>
      </c>
    </row>
    <row r="450">
      <c r="A450" t="inlineStr">
        <is>
          <t>B08DFLG5SP</t>
        </is>
      </c>
      <c r="B450" t="inlineStr">
        <is>
          <t>False</t>
        </is>
      </c>
      <c r="C450" t="inlineStr">
        <is>
          <t>B08DFLG5SP</t>
        </is>
      </c>
      <c r="D450" t="inlineStr">
        <is>
          <t>Fitbit</t>
        </is>
      </c>
      <c r="E450" t="inlineStr">
        <is>
          <t>True</t>
        </is>
      </c>
      <c r="F450" t="inlineStr">
        <is>
          <t>Fitbit Sense Advanced Smartwatch with Tools for Heart Health, Stress Management &amp; Skin Temperature Trends, White/Gold, One Size (S &amp; L Bands Included)</t>
        </is>
      </c>
      <c r="G450">
        <v>1</v>
      </c>
      <c r="H450" s="2" t="str">
        <f>HYPERLINK("https://www.amazon.com/dp/B08DFLG5SP", "https://www.amazon.com/dp/B08DFLG5SP")</f>
      </c>
      <c r="I450" s="3">
        <v>357</v>
      </c>
      <c r="J450" s="4">
        <v>22.11</v>
      </c>
      <c r="K450" s="5">
        <v>0.1278</v>
      </c>
      <c r="L450" s="5">
        <v>0.17550000000000002</v>
      </c>
      <c r="M450" t="inlineStr">
        <is>
          <t>True</t>
        </is>
      </c>
      <c r="N450" t="inlineStr">
        <is>
          <t>Electronics</t>
        </is>
      </c>
      <c r="O450" s="6">
        <v>11547</v>
      </c>
      <c r="P450" s="6">
        <v>14607</v>
      </c>
      <c r="Q450" s="6">
        <v>6153</v>
      </c>
      <c r="R450" s="6">
        <v>213</v>
      </c>
      <c r="S450" s="7">
        <v>126</v>
      </c>
      <c r="T450" s="7">
        <v>172.99</v>
      </c>
      <c r="U450">
        <v>186.96</v>
      </c>
      <c r="V450" s="8">
        <v>0</v>
      </c>
      <c r="W450" s="7">
        <v>0</v>
      </c>
      <c r="X450" s="7">
        <v>0</v>
      </c>
      <c r="Y450">
        <v>0.44</v>
      </c>
      <c r="Z450" s="9">
        <v>0.91</v>
      </c>
      <c r="AB450">
        <v>0</v>
      </c>
      <c r="AC450">
        <v>0</v>
      </c>
      <c r="AD450">
        <v>21</v>
      </c>
      <c r="AE450">
        <v>9</v>
      </c>
      <c r="AF450">
        <v>8</v>
      </c>
      <c r="AG450">
        <v>1</v>
      </c>
      <c r="AH450">
        <v>3</v>
      </c>
      <c r="AI450" t="inlineStr">
        <is>
          <t>True</t>
        </is>
      </c>
      <c r="AJ450" s="2" t="str">
        <f>HYPERLINK("https://keepa.com/#!product/1-B08DFLG5SP", "https://keepa.com/#!product/1-B08DFLG5SP")</f>
      </c>
      <c r="AK450" s="2" t="str">
        <f>HYPERLINK("https://camelcamelcamel.com/search?sq=B08DFLG5SP", "https://camelcamelcamel.com/search?sq=B08DFLG5SP")</f>
      </c>
      <c r="AL450" t="inlineStr">
        <is>
          <t/>
        </is>
      </c>
      <c r="AM450" s="10">
        <v>45417.11111111111</v>
      </c>
      <c r="AN450" t="inlineStr">
        <is>
          <t>Fitbit Sense Advanced Smartwatch with Tools for Heart Health, Stress Management &amp; Skin Temperature Trends, White/Gold, One Size (S &amp; L Bands Included)</t>
        </is>
      </c>
      <c r="AO450" t="inlineStr">
        <is>
          <t>600</t>
        </is>
      </c>
      <c r="AP450" t="inlineStr">
        <is>
          <t>300</t>
        </is>
      </c>
    </row>
    <row r="451">
      <c r="A451" t="inlineStr">
        <is>
          <t>B08F6JW1MZ</t>
        </is>
      </c>
      <c r="B451" t="inlineStr">
        <is>
          <t>False</t>
        </is>
      </c>
      <c r="C451" t="inlineStr">
        <is>
          <t>B08F6JW1MZ</t>
        </is>
      </c>
      <c r="D451" t="inlineStr">
        <is>
          <t>Jool Baby Products</t>
        </is>
      </c>
      <c r="E451" t="inlineStr">
        <is>
          <t>False</t>
        </is>
      </c>
      <c r="F451" t="inlineStr">
        <is>
          <t>TinyBums Baby Wipe Warmer &amp; Dispenser with LED Changing Light &amp; On/Off Switch - Jool Baby</t>
        </is>
      </c>
      <c r="G451">
        <v>1</v>
      </c>
      <c r="H451" s="2" t="str">
        <f>HYPERLINK("https://www.amazon.com/dp/B08F6JW1MZ", "https://www.amazon.com/dp/B08F6JW1MZ")</f>
      </c>
      <c r="I451" s="3">
        <v>4278</v>
      </c>
      <c r="J451" s="4">
        <v>4.53</v>
      </c>
      <c r="K451" s="5">
        <v>0.15109999999999998</v>
      </c>
      <c r="L451" s="15">
        <v>0.3071</v>
      </c>
      <c r="M451" t="inlineStr">
        <is>
          <t>True</t>
        </is>
      </c>
      <c r="N451" t="inlineStr">
        <is>
          <t>Baby</t>
        </is>
      </c>
      <c r="O451" s="6">
        <v>1193</v>
      </c>
      <c r="P451" s="6">
        <v>1345</v>
      </c>
      <c r="Q451" s="6">
        <v>773</v>
      </c>
      <c r="R451" s="6">
        <v>243</v>
      </c>
      <c r="S451" s="7">
        <v>14.75</v>
      </c>
      <c r="T451" s="7">
        <v>29.99</v>
      </c>
      <c r="U451">
        <v>29.2</v>
      </c>
      <c r="V451" s="8">
        <v>0</v>
      </c>
      <c r="W451" s="7">
        <v>0</v>
      </c>
      <c r="X451" s="7">
        <v>0</v>
      </c>
      <c r="Y451">
        <v>1.83</v>
      </c>
      <c r="Z451" s="8">
        <v>0</v>
      </c>
      <c r="AB451">
        <v>0</v>
      </c>
      <c r="AC451">
        <v>0</v>
      </c>
      <c r="AD451">
        <v>1</v>
      </c>
      <c r="AE451">
        <v>1</v>
      </c>
      <c r="AF451">
        <v>0</v>
      </c>
      <c r="AG451">
        <v>1</v>
      </c>
      <c r="AH451">
        <v>1</v>
      </c>
      <c r="AI451" t="inlineStr">
        <is>
          <t>False</t>
        </is>
      </c>
      <c r="AJ451" s="2" t="str">
        <f>HYPERLINK("https://keepa.com/#!product/1-B08F6JW1MZ", "https://keepa.com/#!product/1-B08F6JW1MZ")</f>
      </c>
      <c r="AK451" s="2" t="str">
        <f>HYPERLINK("https://camelcamelcamel.com/search?sq=B08F6JW1MZ", "https://camelcamelcamel.com/search?sq=B08F6JW1MZ")</f>
      </c>
      <c r="AL451" t="inlineStr">
        <is>
          <t/>
        </is>
      </c>
      <c r="AM451" s="10">
        <v>45417.11111111111</v>
      </c>
      <c r="AN451" t="inlineStr">
        <is>
          <t>TinyBums Baby Wipe Warmer &amp; Dispenser with LED Changing Light &amp; On/Off Switch - Jool Baby</t>
        </is>
      </c>
      <c r="AO451" t="inlineStr">
        <is>
          <t>1250</t>
        </is>
      </c>
      <c r="AP451" t="inlineStr">
        <is>
          <t>400</t>
        </is>
      </c>
    </row>
    <row r="452">
      <c r="A452" t="inlineStr">
        <is>
          <t>B08F6Z89LN</t>
        </is>
      </c>
      <c r="B452" t="inlineStr">
        <is>
          <t>False</t>
        </is>
      </c>
      <c r="C452" t="inlineStr">
        <is>
          <t>B08F6Z89LN</t>
        </is>
      </c>
      <c r="D452" t="inlineStr">
        <is>
          <t>Bissell</t>
        </is>
      </c>
      <c r="E452" t="inlineStr">
        <is>
          <t>False</t>
        </is>
      </c>
      <c r="F452" t="inlineStr">
        <is>
          <t>Bissell SpinWave Hard Floor Expert Pet Robot, 2-in-1 Wet Mop and Dry Robot Vacuum, WiFi Connected with Structured Navigation, 3115</t>
        </is>
      </c>
      <c r="G452">
        <v>1</v>
      </c>
      <c r="H452" s="2" t="str">
        <f>HYPERLINK("https://www.amazon.com/dp/B08F6Z89LN", "https://www.amazon.com/dp/B08F6Z89LN")</f>
      </c>
      <c r="I452" s="3">
        <v>398</v>
      </c>
      <c r="J452" s="12">
        <v>-8.59</v>
      </c>
      <c r="K452" s="13">
        <v>-0.057800000000000004</v>
      </c>
      <c r="L452" s="13">
        <v>-0.0728</v>
      </c>
      <c r="M452" t="inlineStr">
        <is>
          <t>True</t>
        </is>
      </c>
      <c r="N452" t="inlineStr">
        <is>
          <t>Home &amp; Kitchen</t>
        </is>
      </c>
      <c r="O452" s="6">
        <v>67873</v>
      </c>
      <c r="P452" s="6">
        <v>36152</v>
      </c>
      <c r="Q452" s="6">
        <v>1564</v>
      </c>
      <c r="R452" s="6">
        <v>178</v>
      </c>
      <c r="S452" s="7">
        <v>118</v>
      </c>
      <c r="T452" s="7">
        <v>148.67</v>
      </c>
      <c r="U452">
        <v>165.69</v>
      </c>
      <c r="V452" s="8">
        <v>0</v>
      </c>
      <c r="W452" s="7">
        <v>0</v>
      </c>
      <c r="X452" s="7">
        <v>0</v>
      </c>
      <c r="Y452">
        <v>15.3</v>
      </c>
      <c r="Z452" s="9">
        <v>0.53</v>
      </c>
      <c r="AB452">
        <v>0</v>
      </c>
      <c r="AC452">
        <v>0</v>
      </c>
      <c r="AD452">
        <v>13</v>
      </c>
      <c r="AE452">
        <v>7</v>
      </c>
      <c r="AF452">
        <v>2</v>
      </c>
      <c r="AG452">
        <v>3</v>
      </c>
      <c r="AH452">
        <v>2</v>
      </c>
      <c r="AI452" t="inlineStr">
        <is>
          <t>True</t>
        </is>
      </c>
      <c r="AJ452" s="2" t="str">
        <f>HYPERLINK("https://keepa.com/#!product/1-B08F6Z89LN", "https://keepa.com/#!product/1-B08F6Z89LN")</f>
      </c>
      <c r="AK452" s="2" t="str">
        <f>HYPERLINK("https://camelcamelcamel.com/search?sq=B08F6Z89LN", "https://camelcamelcamel.com/search?sq=B08F6Z89LN")</f>
      </c>
      <c r="AL452" t="inlineStr">
        <is>
          <t/>
        </is>
      </c>
      <c r="AM452" s="10">
        <v>45417.11111111111</v>
      </c>
      <c r="AN452" t="inlineStr">
        <is>
          <t>Bissell SpinWave Hard Floor Expert Pet Robot, 2-in-1 Wet Mop and Dry Robot Vacuum, WiFi Connected with Structured Navigation, 3115</t>
        </is>
      </c>
      <c r="AO452" t="inlineStr">
        <is>
          <t>354</t>
        </is>
      </c>
      <c r="AP452" t="inlineStr">
        <is>
          <t>TAKE ALL</t>
        </is>
      </c>
    </row>
    <row r="453">
      <c r="A453" t="inlineStr">
        <is>
          <t>B08F6ZMQDF</t>
        </is>
      </c>
      <c r="B453" t="inlineStr">
        <is>
          <t>False</t>
        </is>
      </c>
      <c r="C453" t="inlineStr">
        <is>
          <t>B08F6ZMQDF</t>
        </is>
      </c>
      <c r="D453" t="inlineStr">
        <is>
          <t>Gexolenu</t>
        </is>
      </c>
      <c r="E453" t="inlineStr">
        <is>
          <t>False</t>
        </is>
      </c>
      <c r="F453" t="inlineStr">
        <is>
          <t>Gexolenu 100 PCS Disposable Piping Bags, 12 Inch Upgraded Anti-Burst pastry bags for Cake and Buttercream Frosting, Cupcake Baking Decorating Icing Bags, Thick, Non-Slip for All Size Tips and Couples</t>
        </is>
      </c>
      <c r="G453">
        <v>100</v>
      </c>
      <c r="H453" s="2" t="str">
        <f>HYPERLINK("https://www.amazon.com/dp/B08F6ZMQDF", "https://www.amazon.com/dp/B08F6ZMQDF")</f>
      </c>
      <c r="I453" s="3">
        <v>82</v>
      </c>
      <c r="J453" s="12">
        <v>-296.75</v>
      </c>
      <c r="K453" s="13">
        <v>-42.453500000000005</v>
      </c>
      <c r="L453" s="13">
        <v>-0.9892</v>
      </c>
      <c r="M453" t="inlineStr">
        <is>
          <t>True</t>
        </is>
      </c>
      <c r="N453" t="inlineStr">
        <is>
          <t>Kitchen &amp; Dining</t>
        </is>
      </c>
      <c r="O453" s="6">
        <v>72710</v>
      </c>
      <c r="P453" s="6">
        <v>50719</v>
      </c>
      <c r="Q453" s="6">
        <v>26134</v>
      </c>
      <c r="R453" s="6">
        <v>61</v>
      </c>
      <c r="S453" s="7">
        <v>3</v>
      </c>
      <c r="T453" s="7">
        <v>6.99</v>
      </c>
      <c r="U453">
        <v>6.99</v>
      </c>
      <c r="V453" s="8">
        <v>0</v>
      </c>
      <c r="W453" s="7">
        <v>0</v>
      </c>
      <c r="X453" s="7">
        <v>0</v>
      </c>
      <c r="Y453">
        <v>0.55</v>
      </c>
      <c r="Z453" s="8">
        <v>0</v>
      </c>
      <c r="AB453">
        <v>0</v>
      </c>
      <c r="AC453">
        <v>0</v>
      </c>
      <c r="AD453">
        <v>1</v>
      </c>
      <c r="AE453">
        <v>1</v>
      </c>
      <c r="AF453">
        <v>0</v>
      </c>
      <c r="AG453">
        <v>1</v>
      </c>
      <c r="AH453">
        <v>3</v>
      </c>
      <c r="AI453" t="inlineStr">
        <is>
          <t>False</t>
        </is>
      </c>
      <c r="AJ453" s="2" t="str">
        <f>HYPERLINK("https://keepa.com/#!product/1-B08F6ZMQDF", "https://keepa.com/#!product/1-B08F6ZMQDF")</f>
      </c>
      <c r="AK453" s="2" t="str">
        <f>HYPERLINK("https://camelcamelcamel.com/search?sq=B08F6ZMQDF", "https://camelcamelcamel.com/search?sq=B08F6ZMQDF")</f>
      </c>
      <c r="AL453" t="inlineStr">
        <is>
          <t/>
        </is>
      </c>
      <c r="AM453" s="10">
        <v>45417.11111111111</v>
      </c>
      <c r="AN453" t="inlineStr">
        <is>
          <t>100 PCS Disposable Piping Bags, 12 Inch Upgraded Anti-Burst pastry bags for Cake and Buttercream Frosting, Cupcake Baking Decorating Icing Bags, Thick, Non-Slip for All Size Tips and Couples</t>
        </is>
      </c>
      <c r="AO453" t="inlineStr">
        <is>
          <t>1200</t>
        </is>
      </c>
      <c r="AP453" t="inlineStr">
        <is>
          <t>TAKE ALL</t>
        </is>
      </c>
    </row>
    <row r="454">
      <c r="A454" t="inlineStr">
        <is>
          <t>B08F827CKW</t>
        </is>
      </c>
      <c r="B454" t="inlineStr">
        <is>
          <t>False</t>
        </is>
      </c>
      <c r="C454" t="inlineStr">
        <is>
          <t>B08F827CKW</t>
        </is>
      </c>
      <c r="D454" t="inlineStr">
        <is>
          <t>Airborne</t>
        </is>
      </c>
      <c r="E454" t="inlineStr">
        <is>
          <t>False</t>
        </is>
      </c>
      <c r="F454" t="inlineStr">
        <is>
          <t>Vitamin C 1000mg (per Serving), Airborne Citrus Chewable Tablets (116ct), Gluten-Free Immune Support Supplement, with Vitamins A C E, ZINC, Selenium, Echinacea &amp; Ginger, Antioxidants (Pack of 2)</t>
        </is>
      </c>
      <c r="G454">
        <v>2</v>
      </c>
      <c r="H454" s="2" t="str">
        <f>HYPERLINK("https://www.amazon.com/dp/B08F827CKW", "https://www.amazon.com/dp/B08F827CKW")</f>
      </c>
      <c r="I454" s="3">
        <v>1821</v>
      </c>
      <c r="J454" s="12">
        <v>-13.19</v>
      </c>
      <c r="K454" s="13">
        <v>-0.38789999999999997</v>
      </c>
      <c r="L454" s="13">
        <v>-0.3517</v>
      </c>
      <c r="M454" t="inlineStr">
        <is>
          <t>True</t>
        </is>
      </c>
      <c r="N454" t="inlineStr">
        <is>
          <t>Health &amp; Household</t>
        </is>
      </c>
      <c r="O454" s="6">
        <v>13817</v>
      </c>
      <c r="P454" s="6">
        <v>26714</v>
      </c>
      <c r="Q454" s="6">
        <v>10826</v>
      </c>
      <c r="R454" s="6">
        <v>116</v>
      </c>
      <c r="S454" s="7">
        <v>18.75</v>
      </c>
      <c r="T454" s="7">
        <v>34</v>
      </c>
      <c r="U454">
        <v>33.32</v>
      </c>
      <c r="V454" s="8">
        <v>0</v>
      </c>
      <c r="W454" s="7">
        <v>0</v>
      </c>
      <c r="X454" s="7">
        <v>0</v>
      </c>
      <c r="Y454">
        <v>0.88</v>
      </c>
      <c r="Z454" s="8">
        <v>0</v>
      </c>
      <c r="AB454">
        <v>0</v>
      </c>
      <c r="AC454">
        <v>0</v>
      </c>
      <c r="AD454">
        <v>1</v>
      </c>
      <c r="AE454">
        <v>1</v>
      </c>
      <c r="AF454">
        <v>0</v>
      </c>
      <c r="AG454">
        <v>1</v>
      </c>
      <c r="AH454">
        <v>1</v>
      </c>
      <c r="AI454" t="inlineStr">
        <is>
          <t>False</t>
        </is>
      </c>
      <c r="AJ454" s="2" t="str">
        <f>HYPERLINK("https://keepa.com/#!product/1-B08F827CKW", "https://keepa.com/#!product/1-B08F827CKW")</f>
      </c>
      <c r="AK454" s="2" t="str">
        <f>HYPERLINK("https://camelcamelcamel.com/search?sq=B08F827CKW", "https://camelcamelcamel.com/search?sq=B08F827CKW")</f>
      </c>
      <c r="AL454" t="inlineStr">
        <is>
          <t/>
        </is>
      </c>
      <c r="AM454" s="10">
        <v>45417.11111111111</v>
      </c>
      <c r="AN454" t="inlineStr">
        <is>
          <t>Vitamin C 1000mg (per Serving), Airborne Citrus Chewable Tablets (116ct), Gluten-Free Immune Support Supplement, with Vitamins A C E, ZINC, Selenium, Echinacea &amp; Ginger, Antioxidants (Pack of 2)</t>
        </is>
      </c>
      <c r="AO454" t="inlineStr">
        <is>
          <t>1300</t>
        </is>
      </c>
      <c r="AP454" t="inlineStr">
        <is>
          <t>TAKE ALL</t>
        </is>
      </c>
    </row>
    <row r="455">
      <c r="A455" t="inlineStr">
        <is>
          <t>B08FBMJK4H</t>
        </is>
      </c>
      <c r="B455" t="inlineStr">
        <is>
          <t>False</t>
        </is>
      </c>
      <c r="C455" t="inlineStr">
        <is>
          <t>B08FBMJK4H</t>
        </is>
      </c>
      <c r="D455" t="inlineStr">
        <is>
          <t>Finishing Touch</t>
        </is>
      </c>
      <c r="E455" t="inlineStr">
        <is>
          <t>False</t>
        </is>
      </c>
      <c r="F455" t="inlineStr">
        <is>
          <t>Finishing Touch Flawless Cleanse Silicone Face Scrubber and Cleanser, 1 count</t>
        </is>
      </c>
      <c r="G455">
        <v>1</v>
      </c>
      <c r="H455" s="2" t="str">
        <f>HYPERLINK("https://www.amazon.com/dp/B08FBMJK4H", "https://www.amazon.com/dp/B08FBMJK4H")</f>
      </c>
      <c r="I455" s="3">
        <v>2356</v>
      </c>
      <c r="J455" s="11">
        <v>0.9</v>
      </c>
      <c r="K455" s="5">
        <v>0.0732</v>
      </c>
      <c r="L455" s="5">
        <v>0.1714</v>
      </c>
      <c r="M455" t="inlineStr">
        <is>
          <t>True</t>
        </is>
      </c>
      <c r="N455" t="inlineStr">
        <is>
          <t>Beauty &amp; Personal Care</t>
        </is>
      </c>
      <c r="O455" s="6">
        <v>8025</v>
      </c>
      <c r="P455" s="6">
        <v>7667</v>
      </c>
      <c r="Q455" s="6">
        <v>1961</v>
      </c>
      <c r="R455" s="6">
        <v>270</v>
      </c>
      <c r="S455" s="7">
        <v>5.25</v>
      </c>
      <c r="T455" s="7">
        <v>12.3</v>
      </c>
      <c r="U455">
        <v>12.11</v>
      </c>
      <c r="V455" s="8">
        <v>0</v>
      </c>
      <c r="W455" s="7">
        <v>0</v>
      </c>
      <c r="X455" s="7">
        <v>0</v>
      </c>
      <c r="Y455">
        <v>0.5</v>
      </c>
      <c r="Z455" s="9">
        <v>0.08</v>
      </c>
      <c r="AB455">
        <v>0</v>
      </c>
      <c r="AC455">
        <v>0</v>
      </c>
      <c r="AD455">
        <v>27</v>
      </c>
      <c r="AE455">
        <v>17</v>
      </c>
      <c r="AF455">
        <v>10</v>
      </c>
      <c r="AG455">
        <v>12</v>
      </c>
      <c r="AH455">
        <v>1</v>
      </c>
      <c r="AI455" t="inlineStr">
        <is>
          <t>True</t>
        </is>
      </c>
      <c r="AJ455" s="2" t="str">
        <f>HYPERLINK("https://keepa.com/#!product/1-B08FBMJK4H", "https://keepa.com/#!product/1-B08FBMJK4H")</f>
      </c>
      <c r="AK455" s="2" t="str">
        <f>HYPERLINK("https://camelcamelcamel.com/search?sq=B08FBMJK4H", "https://camelcamelcamel.com/search?sq=B08FBMJK4H")</f>
      </c>
      <c r="AL455" t="inlineStr">
        <is>
          <t/>
        </is>
      </c>
      <c r="AM455" s="10">
        <v>45417.11111111111</v>
      </c>
      <c r="AN455" t="inlineStr">
        <is>
          <t>Finishing Touch Flawless Cleanse Silicone Face Scrubber and Cleanser, 1 count</t>
        </is>
      </c>
      <c r="AO455" t="inlineStr">
        <is>
          <t>500</t>
        </is>
      </c>
      <c r="AP455" t="inlineStr">
        <is>
          <t>TAKE ALL</t>
        </is>
      </c>
    </row>
    <row r="456">
      <c r="A456" t="inlineStr">
        <is>
          <t>B08FH9CDMZ</t>
        </is>
      </c>
      <c r="B456" t="inlineStr">
        <is>
          <t>False</t>
        </is>
      </c>
      <c r="C456" t="inlineStr">
        <is>
          <t>B08FH9CDMZ</t>
        </is>
      </c>
      <c r="D456" t="inlineStr">
        <is>
          <t>Dunkin' Donuts</t>
        </is>
      </c>
      <c r="E456" t="inlineStr">
        <is>
          <t>False</t>
        </is>
      </c>
      <c r="F456" t="inlineStr">
        <is>
          <t>Dunkin' Donuts Original Ground Coffee, 45 oz - Makes up to 150 6 fl oz cups, 2 Pack</t>
        </is>
      </c>
      <c r="G456">
        <v>1</v>
      </c>
      <c r="H456" s="2" t="str">
        <f>HYPERLINK("https://www.amazon.com/dp/B08FH9CDMZ", "https://www.amazon.com/dp/B08FH9CDMZ")</f>
      </c>
      <c r="I456" s="3">
        <v>1451</v>
      </c>
      <c r="J456" s="4">
        <v>6.85</v>
      </c>
      <c r="K456" s="5">
        <v>0.13570000000000002</v>
      </c>
      <c r="L456" s="5">
        <v>0.25370000000000004</v>
      </c>
      <c r="M456" t="inlineStr">
        <is>
          <t>True</t>
        </is>
      </c>
      <c r="N456" t="inlineStr">
        <is>
          <t>Grocery &amp; Gourmet Food</t>
        </is>
      </c>
      <c r="O456" s="6">
        <v>5913</v>
      </c>
      <c r="P456" s="6">
        <v>5854</v>
      </c>
      <c r="Q456" s="6">
        <v>3847</v>
      </c>
      <c r="R456" s="6">
        <v>269</v>
      </c>
      <c r="S456" s="7">
        <v>27</v>
      </c>
      <c r="T456" s="7">
        <v>50.49</v>
      </c>
      <c r="U456">
        <v>53.76</v>
      </c>
      <c r="V456" s="8">
        <v>0</v>
      </c>
      <c r="W456" s="7">
        <v>0</v>
      </c>
      <c r="X456" s="7">
        <v>0</v>
      </c>
      <c r="Y456">
        <v>6.48</v>
      </c>
      <c r="Z456" s="8">
        <v>0</v>
      </c>
      <c r="AB456">
        <v>0</v>
      </c>
      <c r="AC456">
        <v>0</v>
      </c>
      <c r="AD456">
        <v>66</v>
      </c>
      <c r="AE456">
        <v>11</v>
      </c>
      <c r="AF456">
        <v>55</v>
      </c>
      <c r="AG456">
        <v>5</v>
      </c>
      <c r="AH456">
        <v>3</v>
      </c>
      <c r="AI456" t="inlineStr">
        <is>
          <t>False</t>
        </is>
      </c>
      <c r="AJ456" s="2" t="str">
        <f>HYPERLINK("https://keepa.com/#!product/1-B08FH9CDMZ", "https://keepa.com/#!product/1-B08FH9CDMZ")</f>
      </c>
      <c r="AK456" s="2" t="str">
        <f>HYPERLINK("https://camelcamelcamel.com/search?sq=B08FH9CDMZ", "https://camelcamelcamel.com/search?sq=B08FH9CDMZ")</f>
      </c>
      <c r="AL456" t="inlineStr">
        <is>
          <t/>
        </is>
      </c>
      <c r="AM456" s="10">
        <v>45417.11111111111</v>
      </c>
      <c r="AN456" t="inlineStr">
        <is>
          <t>Dunkin' Donuts Original Ground Coffee, 45 oz - Makes up to 150 6 fl oz cups, 2 Pack</t>
        </is>
      </c>
      <c r="AO456" t="inlineStr">
        <is>
          <t>493</t>
        </is>
      </c>
      <c r="AP456" t="inlineStr">
        <is>
          <t>TAKE ALL</t>
        </is>
      </c>
    </row>
    <row r="457">
      <c r="A457" t="inlineStr">
        <is>
          <t>B08FJ7XY3B</t>
        </is>
      </c>
      <c r="B457" t="inlineStr">
        <is>
          <t>False</t>
        </is>
      </c>
      <c r="C457" t="inlineStr">
        <is>
          <t>B08FJ7XY3B</t>
        </is>
      </c>
      <c r="D457" t="inlineStr">
        <is>
          <t>HORI</t>
        </is>
      </c>
      <c r="E457" t="inlineStr">
        <is>
          <t>False</t>
        </is>
      </c>
      <c r="F457" t="inlineStr">
        <is>
          <t>Hori Nintendo Switch Split Pad Pro (Black) Ergonomic Controller for Handheld Mode - Officially Licensed By Nintendo</t>
        </is>
      </c>
      <c r="G457">
        <v>1</v>
      </c>
      <c r="H457" s="2" t="str">
        <f>HYPERLINK("https://www.amazon.com/dp/B08FJ7XY3B", "https://www.amazon.com/dp/B08FJ7XY3B")</f>
      </c>
      <c r="I457" s="3">
        <v>1876</v>
      </c>
      <c r="J457" s="4">
        <v>10.99</v>
      </c>
      <c r="K457" s="5">
        <v>0.2198</v>
      </c>
      <c r="L457" s="15">
        <v>0.431</v>
      </c>
      <c r="M457" t="inlineStr">
        <is>
          <t>True</t>
        </is>
      </c>
      <c r="N457" t="inlineStr">
        <is>
          <t>Video Games</t>
        </is>
      </c>
      <c r="O457" s="6">
        <v>373</v>
      </c>
      <c r="P457" s="6">
        <v>503</v>
      </c>
      <c r="Q457" s="6">
        <v>169</v>
      </c>
      <c r="R457" s="6">
        <v>298</v>
      </c>
      <c r="S457" s="7">
        <v>25.5</v>
      </c>
      <c r="T457" s="7">
        <v>49.99</v>
      </c>
      <c r="U457">
        <v>41.06</v>
      </c>
      <c r="V457" s="8">
        <v>0</v>
      </c>
      <c r="W457" s="7">
        <v>0</v>
      </c>
      <c r="X457" s="7">
        <v>0</v>
      </c>
      <c r="Y457">
        <v>0.53</v>
      </c>
      <c r="Z457" s="9">
        <v>0.63</v>
      </c>
      <c r="AB457">
        <v>0</v>
      </c>
      <c r="AC457">
        <v>0</v>
      </c>
      <c r="AD457">
        <v>28</v>
      </c>
      <c r="AE457">
        <v>1</v>
      </c>
      <c r="AF457">
        <v>19</v>
      </c>
      <c r="AG457">
        <v>1</v>
      </c>
      <c r="AH457">
        <v>8</v>
      </c>
      <c r="AI457" t="inlineStr">
        <is>
          <t>False</t>
        </is>
      </c>
      <c r="AJ457" s="2" t="str">
        <f>HYPERLINK("https://keepa.com/#!product/1-B08FJ7XY3B", "https://keepa.com/#!product/1-B08FJ7XY3B")</f>
      </c>
      <c r="AK457" s="2" t="str">
        <f>HYPERLINK("https://camelcamelcamel.com/search?sq=B08FJ7XY3B", "https://camelcamelcamel.com/search?sq=B08FJ7XY3B")</f>
      </c>
      <c r="AL457" t="inlineStr">
        <is>
          <t/>
        </is>
      </c>
      <c r="AM457" s="10">
        <v>45417.11111111111</v>
      </c>
      <c r="AN457" t="inlineStr">
        <is>
          <t>Hori Nintendo Switch Split Pad Pro (Black) Ergonomic Controller for Handheld Mode - Officially Licensed By Nintendo</t>
        </is>
      </c>
      <c r="AO457" t="inlineStr">
        <is>
          <t>2000</t>
        </is>
      </c>
      <c r="AP457" t="inlineStr">
        <is>
          <t>1000</t>
        </is>
      </c>
    </row>
    <row r="458">
      <c r="A458" t="inlineStr">
        <is>
          <t>B08FJ8B197</t>
        </is>
      </c>
      <c r="B458" t="inlineStr">
        <is>
          <t>False</t>
        </is>
      </c>
      <c r="C458" t="inlineStr">
        <is>
          <t>B08FJ8B197</t>
        </is>
      </c>
      <c r="D458" t="inlineStr">
        <is>
          <t>HORI</t>
        </is>
      </c>
      <c r="E458" t="inlineStr">
        <is>
          <t>False</t>
        </is>
      </c>
      <c r="F458" t="inlineStr">
        <is>
          <t>Hori Nintendo Switch Split Pad Pro (Red) Ergonomic Controller for Handheld Mode - Officially Licensed By Nintendo</t>
        </is>
      </c>
      <c r="G458">
        <v>1</v>
      </c>
      <c r="H458" s="2" t="str">
        <f>HYPERLINK("https://www.amazon.com/dp/B08FJ8B197", "https://www.amazon.com/dp/B08FJ8B197")</f>
      </c>
      <c r="I458" s="3">
        <v>553</v>
      </c>
      <c r="J458" s="4">
        <v>8.33</v>
      </c>
      <c r="K458" s="5">
        <v>0.17559999999999998</v>
      </c>
      <c r="L458" s="15">
        <v>0.3204</v>
      </c>
      <c r="M458" t="inlineStr">
        <is>
          <t>True</t>
        </is>
      </c>
      <c r="N458" t="inlineStr">
        <is>
          <t>Video Games</t>
        </is>
      </c>
      <c r="O458" s="6">
        <v>1799</v>
      </c>
      <c r="P458" s="6">
        <v>1708</v>
      </c>
      <c r="Q458" s="6">
        <v>775</v>
      </c>
      <c r="R458" s="6">
        <v>282</v>
      </c>
      <c r="S458" s="7">
        <v>26</v>
      </c>
      <c r="T458" s="7">
        <v>47.45</v>
      </c>
      <c r="U458">
        <v>45.2</v>
      </c>
      <c r="V458" s="8">
        <v>0</v>
      </c>
      <c r="W458" s="7">
        <v>0</v>
      </c>
      <c r="X458" s="7">
        <v>0</v>
      </c>
      <c r="Y458">
        <v>0.53</v>
      </c>
      <c r="Z458" s="9">
        <v>1</v>
      </c>
      <c r="AB458">
        <v>0</v>
      </c>
      <c r="AC458">
        <v>0</v>
      </c>
      <c r="AD458">
        <v>19</v>
      </c>
      <c r="AE458">
        <v>1</v>
      </c>
      <c r="AF458">
        <v>14</v>
      </c>
      <c r="AG458">
        <v>1</v>
      </c>
      <c r="AH458">
        <v>8</v>
      </c>
      <c r="AI458" t="inlineStr">
        <is>
          <t>False</t>
        </is>
      </c>
      <c r="AJ458" s="2" t="str">
        <f>HYPERLINK("https://keepa.com/#!product/1-B08FJ8B197", "https://keepa.com/#!product/1-B08FJ8B197")</f>
      </c>
      <c r="AK458" s="2" t="str">
        <f>HYPERLINK("https://camelcamelcamel.com/search?sq=B08FJ8B197", "https://camelcamelcamel.com/search?sq=B08FJ8B197")</f>
      </c>
      <c r="AL458" t="inlineStr">
        <is>
          <t/>
        </is>
      </c>
      <c r="AM458" s="10">
        <v>45417.11111111111</v>
      </c>
      <c r="AN458" t="inlineStr">
        <is>
          <t>Hori Nintendo Switch Split Pad Pro (Red) Ergonomic Controller for Handheld Mode - Officially Licensed By Nintendo</t>
        </is>
      </c>
      <c r="AO458" t="inlineStr">
        <is>
          <t>3216</t>
        </is>
      </c>
      <c r="AP458" t="inlineStr">
        <is>
          <t>1500</t>
        </is>
      </c>
    </row>
    <row r="459">
      <c r="A459" t="inlineStr">
        <is>
          <t>B08FRSL2QB</t>
        </is>
      </c>
      <c r="B459" t="inlineStr">
        <is>
          <t>False</t>
        </is>
      </c>
      <c r="C459" t="inlineStr">
        <is>
          <t>B08FRSL2QB</t>
        </is>
      </c>
      <c r="D459" t="inlineStr">
        <is>
          <t>blk.</t>
        </is>
      </c>
      <c r="E459" t="inlineStr">
        <is>
          <t>False</t>
        </is>
      </c>
      <c r="F459" t="inlineStr">
        <is>
          <t>blk. PH 8+ Natural Mineral Alkaline Water Drops Electrolyte Infused with Fulvic and Amino Acids, Zero Sugar, 2oz.</t>
        </is>
      </c>
      <c r="G459">
        <v>1</v>
      </c>
      <c r="H459" s="2" t="str">
        <f>HYPERLINK("https://www.amazon.com/dp/B08FRSL2QB", "https://www.amazon.com/dp/B08FRSL2QB")</f>
      </c>
      <c r="I459" s="3">
        <v>1001</v>
      </c>
      <c r="J459" s="12">
        <v>-1.71</v>
      </c>
      <c r="K459" s="13">
        <v>-0.0882</v>
      </c>
      <c r="L459" s="13">
        <v>-0.11789999999999999</v>
      </c>
      <c r="M459" t="inlineStr">
        <is>
          <t>True</t>
        </is>
      </c>
      <c r="N459" t="inlineStr">
        <is>
          <t>Health &amp; Household</t>
        </is>
      </c>
      <c r="O459" s="6">
        <v>22494</v>
      </c>
      <c r="P459" s="6">
        <v>19836</v>
      </c>
      <c r="Q459" s="6">
        <v>14370</v>
      </c>
      <c r="R459" s="6">
        <v>190</v>
      </c>
      <c r="S459" s="7">
        <v>14.5</v>
      </c>
      <c r="T459" s="7">
        <v>19.39</v>
      </c>
      <c r="U459">
        <v>26.7</v>
      </c>
      <c r="V459" s="8">
        <v>0</v>
      </c>
      <c r="W459" s="7">
        <v>0</v>
      </c>
      <c r="X459" s="7">
        <v>0</v>
      </c>
      <c r="Y459">
        <v>0.24</v>
      </c>
      <c r="Z459" s="8">
        <v>0</v>
      </c>
      <c r="AB459">
        <v>0</v>
      </c>
      <c r="AC459">
        <v>0</v>
      </c>
      <c r="AD459">
        <v>14</v>
      </c>
      <c r="AE459">
        <v>11</v>
      </c>
      <c r="AF459">
        <v>3</v>
      </c>
      <c r="AG459">
        <v>6</v>
      </c>
      <c r="AH459">
        <v>3</v>
      </c>
      <c r="AI459" t="inlineStr">
        <is>
          <t>False</t>
        </is>
      </c>
      <c r="AJ459" s="2" t="str">
        <f>HYPERLINK("https://keepa.com/#!product/1-B08FRSL2QB", "https://keepa.com/#!product/1-B08FRSL2QB")</f>
      </c>
      <c r="AK459" s="2" t="str">
        <f>HYPERLINK("https://camelcamelcamel.com/search?sq=B08FRSL2QB", "https://camelcamelcamel.com/search?sq=B08FRSL2QB")</f>
      </c>
      <c r="AL459" t="inlineStr">
        <is>
          <t/>
        </is>
      </c>
      <c r="AM459" s="10">
        <v>45417.11111111111</v>
      </c>
      <c r="AN459" t="inlineStr">
        <is>
          <t>blk. PH 8+ Natural Mineral Alkaline Water Drops Electrolyte Infused with Fulvic and Amino Acids, Zero Sugar, 2oz</t>
        </is>
      </c>
      <c r="AO459" t="inlineStr">
        <is>
          <t>600</t>
        </is>
      </c>
      <c r="AP459" t="inlineStr">
        <is>
          <t>TAKE ALL</t>
        </is>
      </c>
    </row>
    <row r="460">
      <c r="A460" t="inlineStr">
        <is>
          <t>B08G9L3CN9</t>
        </is>
      </c>
      <c r="B460" t="inlineStr">
        <is>
          <t>False</t>
        </is>
      </c>
      <c r="C460" t="inlineStr">
        <is>
          <t>B08G9L3CN9</t>
        </is>
      </c>
      <c r="D460" t="inlineStr">
        <is>
          <t>Jovial</t>
        </is>
      </c>
      <c r="E460" t="inlineStr">
        <is>
          <t>True</t>
        </is>
      </c>
      <c r="F460" t="inlineStr">
        <is>
          <t>Jovial Einkorn 100% Organic Einkorn All Purpose Flour - Baking Flour, High Protein, Non-GMO, USDA Certified Organic, Unbleached Flour, Product of Italy, Organic All Purpose Flour - 10 Lb, 2 Pack</t>
        </is>
      </c>
      <c r="G460">
        <v>1</v>
      </c>
      <c r="H460" s="2" t="str">
        <f>HYPERLINK("https://www.amazon.com/dp/B08G9L3CN9", "https://www.amazon.com/dp/B08G9L3CN9")</f>
      </c>
      <c r="I460" s="3">
        <v>348</v>
      </c>
      <c r="J460" s="4">
        <v>14.41</v>
      </c>
      <c r="K460" s="5">
        <v>0.1643</v>
      </c>
      <c r="L460" s="15">
        <v>0.33130000000000004</v>
      </c>
      <c r="M460" t="inlineStr">
        <is>
          <t>True</t>
        </is>
      </c>
      <c r="N460" t="inlineStr">
        <is>
          <t>Grocery &amp; Gourmet Food</t>
        </is>
      </c>
      <c r="O460" s="6">
        <v>22165</v>
      </c>
      <c r="P460" s="6">
        <v>24041</v>
      </c>
      <c r="Q460" s="6">
        <v>12315</v>
      </c>
      <c r="R460" s="6">
        <v>174</v>
      </c>
      <c r="S460" s="7">
        <v>43.5</v>
      </c>
      <c r="T460" s="7">
        <v>87.68</v>
      </c>
      <c r="U460">
        <v>86.47</v>
      </c>
      <c r="V460" s="8">
        <v>0</v>
      </c>
      <c r="W460" s="7">
        <v>0</v>
      </c>
      <c r="X460" s="7">
        <v>0</v>
      </c>
      <c r="Y460">
        <v>21.45</v>
      </c>
      <c r="Z460" s="8">
        <v>0</v>
      </c>
      <c r="AB460">
        <v>0</v>
      </c>
      <c r="AC460">
        <v>0</v>
      </c>
      <c r="AD460">
        <v>3</v>
      </c>
      <c r="AE460">
        <v>2</v>
      </c>
      <c r="AF460">
        <v>1</v>
      </c>
      <c r="AG460">
        <v>2</v>
      </c>
      <c r="AH460">
        <v>0</v>
      </c>
      <c r="AI460" t="inlineStr">
        <is>
          <t>False</t>
        </is>
      </c>
      <c r="AJ460" s="2" t="str">
        <f>HYPERLINK("https://keepa.com/#!product/1-B08G9L3CN9", "https://keepa.com/#!product/1-B08G9L3CN9")</f>
      </c>
      <c r="AK460" s="2" t="str">
        <f>HYPERLINK("https://camelcamelcamel.com/search?sq=B08G9L3CN9", "https://camelcamelcamel.com/search?sq=B08G9L3CN9")</f>
      </c>
      <c r="AL460" t="inlineStr">
        <is>
          <t/>
        </is>
      </c>
      <c r="AM460" s="10">
        <v>45417.11111111111</v>
      </c>
      <c r="AN460" t="inlineStr">
        <is>
          <t>Jovial Einkorn 100% Organic Einkorn All Purpose Flour - Baking Flour, High Protein, Non-GMO, USDA Certified Organic, Unbleached Flour, Product of Italy, Organic All Purpose Flour - 10 Lb, 2 Pack</t>
        </is>
      </c>
      <c r="AO460" t="inlineStr">
        <is>
          <t>200</t>
        </is>
      </c>
      <c r="AP460" t="inlineStr">
        <is>
          <t>TAKE ALL</t>
        </is>
      </c>
    </row>
    <row r="461">
      <c r="A461" t="inlineStr">
        <is>
          <t>B08GB5SCWS</t>
        </is>
      </c>
      <c r="B461" t="inlineStr">
        <is>
          <t>False</t>
        </is>
      </c>
      <c r="C461" t="inlineStr">
        <is>
          <t>B08GB5SCWS</t>
        </is>
      </c>
      <c r="D461" t="inlineStr">
        <is>
          <t>MET-Rx</t>
        </is>
      </c>
      <c r="E461" t="inlineStr">
        <is>
          <t>False</t>
        </is>
      </c>
      <c r="F461" t="inlineStr">
        <is>
          <t>MET-Rx Big 100 Colossal Protein Bars, Fruity Cereal Crunch Meal Replacement Bars, 9 Count</t>
        </is>
      </c>
      <c r="G461">
        <v>1</v>
      </c>
      <c r="H461" s="2" t="str">
        <f>HYPERLINK("https://www.amazon.com/dp/B08GB5SCWS", "https://www.amazon.com/dp/B08GB5SCWS")</f>
      </c>
      <c r="I461" s="3">
        <v>23505</v>
      </c>
      <c r="J461" s="12">
        <v>-6.97</v>
      </c>
      <c r="K461" s="13">
        <v>-0.3825</v>
      </c>
      <c r="L461" s="13">
        <v>-0.4224</v>
      </c>
      <c r="M461" t="inlineStr">
        <is>
          <t>True</t>
        </is>
      </c>
      <c r="N461" t="inlineStr">
        <is>
          <t>Health &amp; Household</t>
        </is>
      </c>
      <c r="O461" s="6">
        <v>704</v>
      </c>
      <c r="P461" s="6">
        <v>1223</v>
      </c>
      <c r="Q461" s="6">
        <v>532</v>
      </c>
      <c r="R461" s="6">
        <v>286</v>
      </c>
      <c r="S461" s="7">
        <v>16.5</v>
      </c>
      <c r="T461" s="7">
        <v>18.22</v>
      </c>
      <c r="U461">
        <v>23.86</v>
      </c>
      <c r="V461" s="8">
        <v>0</v>
      </c>
      <c r="W461" s="7">
        <v>0</v>
      </c>
      <c r="X461" s="7">
        <v>0</v>
      </c>
      <c r="Y461">
        <v>2.16</v>
      </c>
      <c r="Z461" s="9">
        <v>1</v>
      </c>
      <c r="AB461">
        <v>0</v>
      </c>
      <c r="AC461">
        <v>0</v>
      </c>
      <c r="AD461">
        <v>43</v>
      </c>
      <c r="AE461">
        <v>11</v>
      </c>
      <c r="AF461">
        <v>32</v>
      </c>
      <c r="AG461">
        <v>3</v>
      </c>
      <c r="AH461">
        <v>11</v>
      </c>
      <c r="AI461" t="inlineStr">
        <is>
          <t>False</t>
        </is>
      </c>
      <c r="AJ461" s="2" t="str">
        <f>HYPERLINK("https://keepa.com/#!product/1-B08GB5SCWS", "https://keepa.com/#!product/1-B08GB5SCWS")</f>
      </c>
      <c r="AK461" s="2" t="str">
        <f>HYPERLINK("https://camelcamelcamel.com/search?sq=B08GB5SCWS", "https://camelcamelcamel.com/search?sq=B08GB5SCWS")</f>
      </c>
      <c r="AL461" t="inlineStr">
        <is>
          <t/>
        </is>
      </c>
      <c r="AM461" s="10">
        <v>45417.11111111111</v>
      </c>
      <c r="AN461" t="inlineStr">
        <is>
          <t>MET-Rx Big 100 Colossal Protein Bars, Fruity Cereal Crunch Meal Replacement Bars, 9 Count</t>
        </is>
      </c>
      <c r="AO461" t="inlineStr">
        <is>
          <t>1113</t>
        </is>
      </c>
      <c r="AP461" t="inlineStr">
        <is>
          <t>371</t>
        </is>
      </c>
    </row>
    <row r="462">
      <c r="A462" t="inlineStr">
        <is>
          <t>B08GP72HJT</t>
        </is>
      </c>
      <c r="B462" t="inlineStr">
        <is>
          <t>False</t>
        </is>
      </c>
      <c r="C462" t="inlineStr">
        <is>
          <t>B08GP72HJT</t>
        </is>
      </c>
      <c r="D462" t="inlineStr">
        <is>
          <t>West Bend</t>
        </is>
      </c>
      <c r="E462" t="inlineStr">
        <is>
          <t>False</t>
        </is>
      </c>
      <c r="F462" t="inlineStr">
        <is>
          <t>West Bend AFWB12BK13 Electric Air Fryer Oven, Countertop Air Fryer Rotisserie Combo with 10 Digital Quick Menu Presets, 1700 W, 12.6 Qt, Black</t>
        </is>
      </c>
      <c r="G462">
        <v>1</v>
      </c>
      <c r="H462" s="2" t="str">
        <f>HYPERLINK("https://www.amazon.com/dp/B08GP72HJT", "https://www.amazon.com/dp/B08GP72HJT")</f>
      </c>
      <c r="I462" s="3">
        <v>243</v>
      </c>
      <c r="J462" s="11">
        <v>2.32</v>
      </c>
      <c r="K462" s="5">
        <v>0.0285</v>
      </c>
      <c r="L462" s="5">
        <v>0.0483</v>
      </c>
      <c r="M462" t="inlineStr">
        <is>
          <t>True</t>
        </is>
      </c>
      <c r="N462" t="inlineStr">
        <is>
          <t>Kitchen &amp; Dining</t>
        </is>
      </c>
      <c r="O462" s="6">
        <v>29626</v>
      </c>
      <c r="P462" s="6">
        <v>49320</v>
      </c>
      <c r="Q462" s="6">
        <v>23757</v>
      </c>
      <c r="R462" s="6">
        <v>146</v>
      </c>
      <c r="S462" s="7">
        <v>48</v>
      </c>
      <c r="T462" s="7">
        <v>81.49</v>
      </c>
      <c r="U462">
        <v>100.18</v>
      </c>
      <c r="V462" s="8">
        <v>0</v>
      </c>
      <c r="W462" s="7">
        <v>0</v>
      </c>
      <c r="X462" s="7">
        <v>0</v>
      </c>
      <c r="Y462">
        <v>17.3</v>
      </c>
      <c r="Z462" s="9">
        <v>1</v>
      </c>
      <c r="AB462">
        <v>0</v>
      </c>
      <c r="AC462">
        <v>0</v>
      </c>
      <c r="AD462">
        <v>12</v>
      </c>
      <c r="AE462">
        <v>1</v>
      </c>
      <c r="AF462">
        <v>3</v>
      </c>
      <c r="AG462">
        <v>1</v>
      </c>
      <c r="AH462">
        <v>0</v>
      </c>
      <c r="AI462" t="inlineStr">
        <is>
          <t>False</t>
        </is>
      </c>
      <c r="AJ462" s="2" t="str">
        <f>HYPERLINK("https://keepa.com/#!product/1-B08GP72HJT", "https://keepa.com/#!product/1-B08GP72HJT")</f>
      </c>
      <c r="AK462" s="2" t="str">
        <f>HYPERLINK("https://camelcamelcamel.com/search?sq=B08GP72HJT", "https://camelcamelcamel.com/search?sq=B08GP72HJT")</f>
      </c>
      <c r="AL462" t="inlineStr">
        <is>
          <t/>
        </is>
      </c>
      <c r="AM462" s="10">
        <v>45417.11111111111</v>
      </c>
      <c r="AN462" t="inlineStr">
        <is>
          <t>West Bend AFWB12BK13 Electric Air Fryer Oven, Countertop Air Fryer Rotisserie Combo with 10 Digital Quick Menu Presets, 1700 W, 12.6 Qt, Black</t>
        </is>
      </c>
      <c r="AO462" t="inlineStr">
        <is>
          <t>2500</t>
        </is>
      </c>
      <c r="AP462" t="inlineStr">
        <is>
          <t>TAKE ALL</t>
        </is>
      </c>
    </row>
    <row r="463">
      <c r="A463" t="inlineStr">
        <is>
          <t>B08GYVZSQR</t>
        </is>
      </c>
      <c r="B463" t="inlineStr">
        <is>
          <t>False</t>
        </is>
      </c>
      <c r="C463" t="inlineStr">
        <is>
          <t>B08GYVZSQR</t>
        </is>
      </c>
      <c r="D463" t="inlineStr">
        <is>
          <t>SlimFast</t>
        </is>
      </c>
      <c r="E463" t="inlineStr">
        <is>
          <t>False</t>
        </is>
      </c>
      <c r="F463" t="inlineStr">
        <is>
          <t>SlimFast Low Carb Snacks, Keto Friendly for Weight Loss with 0g Added Sugar, Strawberry Topped Cheesecake Snack Bar Minis, 12 Count Box (Packaging May Vary)</t>
        </is>
      </c>
      <c r="G463">
        <v>1</v>
      </c>
      <c r="H463" s="2" t="str">
        <f>HYPERLINK("https://www.amazon.com/dp/B08GYVZSQR", "https://www.amazon.com/dp/B08GYVZSQR")</f>
      </c>
      <c r="I463" s="3">
        <v>3033</v>
      </c>
      <c r="J463" s="11">
        <v>1.72</v>
      </c>
      <c r="K463" s="5">
        <v>0.1522</v>
      </c>
      <c r="L463" s="15">
        <v>0.3822</v>
      </c>
      <c r="M463" t="inlineStr">
        <is>
          <t>True</t>
        </is>
      </c>
      <c r="N463" t="inlineStr">
        <is>
          <t>Grocery &amp; Gourmet Food</t>
        </is>
      </c>
      <c r="O463" s="6">
        <v>2354</v>
      </c>
      <c r="P463" s="6">
        <v>1856</v>
      </c>
      <c r="Q463" s="6">
        <v>1036</v>
      </c>
      <c r="R463" s="6">
        <v>300</v>
      </c>
      <c r="S463" s="7">
        <v>4.5</v>
      </c>
      <c r="T463" s="7">
        <v>11.3</v>
      </c>
      <c r="U463">
        <v>10.24</v>
      </c>
      <c r="V463" s="8">
        <v>0</v>
      </c>
      <c r="W463" s="7">
        <v>0</v>
      </c>
      <c r="X463" s="7">
        <v>0</v>
      </c>
      <c r="Y463">
        <v>0.66</v>
      </c>
      <c r="Z463" s="9">
        <v>0.66</v>
      </c>
      <c r="AB463">
        <v>0</v>
      </c>
      <c r="AC463">
        <v>0</v>
      </c>
      <c r="AD463">
        <v>6</v>
      </c>
      <c r="AE463">
        <v>2</v>
      </c>
      <c r="AF463">
        <v>4</v>
      </c>
      <c r="AG463">
        <v>1</v>
      </c>
      <c r="AH463">
        <v>7</v>
      </c>
      <c r="AI463" t="inlineStr">
        <is>
          <t>False</t>
        </is>
      </c>
      <c r="AJ463" s="2" t="str">
        <f>HYPERLINK("https://keepa.com/#!product/1-B08GYVZSQR", "https://keepa.com/#!product/1-B08GYVZSQR")</f>
      </c>
      <c r="AK463" s="2" t="str">
        <f>HYPERLINK("https://camelcamelcamel.com/search?sq=B08GYVZSQR", "https://camelcamelcamel.com/search?sq=B08GYVZSQR")</f>
      </c>
      <c r="AL463" t="inlineStr">
        <is>
          <t/>
        </is>
      </c>
      <c r="AM463" s="10">
        <v>45417.11111111111</v>
      </c>
      <c r="AN463" t="inlineStr">
        <is>
          <t>SlimFast Low Carb Snacks, Keto Friendly for Weight Loss with 0g Added Sugar, Strawberry Topped Cheesecake Snack Bar Minis, 12 Count Box (Packaging May Vary</t>
        </is>
      </c>
      <c r="AO463" t="inlineStr">
        <is>
          <t>4000</t>
        </is>
      </c>
      <c r="AP463" t="inlineStr">
        <is>
          <t>2000</t>
        </is>
      </c>
    </row>
    <row r="464">
      <c r="A464" t="inlineStr">
        <is>
          <t>B08GZFC4P3</t>
        </is>
      </c>
      <c r="B464" t="inlineStr">
        <is>
          <t>False</t>
        </is>
      </c>
      <c r="C464" t="inlineStr">
        <is>
          <t>B08GZFC4P3</t>
        </is>
      </c>
      <c r="D464" t="inlineStr">
        <is>
          <t>Fisher-Price</t>
        </is>
      </c>
      <c r="E464" t="inlineStr">
        <is>
          <t>False</t>
        </is>
      </c>
      <c r="F464" t="inlineStr">
        <is>
          <t>Fisher-Price Baby Bedside Sleeper Soothing View Projection Bassinet with Lights Music Sounds and Vibrations, Fawning Leaves</t>
        </is>
      </c>
      <c r="G464">
        <v>1</v>
      </c>
      <c r="H464" s="2" t="str">
        <f>HYPERLINK("https://www.amazon.com/dp/B08GZFC4P3", "https://www.amazon.com/dp/B08GZFC4P3")</f>
      </c>
      <c r="I464" s="3">
        <v>95</v>
      </c>
      <c r="J464" s="12">
        <v>-5.02</v>
      </c>
      <c r="K464" s="13">
        <v>-0.054000000000000006</v>
      </c>
      <c r="L464" s="13">
        <v>-0.0837</v>
      </c>
      <c r="M464" t="inlineStr">
        <is>
          <t>True</t>
        </is>
      </c>
      <c r="N464" t="inlineStr">
        <is>
          <t>Baby</t>
        </is>
      </c>
      <c r="O464" s="6">
        <v>22189</v>
      </c>
      <c r="P464" s="6">
        <v>31249</v>
      </c>
      <c r="Q464" s="6">
        <v>15388</v>
      </c>
      <c r="R464" s="6">
        <v>100</v>
      </c>
      <c r="S464" s="7">
        <v>60</v>
      </c>
      <c r="T464" s="7">
        <v>92.98</v>
      </c>
      <c r="U464">
        <v>124.48</v>
      </c>
      <c r="V464" s="8">
        <v>0</v>
      </c>
      <c r="W464" s="7">
        <v>0</v>
      </c>
      <c r="X464" s="7">
        <v>0</v>
      </c>
      <c r="Y464">
        <v>18.3</v>
      </c>
      <c r="Z464" s="9">
        <v>1</v>
      </c>
      <c r="AB464">
        <v>0</v>
      </c>
      <c r="AC464">
        <v>0</v>
      </c>
      <c r="AD464">
        <v>5</v>
      </c>
      <c r="AE464">
        <v>3</v>
      </c>
      <c r="AF464">
        <v>2</v>
      </c>
      <c r="AG464">
        <v>1</v>
      </c>
      <c r="AH464">
        <v>2</v>
      </c>
      <c r="AI464" t="inlineStr">
        <is>
          <t>False</t>
        </is>
      </c>
      <c r="AJ464" s="2" t="str">
        <f>HYPERLINK("https://keepa.com/#!product/1-B08GZFC4P3", "https://keepa.com/#!product/1-B08GZFC4P3")</f>
      </c>
      <c r="AK464" s="2" t="str">
        <f>HYPERLINK("https://camelcamelcamel.com/search?sq=B08GZFC4P3", "https://camelcamelcamel.com/search?sq=B08GZFC4P3")</f>
      </c>
      <c r="AL464" t="inlineStr">
        <is>
          <t/>
        </is>
      </c>
      <c r="AM464" s="10">
        <v>45417.11111111111</v>
      </c>
      <c r="AN464" t="inlineStr">
        <is>
          <t>Fisher-Price Baby Bedside Sleeper Soothing View Projection Bassinet with Lights Music Sounds and Vibrations, Fawning Leaves (Amazon Exclusive)</t>
        </is>
      </c>
      <c r="AO464" t="inlineStr">
        <is>
          <t>600</t>
        </is>
      </c>
      <c r="AP464" t="inlineStr">
        <is>
          <t>120</t>
        </is>
      </c>
    </row>
    <row r="465">
      <c r="A465" t="inlineStr">
        <is>
          <t>B08H2YRGNW</t>
        </is>
      </c>
      <c r="B465" t="inlineStr">
        <is>
          <t>False</t>
        </is>
      </c>
      <c r="C465" t="inlineStr">
        <is>
          <t>B08H2YRGNW</t>
        </is>
      </c>
      <c r="D465" t="inlineStr">
        <is>
          <t>Garnier</t>
        </is>
      </c>
      <c r="E465" t="inlineStr">
        <is>
          <t>True</t>
        </is>
      </c>
      <c r="F465" t="inlineStr">
        <is>
          <t>Garnier Green Labs Hyalu-Melon 3-in-1 Replumping Serum Cream with Hyaluronic Acid, 24h Moisture + Serum + SPF 30, 2.4 Fl Oz (72mL), 1 Count (Packaging May Vary)</t>
        </is>
      </c>
      <c r="G465">
        <v>1</v>
      </c>
      <c r="H465" s="2" t="str">
        <f>HYPERLINK("https://www.amazon.com/dp/B08H2YRGNW", "https://www.amazon.com/dp/B08H2YRGNW")</f>
      </c>
      <c r="I465" s="14">
        <v>5</v>
      </c>
      <c r="J465" s="4">
        <v>11.73</v>
      </c>
      <c r="K465" s="5">
        <v>0.2666</v>
      </c>
      <c r="L465" s="15">
        <v>0.5393</v>
      </c>
      <c r="M465" t="inlineStr">
        <is>
          <t>True</t>
        </is>
      </c>
      <c r="N465" t="inlineStr">
        <is>
          <t>Beauty &amp; Personal Care</t>
        </is>
      </c>
      <c r="O465" s="6">
        <v>258177</v>
      </c>
      <c r="P465" s="6">
        <v>172252</v>
      </c>
      <c r="Q465" s="6">
        <v>65164</v>
      </c>
      <c r="R465" s="6">
        <v>88</v>
      </c>
      <c r="S465" s="7">
        <v>21.75</v>
      </c>
      <c r="T465" s="7">
        <v>44</v>
      </c>
      <c r="U465">
        <v>35.36</v>
      </c>
      <c r="V465" s="8">
        <v>0</v>
      </c>
      <c r="W465" s="7">
        <v>0</v>
      </c>
      <c r="X465" s="7">
        <v>0</v>
      </c>
      <c r="Y465">
        <v>0.15</v>
      </c>
      <c r="Z465" s="8">
        <v>0</v>
      </c>
      <c r="AB465">
        <v>0</v>
      </c>
      <c r="AC465">
        <v>0</v>
      </c>
      <c r="AD465">
        <v>3</v>
      </c>
      <c r="AE465">
        <v>1</v>
      </c>
      <c r="AF465">
        <v>2</v>
      </c>
      <c r="AG465">
        <v>1</v>
      </c>
      <c r="AH465">
        <v>0</v>
      </c>
      <c r="AI465" t="inlineStr">
        <is>
          <t>False</t>
        </is>
      </c>
      <c r="AJ465" s="2" t="str">
        <f>HYPERLINK("https://keepa.com/#!product/1-B08H2YRGNW", "https://keepa.com/#!product/1-B08H2YRGNW")</f>
      </c>
      <c r="AK465" s="2" t="str">
        <f>HYPERLINK("https://camelcamelcamel.com/search?sq=B08H2YRGNW", "https://camelcamelcamel.com/search?sq=B08H2YRGNW")</f>
      </c>
      <c r="AL465" t="inlineStr">
        <is>
          <t/>
        </is>
      </c>
      <c r="AM465" s="10">
        <v>45417.11111111111</v>
      </c>
      <c r="AN465" t="inlineStr">
        <is>
          <t>Garnier Green Labs Hyalu-Melon 3-in-1 Replumping Serum Cream with Hyaluronic Acid, 24h Moisture + Serum + SPF 30, 2.4 Fl Oz (72mL), 1 Count (Packaging May Vary)</t>
        </is>
      </c>
      <c r="AO465" t="inlineStr">
        <is>
          <t>288</t>
        </is>
      </c>
      <c r="AP465" t="inlineStr">
        <is>
          <t>TAKE ALL</t>
        </is>
      </c>
    </row>
    <row r="466">
      <c r="A466" t="inlineStr">
        <is>
          <t>B08H8GS32R</t>
        </is>
      </c>
      <c r="B466" t="inlineStr">
        <is>
          <t>False</t>
        </is>
      </c>
      <c r="C466" t="inlineStr">
        <is>
          <t>B08H8GS32R</t>
        </is>
      </c>
      <c r="D466" t="inlineStr">
        <is>
          <t>Osmo</t>
        </is>
      </c>
      <c r="E466" t="inlineStr">
        <is>
          <t>False</t>
        </is>
      </c>
      <c r="F466" t="inlineStr">
        <is>
          <t>Osmo-Math Wizard and the Secrets of the Dragons for iPad &amp; Fire Tablet-Ages 6-8/Grades 1-2-Measurement &amp; Estimating-Curriculum-Inspired-STEM Toy Gifts for Kids,Boy&amp;Girl-Ages 6 7 8(Osmo Base Required)</t>
        </is>
      </c>
      <c r="G466">
        <v>1</v>
      </c>
      <c r="H466" s="2" t="str">
        <f>HYPERLINK("https://www.amazon.com/dp/B08H8GS32R", "https://www.amazon.com/dp/B08H8GS32R")</f>
      </c>
      <c r="I466" s="3">
        <v>157</v>
      </c>
      <c r="J466" s="4">
        <v>12.16</v>
      </c>
      <c r="K466" s="5">
        <v>0.2397</v>
      </c>
      <c r="L466" s="15">
        <v>0.4913</v>
      </c>
      <c r="M466" t="inlineStr">
        <is>
          <t>True</t>
        </is>
      </c>
      <c r="N466" t="inlineStr">
        <is>
          <t>Toys &amp; Games</t>
        </is>
      </c>
      <c r="O466" s="6">
        <v>55113</v>
      </c>
      <c r="P466" s="6">
        <v>35506</v>
      </c>
      <c r="Q466" s="6">
        <v>12406</v>
      </c>
      <c r="R466" s="6">
        <v>187</v>
      </c>
      <c r="S466" s="7">
        <v>24.75</v>
      </c>
      <c r="T466" s="7">
        <v>50.73</v>
      </c>
      <c r="U466">
        <v>50.06</v>
      </c>
      <c r="V466" s="8">
        <v>0</v>
      </c>
      <c r="W466" s="7">
        <v>0</v>
      </c>
      <c r="X466" s="7">
        <v>0</v>
      </c>
      <c r="Y466">
        <v>2.45</v>
      </c>
      <c r="Z466" s="9">
        <v>1</v>
      </c>
      <c r="AB466">
        <v>0</v>
      </c>
      <c r="AC466">
        <v>0</v>
      </c>
      <c r="AD466">
        <v>1</v>
      </c>
      <c r="AE466">
        <v>1</v>
      </c>
      <c r="AF466">
        <v>0</v>
      </c>
      <c r="AG466">
        <v>1</v>
      </c>
      <c r="AH466">
        <v>3</v>
      </c>
      <c r="AI466" t="inlineStr">
        <is>
          <t>False</t>
        </is>
      </c>
      <c r="AJ466" s="2" t="str">
        <f>HYPERLINK("https://keepa.com/#!product/1-B08H8GS32R", "https://keepa.com/#!product/1-B08H8GS32R")</f>
      </c>
      <c r="AK466" s="2" t="str">
        <f>HYPERLINK("https://camelcamelcamel.com/search?sq=B08H8GS32R", "https://camelcamelcamel.com/search?sq=B08H8GS32R")</f>
      </c>
      <c r="AL466" t="inlineStr">
        <is>
          <t/>
        </is>
      </c>
      <c r="AM466" s="10">
        <v>45417.11111111111</v>
      </c>
      <c r="AN466" t="inlineStr">
        <is>
          <t>Osmo-Math Wizard and the Secrets of the Dragons for iPad &amp; Fire Tablet-Ages 6-8/Grades 1-2-Measurement &amp; Estimating-Curriculum-Inspired-STEM Toy Gifts for Kids,Boy&amp;Girl-Ages 6 7 8(Osmo Base Required)</t>
        </is>
      </c>
      <c r="AO466" t="inlineStr">
        <is>
          <t>180</t>
        </is>
      </c>
      <c r="AP466" t="inlineStr">
        <is>
          <t>TAKE ALL</t>
        </is>
      </c>
    </row>
    <row r="467">
      <c r="A467" t="inlineStr">
        <is>
          <t>B08HKRPJ1P</t>
        </is>
      </c>
      <c r="B467" t="inlineStr">
        <is>
          <t>False</t>
        </is>
      </c>
      <c r="C467" t="inlineStr">
        <is>
          <t>B08HKRPJ1P</t>
        </is>
      </c>
      <c r="D467" t="inlineStr">
        <is>
          <t>MAXIMILIAN</t>
        </is>
      </c>
      <c r="E467" t="inlineStr">
        <is>
          <t>False</t>
        </is>
      </c>
      <c r="F467" t="inlineStr">
        <is>
          <t>Maximilian Passion Fruit Black Seed Oil Curly Hair Shampoo and Conditioner Set- Extra Volumizing, Strengthing, Moisturizing, Hydration and Shine - Sulfate Paraben Free - (2 x 16.9 Fl Oz / 500mL)</t>
        </is>
      </c>
      <c r="G467">
        <v>1</v>
      </c>
      <c r="H467" s="2" t="str">
        <f>HYPERLINK("https://www.amazon.com/dp/B08HKRPJ1P", "https://www.amazon.com/dp/B08HKRPJ1P")</f>
      </c>
      <c r="I467" s="16">
        <v>35</v>
      </c>
      <c r="J467" s="11">
        <v>1.72</v>
      </c>
      <c r="K467" s="5">
        <v>0.11470000000000001</v>
      </c>
      <c r="L467" s="15">
        <v>0.36210000000000003</v>
      </c>
      <c r="M467" t="inlineStr">
        <is>
          <t>True</t>
        </is>
      </c>
      <c r="N467" t="inlineStr">
        <is>
          <t>Beauty &amp; Personal Care</t>
        </is>
      </c>
      <c r="O467" s="6">
        <v>175288</v>
      </c>
      <c r="P467" s="6">
        <v>80964</v>
      </c>
      <c r="Q467" s="6">
        <v>11499</v>
      </c>
      <c r="R467" s="6">
        <v>133</v>
      </c>
      <c r="S467" s="7">
        <v>4.75</v>
      </c>
      <c r="T467" s="7">
        <v>15</v>
      </c>
      <c r="U467">
        <v>13.34</v>
      </c>
      <c r="V467" s="8">
        <v>0</v>
      </c>
      <c r="W467" s="7">
        <v>0</v>
      </c>
      <c r="X467" s="7">
        <v>0</v>
      </c>
      <c r="Y467">
        <v>2.51</v>
      </c>
      <c r="Z467" s="8">
        <v>0</v>
      </c>
      <c r="AB467">
        <v>0</v>
      </c>
      <c r="AC467">
        <v>0</v>
      </c>
      <c r="AD467">
        <v>5</v>
      </c>
      <c r="AE467">
        <v>5</v>
      </c>
      <c r="AF467">
        <v>0</v>
      </c>
      <c r="AG467">
        <v>1</v>
      </c>
      <c r="AH467">
        <v>0</v>
      </c>
      <c r="AI467" t="inlineStr">
        <is>
          <t>False</t>
        </is>
      </c>
      <c r="AJ467" s="2" t="str">
        <f>HYPERLINK("https://keepa.com/#!product/1-B08HKRPJ1P", "https://keepa.com/#!product/1-B08HKRPJ1P")</f>
      </c>
      <c r="AK467" s="2" t="str">
        <f>HYPERLINK("https://camelcamelcamel.com/search?sq=B08HKRPJ1P", "https://camelcamelcamel.com/search?sq=B08HKRPJ1P")</f>
      </c>
      <c r="AL467" t="inlineStr">
        <is>
          <t/>
        </is>
      </c>
      <c r="AM467" s="10">
        <v>45417.11111111111</v>
      </c>
      <c r="AN467" t="inlineStr">
        <is>
          <t>Passion Fruit Black Seed Oil Curly Hair Shampoo and Conditioner Set- Extra Volumizing, Strengthing, Moisturizing, Hydration and Shine - Sulfate Paraben Free - (2 x 16.9 Fl Oz / 500mL)</t>
        </is>
      </c>
      <c r="AO467" t="inlineStr">
        <is>
          <t>250</t>
        </is>
      </c>
      <c r="AP467" t="inlineStr">
        <is>
          <t>TAKE ALL</t>
        </is>
      </c>
    </row>
    <row r="468">
      <c r="A468" t="inlineStr">
        <is>
          <t>B08HL3RXXZ</t>
        </is>
      </c>
      <c r="B468" t="inlineStr">
        <is>
          <t>False</t>
        </is>
      </c>
      <c r="C468" t="inlineStr">
        <is>
          <t>B08HL3RXXZ</t>
        </is>
      </c>
      <c r="D468" t="inlineStr">
        <is>
          <t>Vital Proteins</t>
        </is>
      </c>
      <c r="E468" t="inlineStr">
        <is>
          <t>False</t>
        </is>
      </c>
      <c r="F468" t="inlineStr">
        <is>
          <t>Vital Proteins Collagen Peptides Unflavored Dietary Supplement (Net Wt 24 Oz),</t>
        </is>
      </c>
      <c r="G468">
        <v>1</v>
      </c>
      <c r="H468" s="2" t="str">
        <f>HYPERLINK("https://www.amazon.com/dp/B08HL3RXXZ", "https://www.amazon.com/dp/B08HL3RXXZ")</f>
      </c>
      <c r="I468" s="3">
        <v>5778</v>
      </c>
      <c r="J468" s="4">
        <v>8.72</v>
      </c>
      <c r="K468" s="5">
        <v>0.2191</v>
      </c>
      <c r="L468" s="15">
        <v>0.4472</v>
      </c>
      <c r="M468" t="inlineStr">
        <is>
          <t>True</t>
        </is>
      </c>
      <c r="N468" t="inlineStr">
        <is>
          <t>Health &amp; Household</t>
        </is>
      </c>
      <c r="O468" s="6">
        <v>4545</v>
      </c>
      <c r="P468" s="6">
        <v>5123</v>
      </c>
      <c r="Q468" s="6">
        <v>1457</v>
      </c>
      <c r="R468" s="6">
        <v>259</v>
      </c>
      <c r="S468" s="7">
        <v>19.5</v>
      </c>
      <c r="T468" s="7">
        <v>39.8</v>
      </c>
      <c r="U468">
        <v>35.31</v>
      </c>
      <c r="V468" s="8">
        <v>0</v>
      </c>
      <c r="W468" s="7">
        <v>0</v>
      </c>
      <c r="X468" s="7">
        <v>0</v>
      </c>
      <c r="Y468">
        <v>1.74</v>
      </c>
      <c r="Z468" s="9">
        <v>0.95</v>
      </c>
      <c r="AB468">
        <v>0</v>
      </c>
      <c r="AC468">
        <v>0</v>
      </c>
      <c r="AD468">
        <v>103</v>
      </c>
      <c r="AE468">
        <v>8</v>
      </c>
      <c r="AF468">
        <v>95</v>
      </c>
      <c r="AG468">
        <v>2</v>
      </c>
      <c r="AH468">
        <v>2</v>
      </c>
      <c r="AI468" t="inlineStr">
        <is>
          <t>False</t>
        </is>
      </c>
      <c r="AJ468" s="2" t="str">
        <f>HYPERLINK("https://keepa.com/#!product/1-B08HL3RXXZ", "https://keepa.com/#!product/1-B08HL3RXXZ")</f>
      </c>
      <c r="AK468" s="2" t="str">
        <f>HYPERLINK("https://camelcamelcamel.com/search?sq=B08HL3RXXZ", "https://camelcamelcamel.com/search?sq=B08HL3RXXZ")</f>
      </c>
      <c r="AL468" t="inlineStr">
        <is>
          <t/>
        </is>
      </c>
      <c r="AM468" s="10">
        <v>45417.11111111111</v>
      </c>
      <c r="AN468" t="inlineStr">
        <is>
          <t>Vital Proteins Collagen Peptides Unflavored Dietary Supplement (Net Wt 24 Oz)</t>
        </is>
      </c>
      <c r="AO468" t="inlineStr">
        <is>
          <t>6000</t>
        </is>
      </c>
      <c r="AP468" t="inlineStr">
        <is>
          <t>3000</t>
        </is>
      </c>
    </row>
    <row r="469">
      <c r="A469" t="inlineStr">
        <is>
          <t>B08HP4THG9</t>
        </is>
      </c>
      <c r="B469" t="inlineStr">
        <is>
          <t>False</t>
        </is>
      </c>
      <c r="C469" t="inlineStr">
        <is>
          <t>B08HP4THG9</t>
        </is>
      </c>
      <c r="D469" t="inlineStr">
        <is>
          <t>Reach</t>
        </is>
      </c>
      <c r="E469" t="inlineStr">
        <is>
          <t>False</t>
        </is>
      </c>
      <c r="F469" t="inlineStr">
        <is>
          <t>Reach Advanced Design Toothbrush, Firm Bristles, 7 Count Value Pack</t>
        </is>
      </c>
      <c r="G469">
        <v>1</v>
      </c>
      <c r="H469" s="2" t="str">
        <f>HYPERLINK("https://www.amazon.com/dp/B08HP4THG9", "https://www.amazon.com/dp/B08HP4THG9")</f>
      </c>
      <c r="I469" s="3">
        <v>3447</v>
      </c>
      <c r="J469" s="12">
        <v>-0.62</v>
      </c>
      <c r="K469" s="13">
        <v>-0.081</v>
      </c>
      <c r="L469" s="13">
        <v>-0.1378</v>
      </c>
      <c r="M469" t="inlineStr">
        <is>
          <t>True</t>
        </is>
      </c>
      <c r="N469" t="inlineStr">
        <is>
          <t>Health &amp; Household</t>
        </is>
      </c>
      <c r="O469" s="6">
        <v>7726</v>
      </c>
      <c r="P469" s="6">
        <v>7116</v>
      </c>
      <c r="Q469" s="6">
        <v>5305</v>
      </c>
      <c r="R469" s="6">
        <v>301</v>
      </c>
      <c r="S469" s="7">
        <v>4.5</v>
      </c>
      <c r="T469" s="7">
        <v>7.65</v>
      </c>
      <c r="U469">
        <v>8.22</v>
      </c>
      <c r="V469" s="8">
        <v>0</v>
      </c>
      <c r="W469" s="7">
        <v>0</v>
      </c>
      <c r="X469" s="7">
        <v>0</v>
      </c>
      <c r="Y469">
        <v>0.02</v>
      </c>
      <c r="Z469" s="9">
        <v>0.73</v>
      </c>
      <c r="AB469">
        <v>0</v>
      </c>
      <c r="AC469">
        <v>0</v>
      </c>
      <c r="AD469">
        <v>6</v>
      </c>
      <c r="AE469">
        <v>4</v>
      </c>
      <c r="AF469">
        <v>2</v>
      </c>
      <c r="AG469">
        <v>1</v>
      </c>
      <c r="AH469">
        <v>3</v>
      </c>
      <c r="AI469" t="inlineStr">
        <is>
          <t>False</t>
        </is>
      </c>
      <c r="AJ469" s="2" t="str">
        <f>HYPERLINK("https://keepa.com/#!product/1-B08HP4THG9", "https://keepa.com/#!product/1-B08HP4THG9")</f>
      </c>
      <c r="AK469" s="2" t="str">
        <f>HYPERLINK("https://camelcamelcamel.com/search?sq=B08HP4THG9", "https://camelcamelcamel.com/search?sq=B08HP4THG9")</f>
      </c>
      <c r="AL469" t="inlineStr">
        <is>
          <t/>
        </is>
      </c>
      <c r="AM469" s="10">
        <v>45417.11111111111</v>
      </c>
      <c r="AN469" t="inlineStr">
        <is>
          <t>Reach Advanced Design Toothbrush, Firm Bristles, 7 Count Value Pack</t>
        </is>
      </c>
      <c r="AO469" t="inlineStr">
        <is>
          <t>1000</t>
        </is>
      </c>
      <c r="AP469" t="inlineStr">
        <is>
          <t>TAKE ALL</t>
        </is>
      </c>
    </row>
    <row r="470">
      <c r="A470" t="inlineStr">
        <is>
          <t>B08HPQVJMW</t>
        </is>
      </c>
      <c r="B470" t="inlineStr">
        <is>
          <t>False</t>
        </is>
      </c>
      <c r="C470" t="inlineStr">
        <is>
          <t>B08HPQVJMW</t>
        </is>
      </c>
      <c r="D470" t="inlineStr">
        <is>
          <t>ComfiLife</t>
        </is>
      </c>
      <c r="E470" t="inlineStr">
        <is>
          <t>False</t>
        </is>
      </c>
      <c r="F470" t="inlineStr">
        <is>
          <t>ComfiLife Gel Enhanced Seat Cushion – Office Chair Cushion – Non-Slip Gel &amp; Memory Foam Coccyx Cushion for Tailbone Pain - Desk Chair Car Seat Cushion Driving - Sciatica &amp; Back Pain Relief (Black)</t>
        </is>
      </c>
      <c r="G470">
        <v>1</v>
      </c>
      <c r="H470" s="2" t="str">
        <f>HYPERLINK("https://www.amazon.com/dp/B08HPQVJMW", "https://www.amazon.com/dp/B08HPQVJMW")</f>
      </c>
      <c r="I470" s="3">
        <v>27925</v>
      </c>
      <c r="J470" s="11">
        <v>0.86</v>
      </c>
      <c r="K470" s="5">
        <v>0.023399999999999997</v>
      </c>
      <c r="L470" s="5">
        <v>0.0366</v>
      </c>
      <c r="M470" t="inlineStr">
        <is>
          <t>True</t>
        </is>
      </c>
      <c r="N470" t="inlineStr">
        <is>
          <t>Office Products</t>
        </is>
      </c>
      <c r="O470" s="6">
        <v>41</v>
      </c>
      <c r="P470" s="6">
        <v>81</v>
      </c>
      <c r="Q470" s="6">
        <v>22</v>
      </c>
      <c r="R470" s="6">
        <v>399</v>
      </c>
      <c r="S470" s="7">
        <v>23.5</v>
      </c>
      <c r="T470" s="7">
        <v>36.76</v>
      </c>
      <c r="U470">
        <v>43</v>
      </c>
      <c r="V470" s="8">
        <v>0</v>
      </c>
      <c r="W470" s="7">
        <v>0</v>
      </c>
      <c r="X470" s="7">
        <v>0</v>
      </c>
      <c r="Y470">
        <v>2.18</v>
      </c>
      <c r="Z470" s="8">
        <v>0</v>
      </c>
      <c r="AB470">
        <v>0</v>
      </c>
      <c r="AC470">
        <v>0</v>
      </c>
      <c r="AD470">
        <v>4</v>
      </c>
      <c r="AE470">
        <v>2</v>
      </c>
      <c r="AF470">
        <v>0</v>
      </c>
      <c r="AG470">
        <v>1</v>
      </c>
      <c r="AH470">
        <v>3</v>
      </c>
      <c r="AI470" t="inlineStr">
        <is>
          <t>False</t>
        </is>
      </c>
      <c r="AJ470" s="2" t="str">
        <f>HYPERLINK("https://keepa.com/#!product/1-B08HPQVJMW", "https://keepa.com/#!product/1-B08HPQVJMW")</f>
      </c>
      <c r="AK470" s="2" t="str">
        <f>HYPERLINK("https://camelcamelcamel.com/search?sq=B08HPQVJMW", "https://camelcamelcamel.com/search?sq=B08HPQVJMW")</f>
      </c>
      <c r="AL470" t="inlineStr">
        <is>
          <t/>
        </is>
      </c>
      <c r="AM470" s="10">
        <v>45417.11111111111</v>
      </c>
      <c r="AN470" t="inlineStr">
        <is>
          <t>ComfiLife Gel Enhanced Seat Cushion â€“ Office Chair Cushion â€“ Non-Slip Gel &amp; Memory Foam Coccyx Cushion for Tailbone Pain - Desk Chair Car Seat Cushion Driving - Sciatica &amp; Back Pain Relief (Black)</t>
        </is>
      </c>
      <c r="AO470" t="inlineStr">
        <is>
          <t>1200</t>
        </is>
      </c>
      <c r="AP470" t="inlineStr">
        <is>
          <t>600</t>
        </is>
      </c>
    </row>
    <row r="471">
      <c r="A471" t="inlineStr">
        <is>
          <t>B08HSH5FK6</t>
        </is>
      </c>
      <c r="B471" t="inlineStr">
        <is>
          <t>False</t>
        </is>
      </c>
      <c r="C471" t="inlineStr">
        <is>
          <t>B08HSH5FK6</t>
        </is>
      </c>
      <c r="D471" t="inlineStr">
        <is>
          <t>IASO</t>
        </is>
      </c>
      <c r="E471" t="inlineStr">
        <is>
          <t>False</t>
        </is>
      </c>
      <c r="F471" t="inlineStr">
        <is>
          <t>TLC Total Life Changes IASO Herbal Tea - Manufacturing Date on Top Part of The Pack Means Month/Year - 25 Count (Pack of 2)</t>
        </is>
      </c>
      <c r="G471">
        <v>1</v>
      </c>
      <c r="H471" s="2" t="str">
        <f>HYPERLINK("https://www.amazon.com/dp/B08HSH5FK6", "https://www.amazon.com/dp/B08HSH5FK6")</f>
      </c>
      <c r="I471" s="3">
        <v>2444</v>
      </c>
      <c r="J471" s="12">
        <v>-2.64</v>
      </c>
      <c r="K471" s="13">
        <v>-0.07780000000000001</v>
      </c>
      <c r="L471" s="13">
        <v>-0.1015</v>
      </c>
      <c r="M471" t="inlineStr">
        <is>
          <t>True</t>
        </is>
      </c>
      <c r="N471" t="inlineStr">
        <is>
          <t>Grocery &amp; Gourmet Food</t>
        </is>
      </c>
      <c r="O471" s="6">
        <v>3153</v>
      </c>
      <c r="P471" s="6">
        <v>4140</v>
      </c>
      <c r="Q471" s="6">
        <v>2323</v>
      </c>
      <c r="R471" s="6">
        <v>313</v>
      </c>
      <c r="S471" s="7">
        <v>26</v>
      </c>
      <c r="T471" s="7">
        <v>33.92</v>
      </c>
      <c r="U471">
        <v>44.47</v>
      </c>
      <c r="V471" s="8">
        <v>0</v>
      </c>
      <c r="W471" s="7">
        <v>0</v>
      </c>
      <c r="X471" s="7">
        <v>0</v>
      </c>
      <c r="Y471">
        <v>0.62</v>
      </c>
      <c r="Z471" s="8">
        <v>0</v>
      </c>
      <c r="AB471">
        <v>0</v>
      </c>
      <c r="AC471">
        <v>0</v>
      </c>
      <c r="AD471">
        <v>48</v>
      </c>
      <c r="AE471">
        <v>31</v>
      </c>
      <c r="AF471">
        <v>17</v>
      </c>
      <c r="AG471">
        <v>1</v>
      </c>
      <c r="AH471">
        <v>2</v>
      </c>
      <c r="AI471" t="inlineStr">
        <is>
          <t>False</t>
        </is>
      </c>
      <c r="AJ471" s="2" t="str">
        <f>HYPERLINK("https://keepa.com/#!product/1-B08HSH5FK6", "https://keepa.com/#!product/1-B08HSH5FK6")</f>
      </c>
      <c r="AK471" s="2" t="str">
        <f>HYPERLINK("https://camelcamelcamel.com/search?sq=B08HSH5FK6", "https://camelcamelcamel.com/search?sq=B08HSH5FK6")</f>
      </c>
      <c r="AL471" t="inlineStr">
        <is>
          <t/>
        </is>
      </c>
      <c r="AM471" s="10">
        <v>45417.11111111111</v>
      </c>
      <c r="AN471" t="inlineStr">
        <is>
          <t>TLC Total Life Changes IASO Herbal Tea - Manufacturing Date on Top Part of The Pack Means Month/Year - 25 Count (Pack of 2)</t>
        </is>
      </c>
      <c r="AO471" t="inlineStr">
        <is>
          <t>5000</t>
        </is>
      </c>
      <c r="AP471" t="inlineStr">
        <is>
          <t>500</t>
        </is>
      </c>
    </row>
    <row r="472">
      <c r="A472" t="inlineStr">
        <is>
          <t>B08HVYG93C</t>
        </is>
      </c>
      <c r="B472" t="inlineStr">
        <is>
          <t>False</t>
        </is>
      </c>
      <c r="C472" t="inlineStr">
        <is>
          <t>B08HVYG93C</t>
        </is>
      </c>
      <c r="D472" t="inlineStr">
        <is>
          <t>Lily's</t>
        </is>
      </c>
      <c r="E472" t="inlineStr">
        <is>
          <t>False</t>
        </is>
      </c>
      <c r="F472" t="inlineStr">
        <is>
          <t>LILY'S Birthday Cake Flavor White Chocolate Style No Sugar Added, Sweets Bars, 2.8 oz (12 Count)</t>
        </is>
      </c>
      <c r="G472">
        <v>1</v>
      </c>
      <c r="H472" s="2" t="str">
        <f>HYPERLINK("https://www.amazon.com/dp/B08HVYG93C", "https://www.amazon.com/dp/B08HVYG93C")</f>
      </c>
      <c r="I472" s="3">
        <v>875</v>
      </c>
      <c r="J472" s="12">
        <v>-3.08</v>
      </c>
      <c r="K472" s="13">
        <v>-0.1015</v>
      </c>
      <c r="L472" s="13">
        <v>-0.1354</v>
      </c>
      <c r="M472" t="inlineStr">
        <is>
          <t>True</t>
        </is>
      </c>
      <c r="N472" t="inlineStr">
        <is>
          <t>Grocery &amp; Gourmet Food</t>
        </is>
      </c>
      <c r="O472" s="6">
        <v>9995</v>
      </c>
      <c r="P472" s="6">
        <v>20789</v>
      </c>
      <c r="Q472" s="6">
        <v>6609</v>
      </c>
      <c r="R472" s="6">
        <v>153</v>
      </c>
      <c r="S472" s="7">
        <v>22.75</v>
      </c>
      <c r="T472" s="7">
        <v>30.34</v>
      </c>
      <c r="U472">
        <v>29.75</v>
      </c>
      <c r="V472" s="8">
        <v>0</v>
      </c>
      <c r="W472" s="7">
        <v>0</v>
      </c>
      <c r="X472" s="7">
        <v>0</v>
      </c>
      <c r="Y472">
        <v>2.38</v>
      </c>
      <c r="Z472" s="9">
        <v>1</v>
      </c>
      <c r="AB472">
        <v>0</v>
      </c>
      <c r="AC472">
        <v>0</v>
      </c>
      <c r="AD472">
        <v>6</v>
      </c>
      <c r="AE472">
        <v>2</v>
      </c>
      <c r="AF472">
        <v>4</v>
      </c>
      <c r="AG472">
        <v>1</v>
      </c>
      <c r="AH472">
        <v>3</v>
      </c>
      <c r="AI472" t="inlineStr">
        <is>
          <t>False</t>
        </is>
      </c>
      <c r="AJ472" s="2" t="str">
        <f>HYPERLINK("https://keepa.com/#!product/1-B08HVYG93C", "https://keepa.com/#!product/1-B08HVYG93C")</f>
      </c>
      <c r="AK472" s="2" t="str">
        <f>HYPERLINK("https://camelcamelcamel.com/search?sq=B08HVYG93C", "https://camelcamelcamel.com/search?sq=B08HVYG93C")</f>
      </c>
      <c r="AL472" t="inlineStr">
        <is>
          <t/>
        </is>
      </c>
      <c r="AM472" s="10">
        <v>45417.11111111111</v>
      </c>
      <c r="AN472" t="inlineStr">
        <is>
          <t>LILY'S Birthday Cake Flavor White Chocolate Style No Sugar Added, Sweets Bars, 2.8 oz (12 Count)</t>
        </is>
      </c>
      <c r="AO472" t="inlineStr">
        <is>
          <t>400</t>
        </is>
      </c>
      <c r="AP472" t="inlineStr">
        <is>
          <t>200</t>
        </is>
      </c>
    </row>
    <row r="473">
      <c r="A473" t="inlineStr">
        <is>
          <t>B08J4DYYLH</t>
        </is>
      </c>
      <c r="B473" t="inlineStr">
        <is>
          <t>False</t>
        </is>
      </c>
      <c r="C473" t="inlineStr">
        <is>
          <t>B08J4DYYLH</t>
        </is>
      </c>
      <c r="D473" t="inlineStr">
        <is>
          <t>FUNNY SUPPLY</t>
        </is>
      </c>
      <c r="E473" t="inlineStr">
        <is>
          <t>False</t>
        </is>
      </c>
      <c r="F473" t="inlineStr">
        <is>
          <t>Wooden Baby Gym with 3 Gym Toys, Foldable Baby Play Gym, Natural Pine Wood Play Gym, Frame Activity Center Hanging Bar Newborn Gift, Newborn Gift for Baby Girl and Boy, Grey</t>
        </is>
      </c>
      <c r="G473">
        <v>1</v>
      </c>
      <c r="H473" s="2" t="str">
        <f>HYPERLINK("https://www.amazon.com/dp/B08J4DYYLH", "https://www.amazon.com/dp/B08J4DYYLH")</f>
      </c>
      <c r="I473" s="3">
        <v>1075</v>
      </c>
      <c r="J473" s="4">
        <v>6.06</v>
      </c>
      <c r="K473" s="5">
        <v>0.1515</v>
      </c>
      <c r="L473" s="15">
        <v>0.3565</v>
      </c>
      <c r="M473" t="inlineStr">
        <is>
          <t>True</t>
        </is>
      </c>
      <c r="N473" t="inlineStr">
        <is>
          <t>Baby</t>
        </is>
      </c>
      <c r="O473" s="6">
        <v>4564</v>
      </c>
      <c r="P473" s="6">
        <v>6433</v>
      </c>
      <c r="Q473" s="6">
        <v>3331</v>
      </c>
      <c r="R473" s="6">
        <v>130</v>
      </c>
      <c r="S473" s="7">
        <v>17</v>
      </c>
      <c r="T473" s="7">
        <v>39.99</v>
      </c>
      <c r="U473">
        <v>39.99</v>
      </c>
      <c r="V473" s="8">
        <v>0</v>
      </c>
      <c r="W473" s="7">
        <v>0</v>
      </c>
      <c r="X473" s="7">
        <v>0</v>
      </c>
      <c r="Y473">
        <v>3.65</v>
      </c>
      <c r="Z473" s="8">
        <v>0</v>
      </c>
      <c r="AB473">
        <v>0</v>
      </c>
      <c r="AC473">
        <v>0</v>
      </c>
      <c r="AD473">
        <v>2</v>
      </c>
      <c r="AE473">
        <v>1</v>
      </c>
      <c r="AF473">
        <v>0</v>
      </c>
      <c r="AG473">
        <v>1</v>
      </c>
      <c r="AH473">
        <v>3</v>
      </c>
      <c r="AI473" t="inlineStr">
        <is>
          <t>False</t>
        </is>
      </c>
      <c r="AJ473" s="2" t="str">
        <f>HYPERLINK("https://keepa.com/#!product/1-B08J4DYYLH", "https://keepa.com/#!product/1-B08J4DYYLH")</f>
      </c>
      <c r="AK473" s="2" t="str">
        <f>HYPERLINK("https://camelcamelcamel.com/search?sq=B08J4DYYLH", "https://camelcamelcamel.com/search?sq=B08J4DYYLH")</f>
      </c>
      <c r="AL473" t="inlineStr">
        <is>
          <t/>
        </is>
      </c>
      <c r="AM473" s="10">
        <v>45417.11111111111</v>
      </c>
      <c r="AN473" t="inlineStr">
        <is>
          <t>Wooden Baby Gym with 3 Gym Toys, Foldable Baby Play Gym, Natural Pine Wood Play Gym, Frame Activity Center Hanging Bar Newborn Gift, Newborn Gift for Baby Girl and Boy, Grey</t>
        </is>
      </c>
      <c r="AO473" t="inlineStr">
        <is>
          <t>160</t>
        </is>
      </c>
      <c r="AP473" t="inlineStr">
        <is>
          <t>TAKE ALL</t>
        </is>
      </c>
    </row>
    <row r="474">
      <c r="A474" t="inlineStr">
        <is>
          <t>B08JXFNVWT</t>
        </is>
      </c>
      <c r="B474" t="inlineStr">
        <is>
          <t>False</t>
        </is>
      </c>
      <c r="C474" t="inlineStr">
        <is>
          <t>B08JXFNVWT</t>
        </is>
      </c>
      <c r="D474" t="inlineStr">
        <is>
          <t>Puritan's Pride</t>
        </is>
      </c>
      <c r="E474" t="inlineStr">
        <is>
          <t>False</t>
        </is>
      </c>
      <c r="F474" t="inlineStr">
        <is>
          <t>Puritan's Pride QSORB CoQ10 200 mg, Supports Heart Health (2 Pack of 240 softgels) 240 Count(Packaging may vary)</t>
        </is>
      </c>
      <c r="G474">
        <v>1</v>
      </c>
      <c r="H474" s="2" t="str">
        <f>HYPERLINK("https://www.amazon.com/dp/B08JXFNVWT", "https://www.amazon.com/dp/B08JXFNVWT")</f>
      </c>
      <c r="I474" s="3">
        <v>8366</v>
      </c>
      <c r="J474" s="4">
        <v>17.22</v>
      </c>
      <c r="K474" s="5">
        <v>0.2956</v>
      </c>
      <c r="L474" s="15">
        <v>0.6319</v>
      </c>
      <c r="M474" t="inlineStr">
        <is>
          <t>True</t>
        </is>
      </c>
      <c r="N474" t="inlineStr">
        <is>
          <t>Health &amp; Household</t>
        </is>
      </c>
      <c r="O474" s="6">
        <v>2976</v>
      </c>
      <c r="P474" s="6">
        <v>2102</v>
      </c>
      <c r="Q474" s="6">
        <v>1592</v>
      </c>
      <c r="R474" s="6">
        <v>267</v>
      </c>
      <c r="S474" s="7">
        <v>27.25</v>
      </c>
      <c r="T474" s="7">
        <v>58.25</v>
      </c>
      <c r="U474">
        <v>59.23</v>
      </c>
      <c r="V474" s="8">
        <v>0</v>
      </c>
      <c r="W474" s="7">
        <v>0</v>
      </c>
      <c r="X474" s="7">
        <v>0</v>
      </c>
      <c r="Y474">
        <v>1.09</v>
      </c>
      <c r="Z474" s="9">
        <v>0.94</v>
      </c>
      <c r="AB474">
        <v>0</v>
      </c>
      <c r="AC474">
        <v>0</v>
      </c>
      <c r="AD474">
        <v>3</v>
      </c>
      <c r="AE474">
        <v>1</v>
      </c>
      <c r="AF474">
        <v>2</v>
      </c>
      <c r="AG474">
        <v>1</v>
      </c>
      <c r="AH474">
        <v>6</v>
      </c>
      <c r="AI474" t="inlineStr">
        <is>
          <t>False</t>
        </is>
      </c>
      <c r="AJ474" s="2" t="str">
        <f>HYPERLINK("https://keepa.com/#!product/1-B08JXFNVWT", "https://keepa.com/#!product/1-B08JXFNVWT")</f>
      </c>
      <c r="AK474" s="2" t="str">
        <f>HYPERLINK("https://camelcamelcamel.com/search?sq=B08JXFNVWT", "https://camelcamelcamel.com/search?sq=B08JXFNVWT")</f>
      </c>
      <c r="AL474" t="inlineStr">
        <is>
          <t/>
        </is>
      </c>
      <c r="AM474" s="10">
        <v>45417.11111111111</v>
      </c>
      <c r="AN474" t="inlineStr">
        <is>
          <t>Puritan's Pride QSORB CoQ10 200 mg, Supports Heart Health (2 Pack of 240 softgels) 240 Count(Packaging may vary)</t>
        </is>
      </c>
      <c r="AO474" t="inlineStr">
        <is>
          <t>11000</t>
        </is>
      </c>
      <c r="AP474" t="inlineStr">
        <is>
          <t>1000</t>
        </is>
      </c>
    </row>
    <row r="475">
      <c r="A475" t="inlineStr">
        <is>
          <t>B08KW1KR5H</t>
        </is>
      </c>
      <c r="B475" t="inlineStr">
        <is>
          <t>False</t>
        </is>
      </c>
      <c r="C475" t="inlineStr">
        <is>
          <t>B08KW1KR5H</t>
        </is>
      </c>
      <c r="D475" t="inlineStr">
        <is>
          <t>JBL</t>
        </is>
      </c>
      <c r="E475" t="inlineStr">
        <is>
          <t>False</t>
        </is>
      </c>
      <c r="F475" t="inlineStr">
        <is>
          <t>JBL Go 3: Portable Speaker with Bluetooth, Built-in Battery, Waterproof and Dustproof Feature - Black</t>
        </is>
      </c>
      <c r="G475">
        <v>1</v>
      </c>
      <c r="H475" s="2" t="str">
        <f>HYPERLINK("https://www.amazon.com/dp/B08KW1KR5H", "https://www.amazon.com/dp/B08KW1KR5H")</f>
      </c>
      <c r="I475" s="3">
        <v>2867</v>
      </c>
      <c r="J475" s="4">
        <v>13.67</v>
      </c>
      <c r="K475" s="5">
        <v>0.2737</v>
      </c>
      <c r="L475" s="15">
        <v>0.4882</v>
      </c>
      <c r="M475" t="inlineStr">
        <is>
          <t>True</t>
        </is>
      </c>
      <c r="N475" t="inlineStr">
        <is>
          <t>Electronics</t>
        </is>
      </c>
      <c r="O475" s="6">
        <v>1227</v>
      </c>
      <c r="P475" s="6">
        <v>914</v>
      </c>
      <c r="Q475" s="6">
        <v>140</v>
      </c>
      <c r="R475" s="6">
        <v>305</v>
      </c>
      <c r="S475" s="7">
        <v>28</v>
      </c>
      <c r="T475" s="7">
        <v>49.95</v>
      </c>
      <c r="U475">
        <v>46.62</v>
      </c>
      <c r="V475" s="8">
        <v>0</v>
      </c>
      <c r="W475" s="7">
        <v>0</v>
      </c>
      <c r="X475" s="7">
        <v>0</v>
      </c>
      <c r="Y475">
        <v>0.64</v>
      </c>
      <c r="Z475" s="9">
        <v>1</v>
      </c>
      <c r="AB475">
        <v>0</v>
      </c>
      <c r="AC475">
        <v>0</v>
      </c>
      <c r="AD475">
        <v>20</v>
      </c>
      <c r="AE475">
        <v>2</v>
      </c>
      <c r="AF475">
        <v>3</v>
      </c>
      <c r="AG475">
        <v>2</v>
      </c>
      <c r="AH475">
        <v>12</v>
      </c>
      <c r="AI475" t="inlineStr">
        <is>
          <t>True</t>
        </is>
      </c>
      <c r="AJ475" s="2" t="str">
        <f>HYPERLINK("https://keepa.com/#!product/1-B08KW1KR5H", "https://keepa.com/#!product/1-B08KW1KR5H")</f>
      </c>
      <c r="AK475" s="2" t="str">
        <f>HYPERLINK("https://camelcamelcamel.com/search?sq=B08KW1KR5H", "https://camelcamelcamel.com/search?sq=B08KW1KR5H")</f>
      </c>
      <c r="AL475" t="inlineStr">
        <is>
          <t/>
        </is>
      </c>
      <c r="AM475" s="10">
        <v>45417.11111111111</v>
      </c>
      <c r="AN475" t="inlineStr">
        <is>
          <t>JBL Go 3: Portable Speaker with Bluetooth, Built-in Battery, Waterproof and Dustproof Feature - Black</t>
        </is>
      </c>
      <c r="AO475" t="inlineStr">
        <is>
          <t>2550</t>
        </is>
      </c>
      <c r="AP475" t="inlineStr">
        <is>
          <t>500</t>
        </is>
      </c>
    </row>
    <row r="476">
      <c r="A476" t="inlineStr">
        <is>
          <t>B08M2J3LKK</t>
        </is>
      </c>
      <c r="B476" t="inlineStr">
        <is>
          <t>False</t>
        </is>
      </c>
      <c r="C476" t="inlineStr">
        <is>
          <t>B08M2J3LKK</t>
        </is>
      </c>
      <c r="D476" t="inlineStr">
        <is>
          <t>Boiron</t>
        </is>
      </c>
      <c r="E476" t="inlineStr">
        <is>
          <t>False</t>
        </is>
      </c>
      <c r="F476" t="inlineStr">
        <is>
          <t>Boiron Lycopodium Clavatum 30C Homeopathic Medicine for Relief from Bloating, Gas Relief, and Stomach Pressure or Discomfort, 3 Count (Pack of 1) (Total 240 Pellets)</t>
        </is>
      </c>
      <c r="G476">
        <v>1</v>
      </c>
      <c r="H476" s="2" t="str">
        <f>HYPERLINK("https://www.amazon.com/dp/B08M2J3LKK", "https://www.amazon.com/dp/B08M2J3LKK")</f>
      </c>
      <c r="I476" s="3">
        <v>538</v>
      </c>
      <c r="J476" s="11">
        <v>3.07</v>
      </c>
      <c r="K476" s="5">
        <v>0.1968</v>
      </c>
      <c r="L476" s="15">
        <v>0.47229999999999994</v>
      </c>
      <c r="M476" t="inlineStr">
        <is>
          <t>True</t>
        </is>
      </c>
      <c r="N476" t="inlineStr">
        <is>
          <t>Health &amp; Household</t>
        </is>
      </c>
      <c r="O476" s="6">
        <v>35550</v>
      </c>
      <c r="P476" s="6">
        <v>35955</v>
      </c>
      <c r="Q476" s="6">
        <v>24764</v>
      </c>
      <c r="R476" s="6">
        <v>122</v>
      </c>
      <c r="S476" s="7">
        <v>6.5</v>
      </c>
      <c r="T476" s="7">
        <v>15.6</v>
      </c>
      <c r="U476">
        <v>14.61</v>
      </c>
      <c r="V476" s="8">
        <v>0</v>
      </c>
      <c r="W476" s="7">
        <v>0</v>
      </c>
      <c r="X476" s="7">
        <v>0</v>
      </c>
      <c r="Y476">
        <v>0.07</v>
      </c>
      <c r="Z476" s="9">
        <v>1</v>
      </c>
      <c r="AB476">
        <v>0</v>
      </c>
      <c r="AC476">
        <v>0</v>
      </c>
      <c r="AD476">
        <v>7</v>
      </c>
      <c r="AE476">
        <v>2</v>
      </c>
      <c r="AF476">
        <v>5</v>
      </c>
      <c r="AG476">
        <v>1</v>
      </c>
      <c r="AH476">
        <v>1</v>
      </c>
      <c r="AI476" t="inlineStr">
        <is>
          <t>False</t>
        </is>
      </c>
      <c r="AJ476" s="2" t="str">
        <f>HYPERLINK("https://keepa.com/#!product/1-B08M2J3LKK", "https://keepa.com/#!product/1-B08M2J3LKK")</f>
      </c>
      <c r="AK476" s="2" t="str">
        <f>HYPERLINK("https://camelcamelcamel.com/search?sq=B08M2J3LKK", "https://camelcamelcamel.com/search?sq=B08M2J3LKK")</f>
      </c>
      <c r="AL476" t="inlineStr">
        <is>
          <t/>
        </is>
      </c>
      <c r="AM476" s="10">
        <v>45417.11111111111</v>
      </c>
      <c r="AN476" t="inlineStr">
        <is>
          <t>Boiron Lycopodium Clavatum 30C Homeopathic Medicine for Relief from Bloating, Gas Relief, and Stomach Pressure or Discomfort, 3 Count (Pack of 1) (Total 240 Pellets)</t>
        </is>
      </c>
      <c r="AO476" t="inlineStr">
        <is>
          <t>180</t>
        </is>
      </c>
      <c r="AP476" t="inlineStr">
        <is>
          <t>TAKE ALL</t>
        </is>
      </c>
    </row>
    <row r="477">
      <c r="A477" t="inlineStr">
        <is>
          <t>B08M2J5DNC</t>
        </is>
      </c>
      <c r="B477" t="inlineStr">
        <is>
          <t>False</t>
        </is>
      </c>
      <c r="C477" t="inlineStr">
        <is>
          <t>B08M2J5DNC</t>
        </is>
      </c>
      <c r="D477" t="inlineStr">
        <is>
          <t>Boiron</t>
        </is>
      </c>
      <c r="E477" t="inlineStr">
        <is>
          <t>False</t>
        </is>
      </c>
      <c r="F477" t="inlineStr">
        <is>
          <t>Boiron Arsenicum Album 30C Homeopathic Medicine for Relief from Diarrhea, Nausea, Vomiting, Cramps, and Traveler's Diarrhea, 80 Count - 3 Count (Pack of 1)</t>
        </is>
      </c>
      <c r="G477">
        <v>1</v>
      </c>
      <c r="H477" s="2" t="str">
        <f>HYPERLINK("https://www.amazon.com/dp/B08M2J5DNC", "https://www.amazon.com/dp/B08M2J5DNC")</f>
      </c>
      <c r="I477" s="3">
        <v>855</v>
      </c>
      <c r="J477" s="12">
        <v>-0.91</v>
      </c>
      <c r="K477" s="13">
        <v>-0.0833</v>
      </c>
      <c r="L477" s="13">
        <v>-0.14</v>
      </c>
      <c r="M477" t="inlineStr">
        <is>
          <t>True</t>
        </is>
      </c>
      <c r="N477" t="inlineStr">
        <is>
          <t>Health &amp; Household</t>
        </is>
      </c>
      <c r="O477" s="6">
        <v>25316</v>
      </c>
      <c r="P477" s="6">
        <v>22292</v>
      </c>
      <c r="Q477" s="6">
        <v>16417</v>
      </c>
      <c r="R477" s="6">
        <v>183</v>
      </c>
      <c r="S477" s="7">
        <v>6.5</v>
      </c>
      <c r="T477" s="7">
        <v>10.92</v>
      </c>
      <c r="U477">
        <v>14.37</v>
      </c>
      <c r="V477" s="8">
        <v>0</v>
      </c>
      <c r="W477" s="7">
        <v>0</v>
      </c>
      <c r="X477" s="7">
        <v>0</v>
      </c>
      <c r="Y477">
        <v>0.09</v>
      </c>
      <c r="Z477" s="9">
        <v>1</v>
      </c>
      <c r="AB477">
        <v>0</v>
      </c>
      <c r="AC477">
        <v>0</v>
      </c>
      <c r="AD477">
        <v>5</v>
      </c>
      <c r="AE477">
        <v>1</v>
      </c>
      <c r="AF477">
        <v>4</v>
      </c>
      <c r="AG477">
        <v>1</v>
      </c>
      <c r="AH477">
        <v>0</v>
      </c>
      <c r="AI477" t="inlineStr">
        <is>
          <t>False</t>
        </is>
      </c>
      <c r="AJ477" s="2" t="str">
        <f>HYPERLINK("https://keepa.com/#!product/1-B08M2J5DNC", "https://keepa.com/#!product/1-B08M2J5DNC")</f>
      </c>
      <c r="AK477" s="2" t="str">
        <f>HYPERLINK("https://camelcamelcamel.com/search?sq=B08M2J5DNC", "https://camelcamelcamel.com/search?sq=B08M2J5DNC")</f>
      </c>
      <c r="AL477" t="inlineStr">
        <is>
          <t/>
        </is>
      </c>
      <c r="AM477" s="10">
        <v>45417.11111111111</v>
      </c>
      <c r="AN477" t="inlineStr">
        <is>
          <t>Boiron Arsenicum Album 30C Homeopathic Medicine for Relief from Diarrhea, Nausea, Vomiting, Cramps, and Traveler's Diarrhea, 80 Count - 3 Count (Pack of 1)</t>
        </is>
      </c>
      <c r="AO477" t="inlineStr">
        <is>
          <t>360</t>
        </is>
      </c>
      <c r="AP477" t="inlineStr">
        <is>
          <t>TAKE ALL</t>
        </is>
      </c>
    </row>
    <row r="478">
      <c r="A478" t="inlineStr">
        <is>
          <t>B08M2NR8R8</t>
        </is>
      </c>
      <c r="B478" t="inlineStr">
        <is>
          <t>False</t>
        </is>
      </c>
      <c r="C478" t="inlineStr">
        <is>
          <t>B08M2NR8R8</t>
        </is>
      </c>
      <c r="D478" t="inlineStr">
        <is>
          <t>Boiron</t>
        </is>
      </c>
      <c r="E478" t="inlineStr">
        <is>
          <t>False</t>
        </is>
      </c>
      <c r="F478" t="inlineStr">
        <is>
          <t>Boiron Rhus Tox 30C Homeopathic Medicine for Relief from Joint Pain, Muscle Aches, Swollen or Stiff Joints, and Weather Related Aches - 3 Count (Pack of 1) (Total 240 Pellets)</t>
        </is>
      </c>
      <c r="G478">
        <v>1</v>
      </c>
      <c r="H478" s="2" t="str">
        <f>HYPERLINK("https://www.amazon.com/dp/B08M2NR8R8", "https://www.amazon.com/dp/B08M2NR8R8")</f>
      </c>
      <c r="I478" s="3">
        <v>1435</v>
      </c>
      <c r="J478" s="11">
        <v>1.74</v>
      </c>
      <c r="K478" s="5">
        <v>0.12390000000000001</v>
      </c>
      <c r="L478" s="5">
        <v>0.2677</v>
      </c>
      <c r="M478" t="inlineStr">
        <is>
          <t>True</t>
        </is>
      </c>
      <c r="N478" t="inlineStr">
        <is>
          <t>Health &amp; Household</t>
        </is>
      </c>
      <c r="O478" s="6">
        <v>16892</v>
      </c>
      <c r="P478" s="6">
        <v>17715</v>
      </c>
      <c r="Q478" s="6">
        <v>12912</v>
      </c>
      <c r="R478" s="6">
        <v>156</v>
      </c>
      <c r="S478" s="7">
        <v>6.5</v>
      </c>
      <c r="T478" s="7">
        <v>14.04</v>
      </c>
      <c r="U478">
        <v>14.1</v>
      </c>
      <c r="V478" s="8">
        <v>0</v>
      </c>
      <c r="W478" s="7">
        <v>0</v>
      </c>
      <c r="X478" s="7">
        <v>0</v>
      </c>
      <c r="Y478">
        <v>0.09</v>
      </c>
      <c r="Z478" s="9">
        <v>1</v>
      </c>
      <c r="AB478">
        <v>0</v>
      </c>
      <c r="AC478">
        <v>0</v>
      </c>
      <c r="AD478">
        <v>7</v>
      </c>
      <c r="AE478">
        <v>1</v>
      </c>
      <c r="AF478">
        <v>6</v>
      </c>
      <c r="AG478">
        <v>1</v>
      </c>
      <c r="AH478">
        <v>1</v>
      </c>
      <c r="AI478" t="inlineStr">
        <is>
          <t>False</t>
        </is>
      </c>
      <c r="AJ478" s="2" t="str">
        <f>HYPERLINK("https://keepa.com/#!product/1-B08M2NR8R8", "https://keepa.com/#!product/1-B08M2NR8R8")</f>
      </c>
      <c r="AK478" s="2" t="str">
        <f>HYPERLINK("https://camelcamelcamel.com/search?sq=B08M2NR8R8", "https://camelcamelcamel.com/search?sq=B08M2NR8R8")</f>
      </c>
      <c r="AL478" t="inlineStr">
        <is>
          <t/>
        </is>
      </c>
      <c r="AM478" s="10">
        <v>45417.11111111111</v>
      </c>
      <c r="AN478" t="inlineStr">
        <is>
          <t>Boiron Rhus Tox 30C Homeopathic Medicine for Relief from Joint Pain, Muscle Aches, Swollen or Stiff Joints, and Weather Related Aches - 3 Count (Pack of 1) (Total 240 Pellets)</t>
        </is>
      </c>
      <c r="AO478" t="inlineStr">
        <is>
          <t>400</t>
        </is>
      </c>
      <c r="AP478" t="inlineStr">
        <is>
          <t>TAKE ALL</t>
        </is>
      </c>
    </row>
    <row r="479">
      <c r="A479" t="inlineStr">
        <is>
          <t>B08MKT8L25</t>
        </is>
      </c>
      <c r="B479" t="inlineStr">
        <is>
          <t>False</t>
        </is>
      </c>
      <c r="C479" t="inlineStr">
        <is>
          <t>B08MKT8L25</t>
        </is>
      </c>
      <c r="D479" t="inlineStr">
        <is>
          <t>TRUFF</t>
        </is>
      </c>
      <c r="E479" t="inlineStr">
        <is>
          <t>False</t>
        </is>
      </c>
      <c r="F479" t="inlineStr">
        <is>
          <t>TRUFF Pasta Sauce, Black Truffle Spicy Marinara | Tomato Sauce for Pasta, Pizza, and More | Non-GMO, Vegan, Pack of 2 (Spicy Marinaraa, 2 Count)</t>
        </is>
      </c>
      <c r="G479">
        <v>1</v>
      </c>
      <c r="H479" s="2" t="str">
        <f>HYPERLINK("https://www.amazon.com/dp/B08MKT8L25", "https://www.amazon.com/dp/B08MKT8L25")</f>
      </c>
      <c r="I479" s="3">
        <v>352</v>
      </c>
      <c r="J479" s="4">
        <v>4.5</v>
      </c>
      <c r="K479" s="5">
        <v>0.1501</v>
      </c>
      <c r="L479" s="15">
        <v>0.3273</v>
      </c>
      <c r="M479" t="inlineStr">
        <is>
          <t>True</t>
        </is>
      </c>
      <c r="N479" t="inlineStr">
        <is>
          <t>Grocery &amp; Gourmet Food</t>
        </is>
      </c>
      <c r="O479" s="6">
        <v>22033</v>
      </c>
      <c r="P479" s="6">
        <v>27189</v>
      </c>
      <c r="Q479" s="6">
        <v>15573</v>
      </c>
      <c r="R479" s="6">
        <v>135</v>
      </c>
      <c r="S479" s="7">
        <v>13.75</v>
      </c>
      <c r="T479" s="7">
        <v>29.99</v>
      </c>
      <c r="U479">
        <v>29.99</v>
      </c>
      <c r="V479" s="8">
        <v>0</v>
      </c>
      <c r="W479" s="7">
        <v>0</v>
      </c>
      <c r="X479" s="7">
        <v>0</v>
      </c>
      <c r="Y479">
        <v>3.59</v>
      </c>
      <c r="Z479" s="8">
        <v>0</v>
      </c>
      <c r="AB479">
        <v>0</v>
      </c>
      <c r="AC479">
        <v>0</v>
      </c>
      <c r="AD479">
        <v>4</v>
      </c>
      <c r="AE479">
        <v>3</v>
      </c>
      <c r="AF479">
        <v>1</v>
      </c>
      <c r="AG479">
        <v>3</v>
      </c>
      <c r="AH479">
        <v>2</v>
      </c>
      <c r="AI479" t="inlineStr">
        <is>
          <t>False</t>
        </is>
      </c>
      <c r="AJ479" s="2" t="str">
        <f>HYPERLINK("https://keepa.com/#!product/1-B08MKT8L25", "https://keepa.com/#!product/1-B08MKT8L25")</f>
      </c>
      <c r="AK479" s="2" t="str">
        <f>HYPERLINK("https://camelcamelcamel.com/search?sq=B08MKT8L25", "https://camelcamelcamel.com/search?sq=B08MKT8L25")</f>
      </c>
      <c r="AL479" t="inlineStr">
        <is>
          <t/>
        </is>
      </c>
      <c r="AM479" s="10">
        <v>45417.11111111111</v>
      </c>
      <c r="AN479" t="inlineStr">
        <is>
          <t>TRUFF Pasta Sauce, Black Truffle Spicy Marinara | Tomato Sauce for Pasta, Pizza, and More | Non-GMO, Vegan, Pack of 2 (Spicy Marinaraa, 2 Count)</t>
        </is>
      </c>
      <c r="AO479" t="inlineStr">
        <is>
          <t>336</t>
        </is>
      </c>
      <c r="AP479" t="inlineStr">
        <is>
          <t>TAKE ALL</t>
        </is>
      </c>
    </row>
    <row r="480">
      <c r="A480" t="inlineStr">
        <is>
          <t>B08MLDGSTP</t>
        </is>
      </c>
      <c r="B480" t="inlineStr">
        <is>
          <t>False</t>
        </is>
      </c>
      <c r="C480" t="inlineStr">
        <is>
          <t>B08MLDGSTP</t>
        </is>
      </c>
      <c r="D480" t="inlineStr">
        <is>
          <t>Buffalo Games</t>
        </is>
      </c>
      <c r="E480" t="inlineStr">
        <is>
          <t>False</t>
        </is>
      </c>
      <c r="F480" t="inlineStr">
        <is>
          <t>Buffalo Games The Price is Right - Plinko</t>
        </is>
      </c>
      <c r="G480">
        <v>1</v>
      </c>
      <c r="H480" s="2" t="str">
        <f>HYPERLINK("https://www.amazon.com/dp/B08MLDGSTP", "https://www.amazon.com/dp/B08MLDGSTP")</f>
      </c>
      <c r="I480" s="3">
        <v>120</v>
      </c>
      <c r="J480" s="11">
        <v>1.08</v>
      </c>
      <c r="K480" s="5">
        <v>0.0326</v>
      </c>
      <c r="L480" s="5">
        <v>0.0745</v>
      </c>
      <c r="M480" t="inlineStr">
        <is>
          <t>True</t>
        </is>
      </c>
      <c r="N480" t="inlineStr">
        <is>
          <t>Toys &amp; Games</t>
        </is>
      </c>
      <c r="O480" s="6">
        <v>68367</v>
      </c>
      <c r="P480" s="6">
        <v>72389</v>
      </c>
      <c r="Q480" s="6">
        <v>30614</v>
      </c>
      <c r="R480" s="6">
        <v>157</v>
      </c>
      <c r="S480" s="7">
        <v>14.5</v>
      </c>
      <c r="T480" s="7">
        <v>33.14</v>
      </c>
      <c r="U480">
        <v>38.34</v>
      </c>
      <c r="V480" s="8">
        <v>0</v>
      </c>
      <c r="W480" s="7">
        <v>0</v>
      </c>
      <c r="X480" s="7">
        <v>0</v>
      </c>
      <c r="Y480">
        <v>4.3</v>
      </c>
      <c r="Z480" s="9">
        <v>1</v>
      </c>
      <c r="AB480">
        <v>0</v>
      </c>
      <c r="AC480">
        <v>0</v>
      </c>
      <c r="AD480">
        <v>8</v>
      </c>
      <c r="AE480">
        <v>3</v>
      </c>
      <c r="AF480">
        <v>0</v>
      </c>
      <c r="AG480">
        <v>2</v>
      </c>
      <c r="AH480">
        <v>0</v>
      </c>
      <c r="AI480" t="inlineStr">
        <is>
          <t>False</t>
        </is>
      </c>
      <c r="AJ480" s="2" t="str">
        <f>HYPERLINK("https://keepa.com/#!product/1-B08MLDGSTP", "https://keepa.com/#!product/1-B08MLDGSTP")</f>
      </c>
      <c r="AK480" s="2" t="str">
        <f>HYPERLINK("https://camelcamelcamel.com/search?sq=B08MLDGSTP", "https://camelcamelcamel.com/search?sq=B08MLDGSTP")</f>
      </c>
      <c r="AL480" t="inlineStr">
        <is>
          <t/>
        </is>
      </c>
      <c r="AM480" s="10">
        <v>45417.11111111111</v>
      </c>
      <c r="AN480" t="inlineStr">
        <is>
          <t>Buffalo Games The Price is Right - Plinko</t>
        </is>
      </c>
      <c r="AO480" t="inlineStr">
        <is>
          <t>200</t>
        </is>
      </c>
      <c r="AP480" t="inlineStr">
        <is>
          <t>TAKE ALL</t>
        </is>
      </c>
    </row>
    <row r="481">
      <c r="A481" t="inlineStr">
        <is>
          <t>B08MYG2V36</t>
        </is>
      </c>
      <c r="B481" t="inlineStr">
        <is>
          <t>False</t>
        </is>
      </c>
      <c r="C481" t="inlineStr">
        <is>
          <t>B08MYG2V36</t>
        </is>
      </c>
      <c r="D481" t="inlineStr">
        <is>
          <t>PowerXL</t>
        </is>
      </c>
      <c r="E481" t="inlineStr">
        <is>
          <t>False</t>
        </is>
      </c>
      <c r="F481" t="inlineStr">
        <is>
          <t>PowerXL Vortex Air Fryer, Vortex Rapid Air Technology, SmartSync, Broil, Bake, Roast, Reheat, Dehydrate (10 QT Single Basket)</t>
        </is>
      </c>
      <c r="G481">
        <v>1</v>
      </c>
      <c r="H481" s="2" t="str">
        <f>HYPERLINK("https://www.amazon.com/dp/B08MYG2V36", "https://www.amazon.com/dp/B08MYG2V36")</f>
      </c>
      <c r="I481" s="14">
        <v>5</v>
      </c>
      <c r="M481" t="inlineStr">
        <is>
          <t>True</t>
        </is>
      </c>
      <c r="N481" t="inlineStr">
        <is>
          <t>Kitchen &amp; Dining</t>
        </is>
      </c>
      <c r="O481" s="6">
        <v>286382</v>
      </c>
      <c r="P481" s="6">
        <v>208928</v>
      </c>
      <c r="Q481" s="6">
        <v>77365</v>
      </c>
      <c r="R481" s="6">
        <v>53</v>
      </c>
      <c r="S481" s="7">
        <v>48.5</v>
      </c>
      <c r="U481">
        <v>84.74</v>
      </c>
      <c r="X481" s="7">
        <v>0</v>
      </c>
      <c r="Y481">
        <v>19.15</v>
      </c>
      <c r="Z481" s="8">
        <v>0</v>
      </c>
      <c r="AB481">
        <v>0</v>
      </c>
      <c r="AC481">
        <v>0</v>
      </c>
      <c r="AD481">
        <v>0</v>
      </c>
      <c r="AE481">
        <v>0</v>
      </c>
      <c r="AF481">
        <v>0</v>
      </c>
      <c r="AG481">
        <v>0</v>
      </c>
      <c r="AH481">
        <v>0</v>
      </c>
      <c r="AI481" t="inlineStr">
        <is>
          <t>False</t>
        </is>
      </c>
      <c r="AJ481" s="2" t="str">
        <f>HYPERLINK("https://keepa.com/#!product/1-B08MYG2V36", "https://keepa.com/#!product/1-B08MYG2V36")</f>
      </c>
      <c r="AK481" s="2" t="str">
        <f>HYPERLINK("https://camelcamelcamel.com/search?sq=B08MYG2V36", "https://camelcamelcamel.com/search?sq=B08MYG2V36")</f>
      </c>
      <c r="AL481" t="inlineStr">
        <is>
          <t/>
        </is>
      </c>
      <c r="AM481" s="10">
        <v>45417.11111111111</v>
      </c>
      <c r="AN481" t="inlineStr">
        <is>
          <t>PowerXL Vortex Air Fryer, Vortex Rapid Air Technology, SmartSync, Broil, Bake, Roast, Reheat, Dehydrate (10 QT Single Basket)</t>
        </is>
      </c>
      <c r="AO481" t="inlineStr">
        <is>
          <t>1000</t>
        </is>
      </c>
      <c r="AP481" t="inlineStr">
        <is>
          <t>100</t>
        </is>
      </c>
    </row>
    <row r="482">
      <c r="A482" t="inlineStr">
        <is>
          <t>B08N2J8WZ8</t>
        </is>
      </c>
      <c r="B482" t="inlineStr">
        <is>
          <t>False</t>
        </is>
      </c>
      <c r="C482" t="inlineStr">
        <is>
          <t>B08N2J8WZ8</t>
        </is>
      </c>
      <c r="D482" t="inlineStr">
        <is>
          <t>Starbucks</t>
        </is>
      </c>
      <c r="E482" t="inlineStr">
        <is>
          <t>False</t>
        </is>
      </c>
      <c r="F482" t="inlineStr">
        <is>
          <t>Starbucks Ground Coffee, Medium Roast Coffee, Spring Day Blend, 100% Arabica, Limited Edition, 6 Bags (10 Oz Each)</t>
        </is>
      </c>
      <c r="G482">
        <v>1</v>
      </c>
      <c r="H482" s="2" t="str">
        <f>HYPERLINK("https://www.amazon.com/dp/B08N2J8WZ8", "https://www.amazon.com/dp/B08N2J8WZ8")</f>
      </c>
      <c r="I482" s="3">
        <v>11108</v>
      </c>
      <c r="J482" s="4">
        <v>7.01</v>
      </c>
      <c r="K482" s="5">
        <v>0.16399999999999998</v>
      </c>
      <c r="L482" s="15">
        <v>0.3223</v>
      </c>
      <c r="M482" t="inlineStr">
        <is>
          <t>True</t>
        </is>
      </c>
      <c r="N482" t="inlineStr">
        <is>
          <t>Grocery &amp; Gourmet Food</t>
        </is>
      </c>
      <c r="O482" s="6">
        <v>176</v>
      </c>
      <c r="P482" s="6">
        <v>702</v>
      </c>
      <c r="Q482" s="6">
        <v>22</v>
      </c>
      <c r="R482" s="6">
        <v>146</v>
      </c>
      <c r="S482" s="7">
        <v>21.75</v>
      </c>
      <c r="T482" s="7">
        <v>42.74</v>
      </c>
      <c r="U482">
        <v>51.94</v>
      </c>
      <c r="V482" s="8">
        <v>0</v>
      </c>
      <c r="W482" s="7">
        <v>0</v>
      </c>
      <c r="X482" s="7">
        <v>0</v>
      </c>
      <c r="Y482">
        <v>4.34</v>
      </c>
      <c r="Z482" s="9">
        <v>0.82</v>
      </c>
      <c r="AB482">
        <v>0</v>
      </c>
      <c r="AC482">
        <v>0</v>
      </c>
      <c r="AD482">
        <v>4</v>
      </c>
      <c r="AE482">
        <v>1</v>
      </c>
      <c r="AF482">
        <v>3</v>
      </c>
      <c r="AG482">
        <v>1</v>
      </c>
      <c r="AH482">
        <v>64</v>
      </c>
      <c r="AI482" t="inlineStr">
        <is>
          <t>False</t>
        </is>
      </c>
      <c r="AJ482" s="2" t="str">
        <f>HYPERLINK("https://keepa.com/#!product/1-B08N2J8WZ8", "https://keepa.com/#!product/1-B08N2J8WZ8")</f>
      </c>
      <c r="AK482" s="2" t="str">
        <f>HYPERLINK("https://camelcamelcamel.com/search?sq=B08N2J8WZ8", "https://camelcamelcamel.com/search?sq=B08N2J8WZ8")</f>
      </c>
      <c r="AL482" t="inlineStr">
        <is>
          <t/>
        </is>
      </c>
      <c r="AM482" s="10">
        <v>45417.11111111111</v>
      </c>
      <c r="AN482" t="inlineStr">
        <is>
          <t>Starbucks Offer</t>
        </is>
      </c>
      <c r="AO482" t="inlineStr">
        <is>
          <t>600</t>
        </is>
      </c>
      <c r="AP482" t="inlineStr">
        <is>
          <t>200</t>
        </is>
      </c>
    </row>
    <row r="483">
      <c r="A483" t="inlineStr">
        <is>
          <t>B08N5NQ869</t>
        </is>
      </c>
      <c r="B483" t="inlineStr">
        <is>
          <t>False</t>
        </is>
      </c>
      <c r="C483" t="inlineStr">
        <is>
          <t>B08N5NQ869</t>
        </is>
      </c>
      <c r="D483" t="inlineStr">
        <is>
          <t>Ring</t>
        </is>
      </c>
      <c r="E483" t="inlineStr">
        <is>
          <t>False</t>
        </is>
      </c>
      <c r="F483" t="inlineStr">
        <is>
          <t>Ring Video Doorbell - 1080p HD video, improved motion detection, easy installation – Satin Nickel</t>
        </is>
      </c>
      <c r="G483">
        <v>1</v>
      </c>
      <c r="H483" s="2" t="str">
        <f>HYPERLINK("https://www.amazon.com/dp/B08N5NQ869", "https://www.amazon.com/dp/B08N5NQ869")</f>
      </c>
      <c r="I483" s="3">
        <v>35405</v>
      </c>
      <c r="J483" s="4">
        <v>25.31</v>
      </c>
      <c r="K483" s="5">
        <v>0.2531</v>
      </c>
      <c r="L483" s="15">
        <v>0.46020000000000005</v>
      </c>
      <c r="M483" t="inlineStr">
        <is>
          <t>True</t>
        </is>
      </c>
      <c r="N483" t="inlineStr">
        <is>
          <t>Tools &amp; Home Improvement</t>
        </is>
      </c>
      <c r="O483" s="6">
        <v>9</v>
      </c>
      <c r="P483" s="6">
        <v>10</v>
      </c>
      <c r="Q483" s="6">
        <v>1</v>
      </c>
      <c r="R483" s="6">
        <v>123</v>
      </c>
      <c r="S483" s="7">
        <v>55</v>
      </c>
      <c r="T483" s="7">
        <v>99.99</v>
      </c>
      <c r="U483">
        <v>85.11</v>
      </c>
      <c r="V483" s="8">
        <v>0</v>
      </c>
      <c r="W483" s="7">
        <v>0</v>
      </c>
      <c r="X483" s="7">
        <v>0</v>
      </c>
      <c r="Y483">
        <v>0.77</v>
      </c>
      <c r="Z483" s="9">
        <v>1</v>
      </c>
      <c r="AB483">
        <v>0</v>
      </c>
      <c r="AC483">
        <v>0</v>
      </c>
      <c r="AD483">
        <v>3</v>
      </c>
      <c r="AE483">
        <v>1</v>
      </c>
      <c r="AF483">
        <v>1</v>
      </c>
      <c r="AG483">
        <v>1</v>
      </c>
      <c r="AH483">
        <v>1</v>
      </c>
      <c r="AI483" t="inlineStr">
        <is>
          <t>True</t>
        </is>
      </c>
      <c r="AJ483" s="2" t="str">
        <f>HYPERLINK("https://keepa.com/#!product/1-B08N5NQ869", "https://keepa.com/#!product/1-B08N5NQ869")</f>
      </c>
      <c r="AK483" s="2" t="str">
        <f>HYPERLINK("https://camelcamelcamel.com/search?sq=B08N5NQ869", "https://camelcamelcamel.com/search?sq=B08N5NQ869")</f>
      </c>
      <c r="AL483" t="inlineStr">
        <is>
          <t/>
        </is>
      </c>
      <c r="AM483" s="10">
        <v>45417.11111111111</v>
      </c>
      <c r="AN483" t="inlineStr">
        <is>
          <t>Ring Video Doorbell - 1080p HD video, improved motion detection, easy installation â€“ Satin Nickel</t>
        </is>
      </c>
      <c r="AO483" t="inlineStr">
        <is>
          <t>5000</t>
        </is>
      </c>
      <c r="AP483" t="inlineStr">
        <is>
          <t>2500</t>
        </is>
      </c>
    </row>
    <row r="484">
      <c r="A484" t="inlineStr">
        <is>
          <t>B08N5R7DH9</t>
        </is>
      </c>
      <c r="B484" t="inlineStr">
        <is>
          <t>False</t>
        </is>
      </c>
      <c r="C484" t="inlineStr">
        <is>
          <t>B08N5R7DH9</t>
        </is>
      </c>
      <c r="D484" t="inlineStr">
        <is>
          <t>BIOSTEEL</t>
        </is>
      </c>
      <c r="E484" t="inlineStr">
        <is>
          <t>False</t>
        </is>
      </c>
      <c r="F484" t="inlineStr">
        <is>
          <t>BioSteel Zero Sugar Hydration Mix, Great Tasting Hydration with 5 Essential Electrolytes, Blue Raspberry Flavor, 45 Servings per Tub</t>
        </is>
      </c>
      <c r="G484">
        <v>1</v>
      </c>
      <c r="H484" s="2" t="str">
        <f>HYPERLINK("https://www.amazon.com/dp/B08N5R7DH9", "https://www.amazon.com/dp/B08N5R7DH9")</f>
      </c>
      <c r="I484" s="3">
        <v>591</v>
      </c>
      <c r="J484" s="12">
        <v>-15.96</v>
      </c>
      <c r="K484" s="13">
        <v>-0.8409</v>
      </c>
      <c r="L484" s="13">
        <v>-0.5804</v>
      </c>
      <c r="M484" t="inlineStr">
        <is>
          <t>True</t>
        </is>
      </c>
      <c r="N484" t="inlineStr">
        <is>
          <t>Health &amp; Household</t>
        </is>
      </c>
      <c r="O484" s="6">
        <v>33161</v>
      </c>
      <c r="P484" s="6">
        <v>30165</v>
      </c>
      <c r="Q484" s="6">
        <v>20651</v>
      </c>
      <c r="R484" s="6">
        <v>187</v>
      </c>
      <c r="S484" s="7">
        <v>27.5</v>
      </c>
      <c r="T484" s="7">
        <v>18.98</v>
      </c>
      <c r="U484">
        <v>23.94</v>
      </c>
      <c r="V484" s="8">
        <v>0</v>
      </c>
      <c r="W484" s="7">
        <v>0</v>
      </c>
      <c r="X484" s="7">
        <v>0</v>
      </c>
      <c r="Y484">
        <v>0.86</v>
      </c>
      <c r="Z484" s="8">
        <v>0</v>
      </c>
      <c r="AB484">
        <v>0</v>
      </c>
      <c r="AC484">
        <v>0</v>
      </c>
      <c r="AD484">
        <v>27</v>
      </c>
      <c r="AE484">
        <v>21</v>
      </c>
      <c r="AF484">
        <v>6</v>
      </c>
      <c r="AG484">
        <v>4</v>
      </c>
      <c r="AH484">
        <v>0</v>
      </c>
      <c r="AI484" t="inlineStr">
        <is>
          <t>False</t>
        </is>
      </c>
      <c r="AJ484" s="2" t="str">
        <f>HYPERLINK("https://keepa.com/#!product/1-B08N5R7DH9", "https://keepa.com/#!product/1-B08N5R7DH9")</f>
      </c>
      <c r="AK484" s="2" t="str">
        <f>HYPERLINK("https://camelcamelcamel.com/search?sq=B08N5R7DH9", "https://camelcamelcamel.com/search?sq=B08N5R7DH9")</f>
      </c>
      <c r="AL484" t="inlineStr">
        <is>
          <t/>
        </is>
      </c>
      <c r="AM484" s="10">
        <v>45417.11111111111</v>
      </c>
      <c r="AN484" t="inlineStr">
        <is>
          <t>BioSteel Zero Sugar Hydration Mix, Great Tasting Hydration with 5 Essential Electrolytes, Blue Raspberry Flavor, 45</t>
        </is>
      </c>
      <c r="AO484" t="inlineStr">
        <is>
          <t>240</t>
        </is>
      </c>
      <c r="AP484" t="inlineStr">
        <is>
          <t>TAKE ALL</t>
        </is>
      </c>
    </row>
    <row r="485">
      <c r="A485" t="inlineStr">
        <is>
          <t>B08NWH8F9J</t>
        </is>
      </c>
      <c r="B485" t="inlineStr">
        <is>
          <t>False</t>
        </is>
      </c>
      <c r="C485" t="inlineStr">
        <is>
          <t>B08NWH8F9J</t>
        </is>
      </c>
      <c r="D485" t="inlineStr">
        <is>
          <t>BLACK+DECKER</t>
        </is>
      </c>
      <c r="E485" t="inlineStr">
        <is>
          <t>False</t>
        </is>
      </c>
      <c r="F485" t="inlineStr">
        <is>
          <t>BLACK+DECKER 10,000 BTU Portable Air Conditioner with Remote Control, White</t>
        </is>
      </c>
      <c r="G485">
        <v>1</v>
      </c>
      <c r="H485" s="2" t="str">
        <f>HYPERLINK("https://www.amazon.com/dp/B08NWH8F9J", "https://www.amazon.com/dp/B08NWH8F9J")</f>
      </c>
      <c r="I485" s="3">
        <v>392</v>
      </c>
      <c r="J485" s="4">
        <v>27.99</v>
      </c>
      <c r="K485" s="5">
        <v>0.1042</v>
      </c>
      <c r="L485" s="5">
        <v>0.2285</v>
      </c>
      <c r="M485" t="inlineStr">
        <is>
          <t>True</t>
        </is>
      </c>
      <c r="N485" t="inlineStr">
        <is>
          <t>Home &amp; Kitchen</t>
        </is>
      </c>
      <c r="O485" s="6">
        <v>68672</v>
      </c>
      <c r="P485" s="6">
        <v>47304</v>
      </c>
      <c r="Q485" s="6">
        <v>9219</v>
      </c>
      <c r="R485" s="6">
        <v>197</v>
      </c>
      <c r="S485" s="7">
        <v>122.5</v>
      </c>
      <c r="T485" s="7">
        <v>268.68</v>
      </c>
      <c r="U485">
        <v>243.4</v>
      </c>
      <c r="V485" s="8">
        <v>0</v>
      </c>
      <c r="W485" s="7">
        <v>0</v>
      </c>
      <c r="X485" s="7">
        <v>0</v>
      </c>
      <c r="Y485">
        <v>63</v>
      </c>
      <c r="Z485" s="9">
        <v>0.87</v>
      </c>
      <c r="AB485">
        <v>0</v>
      </c>
      <c r="AC485">
        <v>0</v>
      </c>
      <c r="AD485">
        <v>3</v>
      </c>
      <c r="AE485">
        <v>1</v>
      </c>
      <c r="AF485">
        <v>2</v>
      </c>
      <c r="AG485">
        <v>1</v>
      </c>
      <c r="AH485">
        <v>0</v>
      </c>
      <c r="AI485" t="inlineStr">
        <is>
          <t>True</t>
        </is>
      </c>
      <c r="AJ485" s="2" t="str">
        <f>HYPERLINK("https://keepa.com/#!product/1-B08NWH8F9J", "https://keepa.com/#!product/1-B08NWH8F9J")</f>
      </c>
      <c r="AK485" s="2" t="str">
        <f>HYPERLINK("https://camelcamelcamel.com/search?sq=B08NWH8F9J", "https://camelcamelcamel.com/search?sq=B08NWH8F9J")</f>
      </c>
      <c r="AL485" t="inlineStr">
        <is>
          <t/>
        </is>
      </c>
      <c r="AM485" s="10">
        <v>45417.11111111111</v>
      </c>
      <c r="AN485" t="inlineStr">
        <is>
          <t>BLACK+DECKER 10,000 BTU Portable Air Conditioner with Remote Contr</t>
        </is>
      </c>
      <c r="AO485" t="inlineStr">
        <is>
          <t>500</t>
        </is>
      </c>
      <c r="AP485" t="inlineStr">
        <is>
          <t>TAKE ALL</t>
        </is>
      </c>
    </row>
    <row r="486">
      <c r="A486" t="inlineStr">
        <is>
          <t>B08P39DY6V</t>
        </is>
      </c>
      <c r="B486" t="inlineStr">
        <is>
          <t>False</t>
        </is>
      </c>
      <c r="C486" t="inlineStr">
        <is>
          <t>B08P39DY6V</t>
        </is>
      </c>
      <c r="D486" t="inlineStr">
        <is>
          <t>Boiron</t>
        </is>
      </c>
      <c r="E486" t="inlineStr">
        <is>
          <t>False</t>
        </is>
      </c>
      <c r="F486" t="inlineStr">
        <is>
          <t>Boiron Chestal Pellets for Cough and Mucus Relief, Nasal or Chest Congestion, and Sore Throat Relief - 2 Count (160 Pellets)</t>
        </is>
      </c>
      <c r="G486">
        <v>1</v>
      </c>
      <c r="H486" s="2" t="str">
        <f>HYPERLINK("https://www.amazon.com/dp/B08P39DY6V", "https://www.amazon.com/dp/B08P39DY6V")</f>
      </c>
      <c r="I486" s="3">
        <v>4133</v>
      </c>
      <c r="J486" s="12">
        <v>-1.06</v>
      </c>
      <c r="K486" s="13">
        <v>-0.1325</v>
      </c>
      <c r="L486" s="13">
        <v>-0.19269999999999998</v>
      </c>
      <c r="M486" t="inlineStr">
        <is>
          <t>True</t>
        </is>
      </c>
      <c r="N486" t="inlineStr">
        <is>
          <t>Health &amp; Household</t>
        </is>
      </c>
      <c r="O486" s="6">
        <v>6457</v>
      </c>
      <c r="P486" s="6">
        <v>6436</v>
      </c>
      <c r="Q486" s="6">
        <v>5173</v>
      </c>
      <c r="R486" s="6">
        <v>313</v>
      </c>
      <c r="S486" s="7">
        <v>5.5</v>
      </c>
      <c r="T486" s="7">
        <v>8</v>
      </c>
      <c r="U486">
        <v>10.12</v>
      </c>
      <c r="V486" s="8">
        <v>0</v>
      </c>
      <c r="W486" s="7">
        <v>0</v>
      </c>
      <c r="X486" s="7">
        <v>0</v>
      </c>
      <c r="Y486">
        <v>0.04</v>
      </c>
      <c r="Z486" s="9">
        <v>1</v>
      </c>
      <c r="AB486">
        <v>0</v>
      </c>
      <c r="AC486">
        <v>0</v>
      </c>
      <c r="AD486">
        <v>12</v>
      </c>
      <c r="AE486">
        <v>4</v>
      </c>
      <c r="AF486">
        <v>8</v>
      </c>
      <c r="AG486">
        <v>3</v>
      </c>
      <c r="AH486">
        <v>1</v>
      </c>
      <c r="AI486" t="inlineStr">
        <is>
          <t>False</t>
        </is>
      </c>
      <c r="AJ486" s="2" t="str">
        <f>HYPERLINK("https://keepa.com/#!product/1-B08P39DY6V", "https://keepa.com/#!product/1-B08P39DY6V")</f>
      </c>
      <c r="AK486" s="2" t="str">
        <f>HYPERLINK("https://camelcamelcamel.com/search?sq=B08P39DY6V", "https://camelcamelcamel.com/search?sq=B08P39DY6V")</f>
      </c>
      <c r="AL486" t="inlineStr">
        <is>
          <t/>
        </is>
      </c>
      <c r="AM486" s="10">
        <v>45417.11111111111</v>
      </c>
      <c r="AN486" t="inlineStr">
        <is>
          <t>Boiron Chestal Pellets for Cough and Mucus Relief, Nasal or Chest Congestion, and Sore Throat Relief - 2 Count (160 Pellets)</t>
        </is>
      </c>
      <c r="AO486" t="inlineStr">
        <is>
          <t>1500</t>
        </is>
      </c>
      <c r="AP486" t="inlineStr">
        <is>
          <t>750</t>
        </is>
      </c>
    </row>
    <row r="487">
      <c r="A487" t="inlineStr">
        <is>
          <t>B08P3FTCKS</t>
        </is>
      </c>
      <c r="B487" t="inlineStr">
        <is>
          <t>False</t>
        </is>
      </c>
      <c r="C487" t="inlineStr">
        <is>
          <t>B08P3FTCKS</t>
        </is>
      </c>
      <c r="D487" t="inlineStr">
        <is>
          <t>Colgate</t>
        </is>
      </c>
      <c r="E487" t="inlineStr">
        <is>
          <t>False</t>
        </is>
      </c>
      <c r="F487" t="inlineStr">
        <is>
          <t>hum kids by Colgate Smart Manual Replacement Toothbrush Pack, Yellow &amp; Coral - 2 Count</t>
        </is>
      </c>
      <c r="G487">
        <v>1</v>
      </c>
      <c r="H487" s="2" t="str">
        <f>HYPERLINK("https://www.amazon.com/dp/B08P3FTCKS", "https://www.amazon.com/dp/B08P3FTCKS")</f>
      </c>
      <c r="I487" s="3">
        <v>607</v>
      </c>
      <c r="J487" s="12">
        <v>-2.19</v>
      </c>
      <c r="K487" s="13">
        <v>-0.1654</v>
      </c>
      <c r="L487" s="13">
        <v>-0.22460000000000002</v>
      </c>
      <c r="M487" t="inlineStr">
        <is>
          <t>True</t>
        </is>
      </c>
      <c r="N487" t="inlineStr">
        <is>
          <t>Health &amp; Household</t>
        </is>
      </c>
      <c r="O487" s="6">
        <v>32677</v>
      </c>
      <c r="P487" s="6">
        <v>32893</v>
      </c>
      <c r="Q487" s="6">
        <v>17923</v>
      </c>
      <c r="R487" s="6">
        <v>194</v>
      </c>
      <c r="S487" s="7">
        <v>9.75</v>
      </c>
      <c r="T487" s="7">
        <v>13.24</v>
      </c>
      <c r="U487">
        <v>15.15</v>
      </c>
      <c r="V487" s="8">
        <v>0</v>
      </c>
      <c r="W487" s="7">
        <v>0</v>
      </c>
      <c r="X487" s="7">
        <v>0</v>
      </c>
      <c r="Y487">
        <v>0.09</v>
      </c>
      <c r="Z487" s="9">
        <v>0.01</v>
      </c>
      <c r="AB487">
        <v>0</v>
      </c>
      <c r="AC487">
        <v>0</v>
      </c>
      <c r="AD487">
        <v>23</v>
      </c>
      <c r="AE487">
        <v>23</v>
      </c>
      <c r="AF487">
        <v>0</v>
      </c>
      <c r="AG487">
        <v>11</v>
      </c>
      <c r="AH487">
        <v>0</v>
      </c>
      <c r="AI487" t="inlineStr">
        <is>
          <t>False</t>
        </is>
      </c>
      <c r="AJ487" s="2" t="str">
        <f>HYPERLINK("https://keepa.com/#!product/1-B08P3FTCKS", "https://keepa.com/#!product/1-B08P3FTCKS")</f>
      </c>
      <c r="AK487" s="2" t="str">
        <f>HYPERLINK("https://camelcamelcamel.com/search?sq=B08P3FTCKS", "https://camelcamelcamel.com/search?sq=B08P3FTCKS")</f>
      </c>
      <c r="AL487" t="inlineStr">
        <is>
          <t/>
        </is>
      </c>
      <c r="AM487" s="10">
        <v>45417.11111111111</v>
      </c>
      <c r="AN487" t="inlineStr">
        <is>
          <t>hum kids by Colgate Smart Manual Replacement Toothbrush Pack, Yellow &amp; Coral - 2 Count</t>
        </is>
      </c>
      <c r="AO487" t="inlineStr">
        <is>
          <t>3000</t>
        </is>
      </c>
      <c r="AP487" t="inlineStr">
        <is>
          <t>1000</t>
        </is>
      </c>
    </row>
    <row r="488">
      <c r="A488" t="inlineStr">
        <is>
          <t>B08P4Z3B5X</t>
        </is>
      </c>
      <c r="B488" t="inlineStr">
        <is>
          <t>False</t>
        </is>
      </c>
      <c r="C488" t="inlineStr">
        <is>
          <t>B08P4Z3B5X</t>
        </is>
      </c>
      <c r="D488" t="inlineStr">
        <is>
          <t>Dreo</t>
        </is>
      </c>
      <c r="E488" t="inlineStr">
        <is>
          <t>False</t>
        </is>
      </c>
      <c r="F488" t="inlineStr">
        <is>
          <t>Dreo Tower Fan for Bedroom, Upgrated DC 9 Speeds Utral-Quiet Floor Fan, 90° Oscillating Fans for Indoors with 26ft/s Velocity, 12H Timer, Standing Fans, Bladeless Fan Powerful for Home Office Room</t>
        </is>
      </c>
      <c r="G488">
        <v>1</v>
      </c>
      <c r="H488" s="2" t="str">
        <f>HYPERLINK("https://www.amazon.com/dp/B08P4Z3B5X", "https://www.amazon.com/dp/B08P4Z3B5X")</f>
      </c>
      <c r="I488" s="3">
        <v>4426</v>
      </c>
      <c r="J488" s="4">
        <v>5.41</v>
      </c>
      <c r="K488" s="5">
        <v>0.0601</v>
      </c>
      <c r="L488" s="5">
        <v>0.10400000000000001</v>
      </c>
      <c r="M488" t="inlineStr">
        <is>
          <t>True</t>
        </is>
      </c>
      <c r="N488" t="inlineStr">
        <is>
          <t>Home &amp; Kitchen</t>
        </is>
      </c>
      <c r="O488" s="6">
        <v>3777</v>
      </c>
      <c r="P488" s="6">
        <v>9246</v>
      </c>
      <c r="Q488" s="6">
        <v>1951</v>
      </c>
      <c r="R488" s="6">
        <v>275</v>
      </c>
      <c r="S488" s="7">
        <v>52</v>
      </c>
      <c r="T488" s="7">
        <v>89.99</v>
      </c>
      <c r="U488">
        <v>85.14</v>
      </c>
      <c r="V488" s="8">
        <v>0</v>
      </c>
      <c r="W488" s="7">
        <v>0</v>
      </c>
      <c r="X488" s="7">
        <v>0</v>
      </c>
      <c r="Y488">
        <v>11.73</v>
      </c>
      <c r="Z488" s="9">
        <v>1</v>
      </c>
      <c r="AB488">
        <v>0</v>
      </c>
      <c r="AC488">
        <v>0</v>
      </c>
      <c r="AD488">
        <v>6</v>
      </c>
      <c r="AE488">
        <v>1</v>
      </c>
      <c r="AF488">
        <v>0</v>
      </c>
      <c r="AG488">
        <v>1</v>
      </c>
      <c r="AH488">
        <v>3</v>
      </c>
      <c r="AI488" t="inlineStr">
        <is>
          <t>True</t>
        </is>
      </c>
      <c r="AJ488" s="2" t="str">
        <f>HYPERLINK("https://keepa.com/#!product/1-B08P4Z3B5X", "https://keepa.com/#!product/1-B08P4Z3B5X")</f>
      </c>
      <c r="AK488" s="2" t="str">
        <f>HYPERLINK("https://camelcamelcamel.com/search?sq=B08P4Z3B5X", "https://camelcamelcamel.com/search?sq=B08P4Z3B5X")</f>
      </c>
      <c r="AL488" t="inlineStr">
        <is>
          <t/>
        </is>
      </c>
      <c r="AM488" s="10">
        <v>45417.11111111111</v>
      </c>
      <c r="AN488" t="inlineStr">
        <is>
          <t>Dreo Tower Fan with Remote, 90Â° Oscillating Bladeless Fan, 42 Inch, Quiet with 6 Speeds, Large LED Display, Touchpad, 12H Timer, Floor Fans for Bedroom Whole Room Home Office</t>
        </is>
      </c>
      <c r="AO488" t="inlineStr">
        <is>
          <t>90</t>
        </is>
      </c>
      <c r="AP488" t="inlineStr">
        <is>
          <t>TAKE ALL</t>
        </is>
      </c>
    </row>
    <row r="489">
      <c r="A489" t="inlineStr">
        <is>
          <t>B08PJ7JMQM</t>
        </is>
      </c>
      <c r="B489" t="inlineStr">
        <is>
          <t>False</t>
        </is>
      </c>
      <c r="C489" t="inlineStr">
        <is>
          <t>B08PJ7JMQM</t>
        </is>
      </c>
      <c r="D489" t="inlineStr">
        <is>
          <t>JBL</t>
        </is>
      </c>
      <c r="E489" t="inlineStr">
        <is>
          <t>False</t>
        </is>
      </c>
      <c r="F489" t="inlineStr">
        <is>
          <t>JBL Clip 4: Portable Speaker with Bluetooth, Built-in Battery, Waterproof and Dustproof Feature - Black (JBLCLIP4BLKAM)</t>
        </is>
      </c>
      <c r="G489">
        <v>1</v>
      </c>
      <c r="H489" s="2" t="str">
        <f>HYPERLINK("https://www.amazon.com/dp/B08PJ7JMQM", "https://www.amazon.com/dp/B08PJ7JMQM")</f>
      </c>
      <c r="I489" s="3">
        <v>14777</v>
      </c>
      <c r="J489" s="11">
        <v>1.5</v>
      </c>
      <c r="K489" s="5">
        <v>0.03</v>
      </c>
      <c r="L489" s="5">
        <v>0.0377</v>
      </c>
      <c r="M489" t="inlineStr">
        <is>
          <t>True</t>
        </is>
      </c>
      <c r="N489" t="inlineStr">
        <is>
          <t>Electronics</t>
        </is>
      </c>
      <c r="O489" s="6">
        <v>97</v>
      </c>
      <c r="P489" s="6">
        <v>1159</v>
      </c>
      <c r="Q489" s="6">
        <v>129</v>
      </c>
      <c r="R489" s="6">
        <v>354</v>
      </c>
      <c r="S489" s="7">
        <v>39.75</v>
      </c>
      <c r="T489" s="7">
        <v>49.95</v>
      </c>
      <c r="U489">
        <v>67.26</v>
      </c>
      <c r="V489" s="8">
        <v>0</v>
      </c>
      <c r="W489" s="7">
        <v>0</v>
      </c>
      <c r="X489" s="7">
        <v>0</v>
      </c>
      <c r="Y489">
        <v>0.86</v>
      </c>
      <c r="Z489" s="9">
        <v>1</v>
      </c>
      <c r="AB489">
        <v>0</v>
      </c>
      <c r="AC489">
        <v>0</v>
      </c>
      <c r="AD489">
        <v>30</v>
      </c>
      <c r="AE489">
        <v>6</v>
      </c>
      <c r="AF489">
        <v>6</v>
      </c>
      <c r="AG489">
        <v>6</v>
      </c>
      <c r="AH489">
        <v>25</v>
      </c>
      <c r="AI489" t="inlineStr">
        <is>
          <t>True</t>
        </is>
      </c>
      <c r="AJ489" s="2" t="str">
        <f>HYPERLINK("https://keepa.com/#!product/1-B08PJ7JMQM", "https://keepa.com/#!product/1-B08PJ7JMQM")</f>
      </c>
      <c r="AK489" s="2" t="str">
        <f>HYPERLINK("https://camelcamelcamel.com/search?sq=B08PJ7JMQM", "https://camelcamelcamel.com/search?sq=B08PJ7JMQM")</f>
      </c>
      <c r="AL489" t="inlineStr">
        <is>
          <t/>
        </is>
      </c>
      <c r="AM489" s="10">
        <v>45417.11111111111</v>
      </c>
      <c r="AN489" t="inlineStr">
        <is>
          <t>JBL Clip 4: Portable Speaker with Bluetooth, Built-in Battery, Waterproof and Dustproof Feature - Black (JBLCLIP4BLKAM)</t>
        </is>
      </c>
      <c r="AO489" t="inlineStr">
        <is>
          <t>400</t>
        </is>
      </c>
      <c r="AP489" t="inlineStr">
        <is>
          <t>TAKE ALL</t>
        </is>
      </c>
    </row>
    <row r="490">
      <c r="A490" t="inlineStr">
        <is>
          <t>B08PMVCJ7D</t>
        </is>
      </c>
      <c r="B490" t="inlineStr">
        <is>
          <t>False</t>
        </is>
      </c>
      <c r="C490" t="inlineStr">
        <is>
          <t>B08PMVCJ7D</t>
        </is>
      </c>
      <c r="D490" t="inlineStr">
        <is>
          <t>Qunol</t>
        </is>
      </c>
      <c r="E490" t="inlineStr">
        <is>
          <t>False</t>
        </is>
      </c>
      <c r="F490" t="inlineStr">
        <is>
          <t>Qunol Turmeric Curcumin Supplement, Turmeric 1000mg With Ultra High Absorption, Joint Support Supplement, Extra Strength Turmeric Capsules, 2 Month Supply, 120 Count (Pack of 1)</t>
        </is>
      </c>
      <c r="G490">
        <v>1</v>
      </c>
      <c r="H490" s="2" t="str">
        <f>HYPERLINK("https://www.amazon.com/dp/B08PMVCJ7D", "https://www.amazon.com/dp/B08PMVCJ7D")</f>
      </c>
      <c r="I490" s="3">
        <v>18038</v>
      </c>
      <c r="J490" s="4">
        <v>6.1</v>
      </c>
      <c r="K490" s="5">
        <v>0.2181</v>
      </c>
      <c r="L490" s="15">
        <v>0.4436</v>
      </c>
      <c r="M490" t="inlineStr">
        <is>
          <t>True</t>
        </is>
      </c>
      <c r="N490" t="inlineStr">
        <is>
          <t>Health &amp; Household</t>
        </is>
      </c>
      <c r="O490" s="6">
        <v>1068</v>
      </c>
      <c r="P490" s="6">
        <v>1533</v>
      </c>
      <c r="Q490" s="6">
        <v>720</v>
      </c>
      <c r="R490" s="6">
        <v>283</v>
      </c>
      <c r="S490" s="7">
        <v>13.75</v>
      </c>
      <c r="T490" s="7">
        <v>27.97</v>
      </c>
      <c r="U490">
        <v>26.18</v>
      </c>
      <c r="V490" s="8">
        <v>0</v>
      </c>
      <c r="W490" s="7">
        <v>0</v>
      </c>
      <c r="X490" s="7">
        <v>0</v>
      </c>
      <c r="Y490">
        <v>0.26</v>
      </c>
      <c r="Z490" s="9">
        <v>1</v>
      </c>
      <c r="AB490">
        <v>0</v>
      </c>
      <c r="AC490">
        <v>0</v>
      </c>
      <c r="AD490">
        <v>12</v>
      </c>
      <c r="AE490">
        <v>7</v>
      </c>
      <c r="AF490">
        <v>5</v>
      </c>
      <c r="AG490">
        <v>7</v>
      </c>
      <c r="AH490">
        <v>2</v>
      </c>
      <c r="AI490" t="inlineStr">
        <is>
          <t>False</t>
        </is>
      </c>
      <c r="AJ490" s="2" t="str">
        <f>HYPERLINK("https://keepa.com/#!product/1-B08PMVCJ7D", "https://keepa.com/#!product/1-B08PMVCJ7D")</f>
      </c>
      <c r="AK490" s="2" t="str">
        <f>HYPERLINK("https://camelcamelcamel.com/search?sq=B08PMVCJ7D", "https://camelcamelcamel.com/search?sq=B08PMVCJ7D")</f>
      </c>
      <c r="AL490" t="inlineStr">
        <is>
          <t/>
        </is>
      </c>
      <c r="AM490" s="10">
        <v>45417.11111111111</v>
      </c>
      <c r="AN490" t="inlineStr">
        <is>
          <t>Qunol Turmeric Curcumin Supplement, Turmeric 1000mg With Ultra High Absorption, Joint Support Supplement, Extra Strength Turmeric Capsules, 2 Month Supply, 120 Count (Pack of 1)</t>
        </is>
      </c>
      <c r="AO490" t="inlineStr">
        <is>
          <t>1000</t>
        </is>
      </c>
      <c r="AP490" t="inlineStr">
        <is>
          <t>TAKE ALL</t>
        </is>
      </c>
    </row>
    <row r="491">
      <c r="A491" t="inlineStr">
        <is>
          <t>B08PQ4FNFK</t>
        </is>
      </c>
      <c r="B491" t="inlineStr">
        <is>
          <t>False</t>
        </is>
      </c>
      <c r="C491" t="inlineStr">
        <is>
          <t>B08PQ4FNFK</t>
        </is>
      </c>
      <c r="D491" t="inlineStr">
        <is>
          <t>Mueller Austria</t>
        </is>
      </c>
      <c r="E491" t="inlineStr">
        <is>
          <t>False</t>
        </is>
      </c>
      <c r="F491" t="inlineStr">
        <is>
          <t>Mueller Pots and Pans Set 17-Piece, Ultra-Clad Pro Stainless Steel Cookware Set, Ergonomic EverCool Handle, Includes Saucepans, Skillets, Dutch Oven, Stockpot, Steamer More</t>
        </is>
      </c>
      <c r="G491">
        <v>1</v>
      </c>
      <c r="H491" s="2" t="str">
        <f>HYPERLINK("https://www.amazon.com/dp/B08PQ4FNFK", "https://www.amazon.com/dp/B08PQ4FNFK")</f>
      </c>
      <c r="I491" s="3">
        <v>1325</v>
      </c>
      <c r="J491" s="4">
        <v>4.06</v>
      </c>
      <c r="K491" s="5">
        <v>0.03</v>
      </c>
      <c r="L491" s="5">
        <v>0.0489</v>
      </c>
      <c r="M491" t="inlineStr">
        <is>
          <t>True</t>
        </is>
      </c>
      <c r="N491" t="inlineStr">
        <is>
          <t>Kitchen &amp; Dining</t>
        </is>
      </c>
      <c r="O491" s="6">
        <v>5245</v>
      </c>
      <c r="P491" s="6">
        <v>9362</v>
      </c>
      <c r="Q491" s="6">
        <v>1933</v>
      </c>
      <c r="R491" s="6">
        <v>202</v>
      </c>
      <c r="S491" s="7">
        <v>83</v>
      </c>
      <c r="T491" s="7">
        <v>135.19</v>
      </c>
      <c r="U491">
        <v>161.44</v>
      </c>
      <c r="V491" s="8">
        <v>0</v>
      </c>
      <c r="W491" s="7">
        <v>0</v>
      </c>
      <c r="X491" s="7">
        <v>0</v>
      </c>
      <c r="Y491">
        <v>31.9</v>
      </c>
      <c r="Z491" s="8">
        <v>0</v>
      </c>
      <c r="AB491">
        <v>0</v>
      </c>
      <c r="AC491">
        <v>0</v>
      </c>
      <c r="AD491">
        <v>7</v>
      </c>
      <c r="AE491">
        <v>3</v>
      </c>
      <c r="AF491">
        <v>0</v>
      </c>
      <c r="AG491">
        <v>1</v>
      </c>
      <c r="AH491">
        <v>0</v>
      </c>
      <c r="AI491" t="inlineStr">
        <is>
          <t>False</t>
        </is>
      </c>
      <c r="AJ491" s="2" t="str">
        <f>HYPERLINK("https://keepa.com/#!product/1-B08PQ4FNFK", "https://keepa.com/#!product/1-B08PQ4FNFK")</f>
      </c>
      <c r="AK491" s="2" t="str">
        <f>HYPERLINK("https://camelcamelcamel.com/search?sq=B08PQ4FNFK", "https://camelcamelcamel.com/search?sq=B08PQ4FNFK")</f>
      </c>
      <c r="AL491" t="inlineStr">
        <is>
          <t/>
        </is>
      </c>
      <c r="AM491" s="10">
        <v>45417.11111111111</v>
      </c>
      <c r="AN491" t="inlineStr">
        <is>
          <t>Mueller Pots and Pans Set 17-Piece, Ultra-Clad Pro Stainless Steel Cookware Set, Ergonomic EverCool Handle, Includes Saucepans, Skillets, Dutch Oven, Stockpot, Steamer More</t>
        </is>
      </c>
      <c r="AO491" t="inlineStr">
        <is>
          <t>375</t>
        </is>
      </c>
      <c r="AP491" t="inlineStr">
        <is>
          <t>TAKE ALL</t>
        </is>
      </c>
    </row>
    <row r="492">
      <c r="A492" t="inlineStr">
        <is>
          <t>B08PQ4L9DC</t>
        </is>
      </c>
      <c r="B492" t="inlineStr">
        <is>
          <t>False</t>
        </is>
      </c>
      <c r="C492" t="inlineStr">
        <is>
          <t>B08PQ4L9DC</t>
        </is>
      </c>
      <c r="D492" t="inlineStr">
        <is>
          <t>Bloom Nutrition</t>
        </is>
      </c>
      <c r="E492" t="inlineStr">
        <is>
          <t>False</t>
        </is>
      </c>
      <c r="F492" t="inlineStr">
        <is>
          <t>Bloom Nutrition Superfood Greens Powder, Digestive Enzymes with Probiotics and Prebiotics, Gut Health, Bloating Relief for Women, Chlorella, Green Juice Mix with Beet Root Powder, 30 SVG, Berry</t>
        </is>
      </c>
      <c r="G492">
        <v>1</v>
      </c>
      <c r="H492" s="2" t="str">
        <f>HYPERLINK("https://www.amazon.com/dp/B08PQ4L9DC", "https://www.amazon.com/dp/B08PQ4L9DC")</f>
      </c>
      <c r="I492" s="3">
        <v>59435</v>
      </c>
      <c r="J492" s="4">
        <v>10.82</v>
      </c>
      <c r="K492" s="5">
        <v>0.2706</v>
      </c>
      <c r="L492" s="15">
        <v>0.5621</v>
      </c>
      <c r="M492" t="inlineStr">
        <is>
          <t>True</t>
        </is>
      </c>
      <c r="N492" t="inlineStr">
        <is>
          <t>Health &amp; Household</t>
        </is>
      </c>
      <c r="O492" s="6">
        <v>106</v>
      </c>
      <c r="P492" s="6">
        <v>79</v>
      </c>
      <c r="Q492" s="6">
        <v>47</v>
      </c>
      <c r="R492" s="6">
        <v>276</v>
      </c>
      <c r="S492" s="7">
        <v>19.25</v>
      </c>
      <c r="T492" s="7">
        <v>39.99</v>
      </c>
      <c r="U492">
        <v>37.29</v>
      </c>
      <c r="V492" s="8">
        <v>0</v>
      </c>
      <c r="W492" s="7">
        <v>0</v>
      </c>
      <c r="X492" s="7">
        <v>0</v>
      </c>
      <c r="Y492">
        <v>0.49</v>
      </c>
      <c r="Z492" s="8">
        <v>0</v>
      </c>
      <c r="AB492">
        <v>0</v>
      </c>
      <c r="AC492">
        <v>0</v>
      </c>
      <c r="AD492">
        <v>2</v>
      </c>
      <c r="AE492">
        <v>2</v>
      </c>
      <c r="AF492">
        <v>0</v>
      </c>
      <c r="AG492">
        <v>2</v>
      </c>
      <c r="AH492">
        <v>14</v>
      </c>
      <c r="AI492" t="inlineStr">
        <is>
          <t>False</t>
        </is>
      </c>
      <c r="AJ492" s="2" t="str">
        <f>HYPERLINK("https://keepa.com/#!product/1-B08PQ4L9DC", "https://keepa.com/#!product/1-B08PQ4L9DC")</f>
      </c>
      <c r="AK492" s="2" t="str">
        <f>HYPERLINK("https://camelcamelcamel.com/search?sq=B08PQ4L9DC", "https://camelcamelcamel.com/search?sq=B08PQ4L9DC")</f>
      </c>
      <c r="AL492" t="inlineStr">
        <is>
          <t/>
        </is>
      </c>
      <c r="AM492" s="10">
        <v>45417.11111111111</v>
      </c>
      <c r="AN492" t="inlineStr">
        <is>
          <t>Bloom Nutrition Greens and Superfoods Powder for Digestive Health, Greens Powder with Digestive Enzymes, Probiotics, Spirulina, Chlorella for Bloating and Gut Support, Amazon Exclusive, 30 SVG, Berry</t>
        </is>
      </c>
      <c r="AO492" t="inlineStr">
        <is>
          <t>1000</t>
        </is>
      </c>
      <c r="AP492" t="inlineStr">
        <is>
          <t>500</t>
        </is>
      </c>
    </row>
    <row r="493">
      <c r="A493" t="inlineStr">
        <is>
          <t>B08QVGYCDD</t>
        </is>
      </c>
      <c r="B493" t="inlineStr">
        <is>
          <t>False</t>
        </is>
      </c>
      <c r="C493" t="inlineStr">
        <is>
          <t>B08QVGYCDD</t>
        </is>
      </c>
      <c r="D493" t="inlineStr">
        <is>
          <t>DEWALT</t>
        </is>
      </c>
      <c r="E493" t="inlineStr">
        <is>
          <t>True</t>
        </is>
      </c>
      <c r="F493" t="inlineStr">
        <is>
          <t>DEWALT 60V Cordless String Trimmer and Lawn Edger Kit, Battery &amp; Charger Included (DCST972X1)</t>
        </is>
      </c>
      <c r="G493">
        <v>1</v>
      </c>
      <c r="H493" s="2" t="str">
        <f>HYPERLINK("https://www.amazon.com/dp/B08QVGYCDD", "https://www.amazon.com/dp/B08QVGYCDD")</f>
      </c>
      <c r="I493" s="3">
        <v>414</v>
      </c>
      <c r="J493" s="4">
        <v>54.74</v>
      </c>
      <c r="K493" s="5">
        <v>0.1732</v>
      </c>
      <c r="L493" s="5">
        <v>0.2779</v>
      </c>
      <c r="M493" t="inlineStr">
        <is>
          <t>True</t>
        </is>
      </c>
      <c r="N493" t="inlineStr">
        <is>
          <t>Patio, Lawn &amp; Garden</t>
        </is>
      </c>
      <c r="O493" s="6">
        <v>18270</v>
      </c>
      <c r="P493" s="6">
        <v>17222</v>
      </c>
      <c r="Q493" s="6">
        <v>6221</v>
      </c>
      <c r="R493" s="6">
        <v>190</v>
      </c>
      <c r="S493" s="7">
        <v>197</v>
      </c>
      <c r="T493" s="7">
        <v>316.12</v>
      </c>
      <c r="U493">
        <v>305.73</v>
      </c>
      <c r="V493" s="8">
        <v>0</v>
      </c>
      <c r="W493" s="7">
        <v>0</v>
      </c>
      <c r="X493" s="7">
        <v>0</v>
      </c>
      <c r="Y493">
        <v>17</v>
      </c>
      <c r="Z493" s="9">
        <v>0.31</v>
      </c>
      <c r="AB493">
        <v>0</v>
      </c>
      <c r="AC493">
        <v>0</v>
      </c>
      <c r="AD493">
        <v>10</v>
      </c>
      <c r="AE493">
        <v>1</v>
      </c>
      <c r="AF493">
        <v>8</v>
      </c>
      <c r="AG493">
        <v>0</v>
      </c>
      <c r="AH493">
        <v>6</v>
      </c>
      <c r="AI493" t="inlineStr">
        <is>
          <t>True</t>
        </is>
      </c>
      <c r="AJ493" s="2" t="str">
        <f>HYPERLINK("https://keepa.com/#!product/1-B08QVGYCDD", "https://keepa.com/#!product/1-B08QVGYCDD")</f>
      </c>
      <c r="AK493" s="2" t="str">
        <f>HYPERLINK("https://camelcamelcamel.com/search?sq=B08QVGYCDD", "https://camelcamelcamel.com/search?sq=B08QVGYCDD")</f>
      </c>
      <c r="AL493" t="inlineStr">
        <is>
          <t/>
        </is>
      </c>
      <c r="AM493" s="10">
        <v>45417.11111111111</v>
      </c>
      <c r="AN493" t="inlineStr">
        <is>
          <t>DEWALT 60V Cordless String Trimmer and Lawn Edger Kit, Battery &amp; Charger Included (DCST972X1)</t>
        </is>
      </c>
      <c r="AO493" t="inlineStr">
        <is>
          <t>360</t>
        </is>
      </c>
      <c r="AP493" t="inlineStr">
        <is>
          <t>TAKE ALL</t>
        </is>
      </c>
    </row>
    <row r="494">
      <c r="A494" t="inlineStr">
        <is>
          <t>B08QXB9BH5</t>
        </is>
      </c>
      <c r="B494" t="inlineStr">
        <is>
          <t>False</t>
        </is>
      </c>
      <c r="C494" t="inlineStr">
        <is>
          <t>B08QXB9BH5</t>
        </is>
      </c>
      <c r="D494" t="inlineStr">
        <is>
          <t>Ninja</t>
        </is>
      </c>
      <c r="E494" t="inlineStr">
        <is>
          <t>False</t>
        </is>
      </c>
      <c r="F494" t="inlineStr">
        <is>
          <t>Ninja NC301 CREAMi Ice Cream Maker, for Gelato, Mix-ins, Milkshakes, Sorbet, Smoothie Bowls &amp; More, 7 One-Touch Programs, with (2) Pint Containers &amp; Lids, Compact Size, Perfect for Kids, Silver</t>
        </is>
      </c>
      <c r="G494">
        <v>1</v>
      </c>
      <c r="H494" s="2" t="str">
        <f>HYPERLINK("https://www.amazon.com/dp/B08QXB9BH5", "https://www.amazon.com/dp/B08QXB9BH5")</f>
      </c>
      <c r="I494" s="3">
        <v>6326</v>
      </c>
      <c r="J494" s="4">
        <v>22.58</v>
      </c>
      <c r="K494" s="5">
        <v>0.113</v>
      </c>
      <c r="L494" s="5">
        <v>0.17370000000000002</v>
      </c>
      <c r="M494" t="inlineStr">
        <is>
          <t>True</t>
        </is>
      </c>
      <c r="N494" t="inlineStr">
        <is>
          <t>Kitchen &amp; Dining</t>
        </is>
      </c>
      <c r="O494" s="6">
        <v>585</v>
      </c>
      <c r="P494" s="6">
        <v>635</v>
      </c>
      <c r="Q494" s="6">
        <v>63</v>
      </c>
      <c r="R494" s="6">
        <v>421</v>
      </c>
      <c r="S494" s="7">
        <v>130</v>
      </c>
      <c r="T494" s="7">
        <v>199.85</v>
      </c>
      <c r="U494">
        <v>198.16</v>
      </c>
      <c r="V494" s="8">
        <v>0</v>
      </c>
      <c r="W494" s="7">
        <v>0</v>
      </c>
      <c r="X494" s="7">
        <v>0</v>
      </c>
      <c r="Y494">
        <v>17.1</v>
      </c>
      <c r="Z494" s="9">
        <v>1</v>
      </c>
      <c r="AB494">
        <v>0</v>
      </c>
      <c r="AC494">
        <v>0</v>
      </c>
      <c r="AD494">
        <v>51</v>
      </c>
      <c r="AE494">
        <v>8</v>
      </c>
      <c r="AF494">
        <v>22</v>
      </c>
      <c r="AG494">
        <v>5</v>
      </c>
      <c r="AH494">
        <v>0</v>
      </c>
      <c r="AI494" t="inlineStr">
        <is>
          <t>False</t>
        </is>
      </c>
      <c r="AJ494" s="2" t="str">
        <f>HYPERLINK("https://keepa.com/#!product/1-B08QXB9BH5", "https://keepa.com/#!product/1-B08QXB9BH5")</f>
      </c>
      <c r="AK494" s="2" t="str">
        <f>HYPERLINK("https://camelcamelcamel.com/search?sq=B08QXB9BH5", "https://camelcamelcamel.com/search?sq=B08QXB9BH5")</f>
      </c>
      <c r="AL494" t="inlineStr">
        <is>
          <t/>
        </is>
      </c>
      <c r="AM494" s="10">
        <v>45417.11111111111</v>
      </c>
      <c r="AN494" t="inlineStr">
        <is>
          <t>Ninja NC301 CREAMi Ice Cream Maker, for Gelato, Mix-ins, Milkshakes, Sorbet, Smoothie Bowls &amp; More, 7 One-Touch Programs, with (2) Pint Containers &amp; Lids, Compact Size, Perfect for Kids, Silver</t>
        </is>
      </c>
      <c r="AO494" t="inlineStr">
        <is>
          <t>47</t>
        </is>
      </c>
      <c r="AP494" t="inlineStr">
        <is>
          <t>TAKE ALL</t>
        </is>
      </c>
    </row>
    <row r="495">
      <c r="A495" t="inlineStr">
        <is>
          <t>B08QXJ31WR</t>
        </is>
      </c>
      <c r="B495" t="inlineStr">
        <is>
          <t>False</t>
        </is>
      </c>
      <c r="C495" t="inlineStr">
        <is>
          <t>B08QXJ31WR</t>
        </is>
      </c>
      <c r="D495" t="inlineStr">
        <is>
          <t>Ninja</t>
        </is>
      </c>
      <c r="E495" t="inlineStr">
        <is>
          <t>False</t>
        </is>
      </c>
      <c r="F495" t="inlineStr">
        <is>
          <t>Ninja BN401 Nutri Pro Compact Personal Blender, Auto-iQ Technology, 1000-Peak-Watts, for Frozen Drinks, Smoothies, Sauces &amp; More, with (2) 24-oz. To-Go Cups &amp; Spout Lids, Cloud Silver</t>
        </is>
      </c>
      <c r="G495">
        <v>1</v>
      </c>
      <c r="H495" s="2" t="str">
        <f>HYPERLINK("https://www.amazon.com/dp/B08QXJ31WR", "https://www.amazon.com/dp/B08QXJ31WR")</f>
      </c>
      <c r="I495" s="3">
        <v>9644</v>
      </c>
      <c r="J495" s="12">
        <v>-5.65</v>
      </c>
      <c r="K495" s="13">
        <v>-0.0753</v>
      </c>
      <c r="L495" s="13">
        <v>-0.113</v>
      </c>
      <c r="M495" t="inlineStr">
        <is>
          <t>True</t>
        </is>
      </c>
      <c r="N495" t="inlineStr">
        <is>
          <t>Kitchen &amp; Dining</t>
        </is>
      </c>
      <c r="O495" s="6">
        <v>271</v>
      </c>
      <c r="P495" s="6">
        <v>553</v>
      </c>
      <c r="Q495" s="6">
        <v>218</v>
      </c>
      <c r="R495" s="6">
        <v>288</v>
      </c>
      <c r="S495" s="7">
        <v>50</v>
      </c>
      <c r="T495" s="7">
        <v>74.99</v>
      </c>
      <c r="U495">
        <v>83.64</v>
      </c>
      <c r="V495" s="8">
        <v>0</v>
      </c>
      <c r="W495" s="7">
        <v>0</v>
      </c>
      <c r="X495" s="7">
        <v>0</v>
      </c>
      <c r="Y495">
        <v>8.7</v>
      </c>
      <c r="Z495" s="9">
        <v>0.93</v>
      </c>
      <c r="AB495">
        <v>0</v>
      </c>
      <c r="AC495">
        <v>0</v>
      </c>
      <c r="AD495">
        <v>37</v>
      </c>
      <c r="AE495">
        <v>3</v>
      </c>
      <c r="AF495">
        <v>16</v>
      </c>
      <c r="AG495">
        <v>1</v>
      </c>
      <c r="AH495">
        <v>1</v>
      </c>
      <c r="AI495" t="inlineStr">
        <is>
          <t>False</t>
        </is>
      </c>
      <c r="AJ495" s="2" t="str">
        <f>HYPERLINK("https://keepa.com/#!product/1-B08QXJ31WR", "https://keepa.com/#!product/1-B08QXJ31WR")</f>
      </c>
      <c r="AK495" s="2" t="str">
        <f>HYPERLINK("https://camelcamelcamel.com/search?sq=B08QXJ31WR", "https://camelcamelcamel.com/search?sq=B08QXJ31WR")</f>
      </c>
      <c r="AL495" t="inlineStr">
        <is>
          <t/>
        </is>
      </c>
      <c r="AM495" s="10">
        <v>45417.11111111111</v>
      </c>
      <c r="AN495" t="inlineStr">
        <is>
          <t>Ninja BN401 Nutri Pro Compact Personal Blender, Auto-iQ Technology, 1000-Peak-Watts, for Frozen Drinks, Smoothies, Sauces &amp; More, with (2) 24-oz. To-Go Cups &amp; Spout Lids, Cloud Silver</t>
        </is>
      </c>
      <c r="AO495" t="inlineStr">
        <is>
          <t>24</t>
        </is>
      </c>
      <c r="AP495" t="inlineStr">
        <is>
          <t>TAKE ALL</t>
        </is>
      </c>
    </row>
    <row r="496">
      <c r="A496" t="inlineStr">
        <is>
          <t>B08QZWDLP4</t>
        </is>
      </c>
      <c r="B496" t="inlineStr">
        <is>
          <t>False</t>
        </is>
      </c>
      <c r="C496" t="inlineStr">
        <is>
          <t>B08QZWDLP4</t>
        </is>
      </c>
      <c r="D496" t="inlineStr">
        <is>
          <t>Ninja</t>
        </is>
      </c>
      <c r="E496" t="inlineStr">
        <is>
          <t>False</t>
        </is>
      </c>
      <c r="F496" t="inlineStr">
        <is>
          <t>Ninja BN301 Nutri-Blender Plus Compact Personal Blender, 900-Peak-Watt Motor, Frozen Drinks, Smoothies, Sauces &amp; More, (3) 20 oz. To-Go Cups, (2) Spout-Lids (1) Storage-Lid, Dishwasher Safe, Silver</t>
        </is>
      </c>
      <c r="G496">
        <v>1</v>
      </c>
      <c r="H496" s="2" t="str">
        <f>HYPERLINK("https://www.amazon.com/dp/B08QZWDLP4", "https://www.amazon.com/dp/B08QZWDLP4")</f>
      </c>
      <c r="I496" s="3">
        <v>8353</v>
      </c>
      <c r="J496" s="11">
        <v>1.6</v>
      </c>
      <c r="K496" s="5">
        <v>0.0246</v>
      </c>
      <c r="L496" s="5">
        <v>0.0368</v>
      </c>
      <c r="M496" t="inlineStr">
        <is>
          <t>True</t>
        </is>
      </c>
      <c r="N496" t="inlineStr">
        <is>
          <t>Kitchen &amp; Dining</t>
        </is>
      </c>
      <c r="O496" s="6">
        <v>356</v>
      </c>
      <c r="P496" s="6">
        <v>2877</v>
      </c>
      <c r="Q496" s="6">
        <v>245</v>
      </c>
      <c r="R496" s="6">
        <v>285</v>
      </c>
      <c r="S496" s="7">
        <v>43.5</v>
      </c>
      <c r="T496" s="7">
        <v>64.99</v>
      </c>
      <c r="U496">
        <v>77.07</v>
      </c>
      <c r="V496" s="8">
        <v>0</v>
      </c>
      <c r="W496" s="7">
        <v>0</v>
      </c>
      <c r="X496" s="7">
        <v>0</v>
      </c>
      <c r="Y496">
        <v>7.13</v>
      </c>
      <c r="Z496" s="9">
        <v>1</v>
      </c>
      <c r="AB496">
        <v>0</v>
      </c>
      <c r="AC496">
        <v>0</v>
      </c>
      <c r="AD496">
        <v>19</v>
      </c>
      <c r="AE496">
        <v>2</v>
      </c>
      <c r="AF496">
        <v>6</v>
      </c>
      <c r="AG496">
        <v>1</v>
      </c>
      <c r="AH496">
        <v>2</v>
      </c>
      <c r="AI496" t="inlineStr">
        <is>
          <t>False</t>
        </is>
      </c>
      <c r="AJ496" s="2" t="str">
        <f>HYPERLINK("https://keepa.com/#!product/1-B08QZWDLP4", "https://keepa.com/#!product/1-B08QZWDLP4")</f>
      </c>
      <c r="AK496" s="2" t="str">
        <f>HYPERLINK("https://camelcamelcamel.com/search?sq=B08QZWDLP4", "https://camelcamelcamel.com/search?sq=B08QZWDLP4")</f>
      </c>
      <c r="AL496" t="inlineStr">
        <is>
          <t/>
        </is>
      </c>
      <c r="AM496" s="10">
        <v>45417.11111111111</v>
      </c>
      <c r="AN496" t="inlineStr">
        <is>
          <t>Ninja BN301 Nutri-Blender Plus Compact Personal Blender, 900-Peak-Watt Motor, Frozen Drinks, Smoothies, Sauces &amp; More, (3) 20 oz. To-Go Cups, (2) Spout-Lids (1) Storage-Lid, Dishwasher Safe, Silver</t>
        </is>
      </c>
      <c r="AO496" t="inlineStr">
        <is>
          <t>270</t>
        </is>
      </c>
      <c r="AP496" t="inlineStr">
        <is>
          <t>135</t>
        </is>
      </c>
    </row>
    <row r="497">
      <c r="A497" t="inlineStr">
        <is>
          <t>B08R12QZS1</t>
        </is>
      </c>
      <c r="B497" t="inlineStr">
        <is>
          <t>False</t>
        </is>
      </c>
      <c r="C497" t="inlineStr">
        <is>
          <t>B08R12QZS1</t>
        </is>
      </c>
      <c r="D497" t="inlineStr">
        <is>
          <t>Ninja</t>
        </is>
      </c>
      <c r="E497" t="inlineStr">
        <is>
          <t>False</t>
        </is>
      </c>
      <c r="F497" t="inlineStr">
        <is>
          <t>Ninja SP351 Foodi Smart 13-in-1 Dual Heat Air Fry Countertop Oven, Dehydrate, Reheat, Smart Thermometer, 1800-watts, Silver</t>
        </is>
      </c>
      <c r="G497">
        <v>1</v>
      </c>
      <c r="H497" s="2" t="str">
        <f>HYPERLINK("https://www.amazon.com/dp/B08R12QZS1", "https://www.amazon.com/dp/B08R12QZS1")</f>
      </c>
      <c r="I497" s="3">
        <v>9590</v>
      </c>
      <c r="J497" s="12">
        <v>-44.41</v>
      </c>
      <c r="K497" s="13">
        <v>-0.22210000000000002</v>
      </c>
      <c r="L497" s="13">
        <v>-0.23129999999999998</v>
      </c>
      <c r="M497" t="inlineStr">
        <is>
          <t>True</t>
        </is>
      </c>
      <c r="N497" t="inlineStr">
        <is>
          <t>Kitchen &amp; Dining</t>
        </is>
      </c>
      <c r="O497" s="6">
        <v>274</v>
      </c>
      <c r="P497" s="6">
        <v>482</v>
      </c>
      <c r="Q497" s="6">
        <v>244</v>
      </c>
      <c r="R497" s="6">
        <v>231</v>
      </c>
      <c r="S497" s="7">
        <v>192</v>
      </c>
      <c r="T497" s="7">
        <v>199.99</v>
      </c>
      <c r="U497">
        <v>286.19</v>
      </c>
      <c r="V497" s="8">
        <v>0</v>
      </c>
      <c r="W497" s="7">
        <v>0</v>
      </c>
      <c r="X497" s="7">
        <v>0</v>
      </c>
      <c r="Y497">
        <v>24.3</v>
      </c>
      <c r="Z497" s="9">
        <v>0.93</v>
      </c>
      <c r="AB497">
        <v>0</v>
      </c>
      <c r="AC497">
        <v>0</v>
      </c>
      <c r="AD497">
        <v>21</v>
      </c>
      <c r="AE497">
        <v>4</v>
      </c>
      <c r="AF497">
        <v>2</v>
      </c>
      <c r="AG497">
        <v>1</v>
      </c>
      <c r="AH497">
        <v>4</v>
      </c>
      <c r="AI497" t="inlineStr">
        <is>
          <t>False</t>
        </is>
      </c>
      <c r="AJ497" s="2" t="str">
        <f>HYPERLINK("https://keepa.com/#!product/1-B08R12QZS1", "https://keepa.com/#!product/1-B08R12QZS1")</f>
      </c>
      <c r="AK497" s="2" t="str">
        <f>HYPERLINK("https://camelcamelcamel.com/search?sq=B08R12QZS1", "https://camelcamelcamel.com/search?sq=B08R12QZS1")</f>
      </c>
      <c r="AL497" t="inlineStr">
        <is>
          <t/>
        </is>
      </c>
      <c r="AM497" s="10">
        <v>45417.11111111111</v>
      </c>
      <c r="AN497" t="inlineStr">
        <is>
          <t>Ninja SP351 Foodi Smart 13-in-1 Dual Heat Air Fry Countertop Oven, Dehydrate, Reheat, Smart Thermometer, 1800-watts, Silver</t>
        </is>
      </c>
      <c r="AO497" t="inlineStr">
        <is>
          <t>750</t>
        </is>
      </c>
      <c r="AP497" t="inlineStr">
        <is>
          <t>350</t>
        </is>
      </c>
    </row>
    <row r="498">
      <c r="A498" t="inlineStr">
        <is>
          <t>B08R3PJZ75</t>
        </is>
      </c>
      <c r="B498" t="inlineStr">
        <is>
          <t>False</t>
        </is>
      </c>
      <c r="C498" t="inlineStr">
        <is>
          <t>B08R3PJZ75</t>
        </is>
      </c>
      <c r="D498" t="inlineStr">
        <is>
          <t>toptier</t>
        </is>
      </c>
      <c r="E498" t="inlineStr">
        <is>
          <t>False</t>
        </is>
      </c>
      <c r="F498" t="inlineStr">
        <is>
          <t>Tea Kettle, Toptier Japanese Cast Iron Tea Kettle for Stove Top, Stovetop Safe Teapot with Infusers for Loose Tea, 34 Ounce (1000 ml), White Melody</t>
        </is>
      </c>
      <c r="G498">
        <v>1</v>
      </c>
      <c r="H498" s="2" t="str">
        <f>HYPERLINK("https://www.amazon.com/dp/B08R3PJZ75", "https://www.amazon.com/dp/B08R3PJZ75")</f>
      </c>
      <c r="I498" s="3">
        <v>123</v>
      </c>
      <c r="J498" s="4">
        <v>6.17</v>
      </c>
      <c r="K498" s="5">
        <v>0.187</v>
      </c>
      <c r="L498" s="15">
        <v>0.4255</v>
      </c>
      <c r="M498" t="inlineStr">
        <is>
          <t>True</t>
        </is>
      </c>
      <c r="N498" t="inlineStr">
        <is>
          <t>Kitchen &amp; Dining</t>
        </is>
      </c>
      <c r="O498" s="6">
        <v>53039</v>
      </c>
      <c r="P498" s="6">
        <v>58048</v>
      </c>
      <c r="Q498" s="6">
        <v>24208</v>
      </c>
      <c r="R498" s="6">
        <v>82</v>
      </c>
      <c r="S498" s="7">
        <v>14.5</v>
      </c>
      <c r="T498" s="7">
        <v>32.99</v>
      </c>
      <c r="U498">
        <v>32.99</v>
      </c>
      <c r="V498" s="8">
        <v>0</v>
      </c>
      <c r="W498" s="7">
        <v>0</v>
      </c>
      <c r="X498" s="7">
        <v>0</v>
      </c>
      <c r="Y498">
        <v>4.28</v>
      </c>
      <c r="Z498" s="8">
        <v>0</v>
      </c>
      <c r="AB498">
        <v>0</v>
      </c>
      <c r="AC498">
        <v>0</v>
      </c>
      <c r="AD498">
        <v>2</v>
      </c>
      <c r="AE498">
        <v>1</v>
      </c>
      <c r="AF498">
        <v>0</v>
      </c>
      <c r="AG498">
        <v>1</v>
      </c>
      <c r="AH498">
        <v>6</v>
      </c>
      <c r="AI498" t="inlineStr">
        <is>
          <t>False</t>
        </is>
      </c>
      <c r="AJ498" s="2" t="str">
        <f>HYPERLINK("https://keepa.com/#!product/1-B08R3PJZ75", "https://keepa.com/#!product/1-B08R3PJZ75")</f>
      </c>
      <c r="AK498" s="2" t="str">
        <f>HYPERLINK("https://camelcamelcamel.com/search?sq=B08R3PJZ75", "https://camelcamelcamel.com/search?sq=B08R3PJZ75")</f>
      </c>
      <c r="AL498" t="inlineStr">
        <is>
          <t/>
        </is>
      </c>
      <c r="AM498" s="10">
        <v>45417.11111111111</v>
      </c>
      <c r="AN498" t="inlineStr">
        <is>
          <t>Tea Kettle, Toptier Japanese Cast Iron Tea Kettle for Stove Top, Stovetop Safe Teapot with Infusers for Loose Tea, 34 Ounce (1000 ml), White Melody</t>
        </is>
      </c>
      <c r="AO498" t="inlineStr">
        <is>
          <t>400</t>
        </is>
      </c>
      <c r="AP498" t="inlineStr">
        <is>
          <t>TAKE ALL</t>
        </is>
      </c>
    </row>
    <row r="499">
      <c r="A499" t="inlineStr">
        <is>
          <t>B08RG896G7</t>
        </is>
      </c>
      <c r="B499" t="inlineStr">
        <is>
          <t>False</t>
        </is>
      </c>
      <c r="C499" t="inlineStr">
        <is>
          <t>B08RG896G7</t>
        </is>
      </c>
      <c r="D499" t="inlineStr">
        <is>
          <t>Fulfil</t>
        </is>
      </c>
      <c r="E499" t="inlineStr">
        <is>
          <t>False</t>
        </is>
      </c>
      <c r="F499" t="inlineStr">
        <is>
          <t>FULFIL Vitamin and Protein Bars, Chocolate Peanut Butter, Snack Sized Bar with 15 g Protein and 8 Vitamins Including Vitamin C, 12 Count</t>
        </is>
      </c>
      <c r="G499">
        <v>1</v>
      </c>
      <c r="H499" s="2" t="str">
        <f>HYPERLINK("https://www.amazon.com/dp/B08RG896G7", "https://www.amazon.com/dp/B08RG896G7")</f>
      </c>
      <c r="I499" s="3">
        <v>14718</v>
      </c>
      <c r="J499" s="11">
        <v>1.61</v>
      </c>
      <c r="K499" s="5">
        <v>0.0776</v>
      </c>
      <c r="L499" s="5">
        <v>0.1464</v>
      </c>
      <c r="M499" t="inlineStr">
        <is>
          <t>True</t>
        </is>
      </c>
      <c r="N499" t="inlineStr">
        <is>
          <t>Health &amp; Household</t>
        </is>
      </c>
      <c r="O499" s="6">
        <v>1430</v>
      </c>
      <c r="P499" s="6">
        <v>1636</v>
      </c>
      <c r="Q499" s="6">
        <v>997</v>
      </c>
      <c r="R499" s="6">
        <v>261</v>
      </c>
      <c r="S499" s="7">
        <v>11</v>
      </c>
      <c r="T499" s="7">
        <v>20.76</v>
      </c>
      <c r="U499">
        <v>20.61</v>
      </c>
      <c r="V499" s="8">
        <v>0</v>
      </c>
      <c r="W499" s="7">
        <v>0</v>
      </c>
      <c r="X499" s="7">
        <v>0</v>
      </c>
      <c r="Y499">
        <v>1.23</v>
      </c>
      <c r="Z499" s="9">
        <v>0.96</v>
      </c>
      <c r="AB499">
        <v>0</v>
      </c>
      <c r="AC499">
        <v>0</v>
      </c>
      <c r="AD499">
        <v>7</v>
      </c>
      <c r="AE499">
        <v>1</v>
      </c>
      <c r="AF499">
        <v>6</v>
      </c>
      <c r="AG499">
        <v>1</v>
      </c>
      <c r="AH499">
        <v>3</v>
      </c>
      <c r="AI499" t="inlineStr">
        <is>
          <t>False</t>
        </is>
      </c>
      <c r="AJ499" s="2" t="str">
        <f>HYPERLINK("https://keepa.com/#!product/1-B08RG896G7", "https://keepa.com/#!product/1-B08RG896G7")</f>
      </c>
      <c r="AK499" s="2" t="str">
        <f>HYPERLINK("https://camelcamelcamel.com/search?sq=B08RG896G7", "https://camelcamelcamel.com/search?sq=B08RG896G7")</f>
      </c>
      <c r="AL499" t="inlineStr">
        <is>
          <t/>
        </is>
      </c>
      <c r="AM499" s="10">
        <v>45417.11111111111</v>
      </c>
      <c r="AN499" t="inlineStr">
        <is>
          <t>FULFIL Vitamin and Protein Bars, Chocolate Peanut Butter, Snack Sized Bar with 15 g Protein and 8 Vitamins Including Vitamin C, 12 Count</t>
        </is>
      </c>
      <c r="AO499" t="inlineStr">
        <is>
          <t>300</t>
        </is>
      </c>
      <c r="AP499" t="inlineStr">
        <is>
          <t>TAKE ALL</t>
        </is>
      </c>
    </row>
    <row r="500">
      <c r="A500" t="inlineStr">
        <is>
          <t>B08S22J84V</t>
        </is>
      </c>
      <c r="B500" t="inlineStr">
        <is>
          <t>False</t>
        </is>
      </c>
      <c r="C500" t="inlineStr">
        <is>
          <t>B08S22J84V</t>
        </is>
      </c>
      <c r="D500" t="inlineStr">
        <is>
          <t>Nike</t>
        </is>
      </c>
      <c r="E500" t="inlineStr">
        <is>
          <t>True</t>
        </is>
      </c>
      <c r="F500" t="inlineStr">
        <is>
          <t>Nike Unisex Beanie Cuffed (Black)</t>
        </is>
      </c>
      <c r="G500">
        <v>1</v>
      </c>
      <c r="H500" s="2" t="str">
        <f>HYPERLINK("https://www.amazon.com/dp/B08S22J84V", "https://www.amazon.com/dp/B08S22J84V")</f>
      </c>
      <c r="I500" s="3">
        <v>744</v>
      </c>
      <c r="J500" s="12">
        <v>-1.11</v>
      </c>
      <c r="K500" s="13">
        <v>-0.0694</v>
      </c>
      <c r="L500" s="13">
        <v>-0.1168</v>
      </c>
      <c r="M500" t="inlineStr">
        <is>
          <t>True</t>
        </is>
      </c>
      <c r="N500" t="inlineStr">
        <is>
          <t>Clothing, Shoes &amp; Jewelry</t>
        </is>
      </c>
      <c r="O500" s="6">
        <v>38501</v>
      </c>
      <c r="P500" s="6">
        <v>12492</v>
      </c>
      <c r="Q500" s="6">
        <v>544</v>
      </c>
      <c r="R500" s="6">
        <v>278</v>
      </c>
      <c r="S500" s="7">
        <v>9.5</v>
      </c>
      <c r="T500" s="7">
        <v>15.99</v>
      </c>
      <c r="U500">
        <v>17.59</v>
      </c>
      <c r="V500" s="8">
        <v>0</v>
      </c>
      <c r="W500" s="7">
        <v>0</v>
      </c>
      <c r="X500" s="7">
        <v>0</v>
      </c>
      <c r="Y500">
        <v>0.18</v>
      </c>
      <c r="Z500" s="8">
        <v>0</v>
      </c>
      <c r="AB500">
        <v>0</v>
      </c>
      <c r="AC500">
        <v>0</v>
      </c>
      <c r="AD500">
        <v>34</v>
      </c>
      <c r="AE500">
        <v>20</v>
      </c>
      <c r="AF500">
        <v>14</v>
      </c>
      <c r="AG500">
        <v>1</v>
      </c>
      <c r="AH500">
        <v>8</v>
      </c>
      <c r="AI500" t="inlineStr">
        <is>
          <t>False</t>
        </is>
      </c>
      <c r="AJ500" s="2" t="str">
        <f>HYPERLINK("https://keepa.com/#!product/1-B08S22J84V", "https://keepa.com/#!product/1-B08S22J84V")</f>
      </c>
      <c r="AK500" s="2" t="str">
        <f>HYPERLINK("https://camelcamelcamel.com/search?sq=B08S22J84V", "https://camelcamelcamel.com/search?sq=B08S22J84V")</f>
      </c>
      <c r="AL500" t="inlineStr">
        <is>
          <t/>
        </is>
      </c>
      <c r="AM500" s="10">
        <v>45417.11111111111</v>
      </c>
      <c r="AN500" t="inlineStr">
        <is>
          <t>Nike Adult Unisex Team Sideline Beanie</t>
        </is>
      </c>
      <c r="AO500" t="inlineStr">
        <is>
          <t>1500</t>
        </is>
      </c>
      <c r="AP500" t="inlineStr">
        <is>
          <t>TAKE ALL</t>
        </is>
      </c>
    </row>
    <row r="501">
      <c r="A501" t="inlineStr">
        <is>
          <t>B08SS8VV8K</t>
        </is>
      </c>
      <c r="B501" t="inlineStr">
        <is>
          <t>False</t>
        </is>
      </c>
      <c r="C501" t="inlineStr">
        <is>
          <t>B08SS8VV8K</t>
        </is>
      </c>
      <c r="D501" t="inlineStr">
        <is>
          <t>Mederma</t>
        </is>
      </c>
      <c r="E501" t="inlineStr">
        <is>
          <t>False</t>
        </is>
      </c>
      <c r="F501" t="inlineStr">
        <is>
          <t>Mederma Quick Dry Oil, Scar and Stretch Mark Treatment, Helps to Improve the Appearance of Scars and Stretch Marks, with Natural Botanical Extracts, Paraben Free, Fast-Absorbing, 2.02oz (60ml)</t>
        </is>
      </c>
      <c r="G501">
        <v>1</v>
      </c>
      <c r="H501" s="2" t="str">
        <f>HYPERLINK("https://www.amazon.com/dp/B08SS8VV8K", "https://www.amazon.com/dp/B08SS8VV8K")</f>
      </c>
      <c r="I501" s="3">
        <v>6086</v>
      </c>
      <c r="J501" s="12">
        <v>-3.02</v>
      </c>
      <c r="K501" s="13">
        <v>-0.4339</v>
      </c>
      <c r="L501" s="13">
        <v>-0.4646</v>
      </c>
      <c r="M501" t="inlineStr">
        <is>
          <t>True</t>
        </is>
      </c>
      <c r="N501" t="inlineStr">
        <is>
          <t>Beauty &amp; Personal Care</t>
        </is>
      </c>
      <c r="O501" s="6">
        <v>2799</v>
      </c>
      <c r="P501" s="6">
        <v>4259</v>
      </c>
      <c r="Q501" s="6">
        <v>2501</v>
      </c>
      <c r="R501" s="6">
        <v>242</v>
      </c>
      <c r="S501" s="7">
        <v>6.5</v>
      </c>
      <c r="T501" s="7">
        <v>6.96</v>
      </c>
      <c r="U501">
        <v>7.92</v>
      </c>
      <c r="V501" s="8">
        <v>0</v>
      </c>
      <c r="W501" s="7">
        <v>0</v>
      </c>
      <c r="X501" s="7">
        <v>0</v>
      </c>
      <c r="Y501">
        <v>0.18</v>
      </c>
      <c r="Z501" s="9">
        <v>0.28</v>
      </c>
      <c r="AB501">
        <v>0</v>
      </c>
      <c r="AC501">
        <v>0</v>
      </c>
      <c r="AD501">
        <v>28</v>
      </c>
      <c r="AE501">
        <v>12</v>
      </c>
      <c r="AF501">
        <v>16</v>
      </c>
      <c r="AG501">
        <v>2</v>
      </c>
      <c r="AH501">
        <v>5</v>
      </c>
      <c r="AI501" t="inlineStr">
        <is>
          <t>False</t>
        </is>
      </c>
      <c r="AJ501" s="2" t="str">
        <f>HYPERLINK("https://keepa.com/#!product/1-B08SS8VV8K", "https://keepa.com/#!product/1-B08SS8VV8K")</f>
      </c>
      <c r="AK501" s="2" t="str">
        <f>HYPERLINK("https://camelcamelcamel.com/search?sq=B08SS8VV8K", "https://camelcamelcamel.com/search?sq=B08SS8VV8K")</f>
      </c>
      <c r="AL501" t="inlineStr">
        <is>
          <t/>
        </is>
      </c>
      <c r="AM501" s="10">
        <v>45417.11111111111</v>
      </c>
      <c r="AN501" t="inlineStr">
        <is>
          <t>Mederma Quick Dry Oil, Scar and Stretch Mark Treatment, Helps to Improve the Appearance of Scars and Stretch Marks, with Natural Botanical Extracts, Paraben Free, Fast-Absorbing, 2.02oz (60ml)</t>
        </is>
      </c>
      <c r="AO501" t="inlineStr">
        <is>
          <t>700</t>
        </is>
      </c>
      <c r="AP501" t="inlineStr">
        <is>
          <t>TAKE ALL</t>
        </is>
      </c>
    </row>
    <row r="502">
      <c r="A502" t="inlineStr">
        <is>
          <t>B08SW4HFV8</t>
        </is>
      </c>
      <c r="B502" t="inlineStr">
        <is>
          <t>False</t>
        </is>
      </c>
      <c r="C502" t="inlineStr">
        <is>
          <t>B08SW4HFV8</t>
        </is>
      </c>
      <c r="D502" t="inlineStr">
        <is>
          <t>Aroma360</t>
        </is>
      </c>
      <c r="E502" t="inlineStr">
        <is>
          <t>False</t>
        </is>
      </c>
      <c r="F502" t="inlineStr">
        <is>
          <t>Hotel Collection - My Way Essential Oil Scent - Luxury Hotel Inspired Aromatherapy Scent Diffuser Oil - Lush Sandalwood, Warm Virginia Cedar, &amp; Beautiful Iris - 120mL</t>
        </is>
      </c>
      <c r="G502">
        <v>1</v>
      </c>
      <c r="H502" s="2" t="str">
        <f>HYPERLINK("https://www.amazon.com/dp/B08SW4HFV8", "https://www.amazon.com/dp/B08SW4HFV8")</f>
      </c>
      <c r="I502" s="3">
        <v>7903</v>
      </c>
      <c r="J502" s="4">
        <v>30.54</v>
      </c>
      <c r="K502" s="15">
        <v>0.4366</v>
      </c>
      <c r="L502" s="15">
        <v>1.2216</v>
      </c>
      <c r="M502" t="inlineStr">
        <is>
          <t>True</t>
        </is>
      </c>
      <c r="N502" t="inlineStr">
        <is>
          <t>Home &amp; Kitchen</t>
        </is>
      </c>
      <c r="O502" s="6">
        <v>1405</v>
      </c>
      <c r="P502" s="6">
        <v>1078</v>
      </c>
      <c r="Q502" s="6">
        <v>593</v>
      </c>
      <c r="R502" s="6">
        <v>317</v>
      </c>
      <c r="S502" s="7">
        <v>25</v>
      </c>
      <c r="T502" s="7">
        <v>69.95</v>
      </c>
      <c r="U502">
        <v>42.01</v>
      </c>
      <c r="V502" s="8">
        <v>0</v>
      </c>
      <c r="W502" s="7">
        <v>0</v>
      </c>
      <c r="X502" s="7">
        <v>0</v>
      </c>
      <c r="Y502">
        <v>0.29</v>
      </c>
      <c r="Z502" s="8">
        <v>0</v>
      </c>
      <c r="AB502">
        <v>0</v>
      </c>
      <c r="AC502">
        <v>0</v>
      </c>
      <c r="AD502">
        <v>1</v>
      </c>
      <c r="AE502">
        <v>1</v>
      </c>
      <c r="AF502">
        <v>0</v>
      </c>
      <c r="AG502">
        <v>1</v>
      </c>
      <c r="AH502">
        <v>32</v>
      </c>
      <c r="AI502" t="inlineStr">
        <is>
          <t>False</t>
        </is>
      </c>
      <c r="AJ502" s="2" t="str">
        <f>HYPERLINK("https://keepa.com/#!product/1-B08SW4HFV8", "https://keepa.com/#!product/1-B08SW4HFV8")</f>
      </c>
      <c r="AK502" s="2" t="str">
        <f>HYPERLINK("https://camelcamelcamel.com/search?sq=B08SW4HFV8", "https://camelcamelcamel.com/search?sq=B08SW4HFV8")</f>
      </c>
      <c r="AL502" t="inlineStr">
        <is>
          <t/>
        </is>
      </c>
      <c r="AM502" s="10">
        <v>45417.11111111111</v>
      </c>
      <c r="AN502" t="inlineStr">
        <is>
          <t>Hotel Collection - My Way Essential Oil Scent - Luxury Hotel Inspired Aromatherapy Scent Diffuser Oil - Lush Sandalwood, Warm Virginia Cedar, &amp; Beautiful Iris - 120mL</t>
        </is>
      </c>
      <c r="AO502" t="inlineStr">
        <is>
          <t>500</t>
        </is>
      </c>
      <c r="AP502" t="inlineStr">
        <is>
          <t>TAKE ALL</t>
        </is>
      </c>
    </row>
    <row r="503">
      <c r="A503" t="inlineStr">
        <is>
          <t>B08SWJS8M4</t>
        </is>
      </c>
      <c r="B503" t="inlineStr">
        <is>
          <t>False</t>
        </is>
      </c>
      <c r="C503" t="inlineStr">
        <is>
          <t>B08SWJS8M4</t>
        </is>
      </c>
      <c r="D503" t="inlineStr">
        <is>
          <t>Aroma360</t>
        </is>
      </c>
      <c r="E503" t="inlineStr">
        <is>
          <t>False</t>
        </is>
      </c>
      <c r="F503" t="inlineStr">
        <is>
          <t>Hotel Collection - Black Velvet Essential Oil Scent - Luxury Hotel Inspired Aromatherapy Scent Diffuser Oil - Zesty Citrus, Juicy Black Fig, &amp; Floral Rose - for Essential Oil Diffusers - 120mL</t>
        </is>
      </c>
      <c r="G503">
        <v>1</v>
      </c>
      <c r="H503" s="2" t="str">
        <f>HYPERLINK("https://www.amazon.com/dp/B08SWJS8M4", "https://www.amazon.com/dp/B08SWJS8M4")</f>
      </c>
      <c r="I503" s="3">
        <v>7903</v>
      </c>
      <c r="J503" s="12">
        <v>-2.41</v>
      </c>
      <c r="K503" s="13">
        <v>-0.0602</v>
      </c>
      <c r="L503" s="13">
        <v>-0.0742</v>
      </c>
      <c r="M503" t="inlineStr">
        <is>
          <t>True</t>
        </is>
      </c>
      <c r="N503" t="inlineStr">
        <is>
          <t>Home &amp; Kitchen</t>
        </is>
      </c>
      <c r="O503" s="6">
        <v>1405</v>
      </c>
      <c r="P503" s="6">
        <v>1078</v>
      </c>
      <c r="Q503" s="6">
        <v>593</v>
      </c>
      <c r="R503" s="6">
        <v>268</v>
      </c>
      <c r="S503" s="7">
        <v>32.5</v>
      </c>
      <c r="T503" s="7">
        <v>40</v>
      </c>
      <c r="U503">
        <v>49.34</v>
      </c>
      <c r="V503" s="8">
        <v>0</v>
      </c>
      <c r="W503" s="7">
        <v>0</v>
      </c>
      <c r="X503" s="7">
        <v>0</v>
      </c>
      <c r="Y503">
        <v>0.29</v>
      </c>
      <c r="Z503" s="8">
        <v>0</v>
      </c>
      <c r="AB503">
        <v>0</v>
      </c>
      <c r="AC503">
        <v>0</v>
      </c>
      <c r="AD503">
        <v>7</v>
      </c>
      <c r="AE503">
        <v>5</v>
      </c>
      <c r="AF503">
        <v>2</v>
      </c>
      <c r="AG503">
        <v>1</v>
      </c>
      <c r="AH503">
        <v>32</v>
      </c>
      <c r="AI503" t="inlineStr">
        <is>
          <t>False</t>
        </is>
      </c>
      <c r="AJ503" s="2" t="str">
        <f>HYPERLINK("https://keepa.com/#!product/1-B08SWJS8M4", "https://keepa.com/#!product/1-B08SWJS8M4")</f>
      </c>
      <c r="AK503" s="2" t="str">
        <f>HYPERLINK("https://camelcamelcamel.com/search?sq=B08SWJS8M4", "https://camelcamelcamel.com/search?sq=B08SWJS8M4")</f>
      </c>
      <c r="AL503" t="inlineStr">
        <is>
          <t/>
        </is>
      </c>
      <c r="AM503" s="10">
        <v>45417.11111111111</v>
      </c>
      <c r="AN503" t="inlineStr">
        <is>
          <t>Hotel Collection - Black Velvet Essential Oil Scent - Luxury Hotel Inspired Aromatherapy Scent Diffuser Oil - Zesty Citrus, Juicy Black Fig, &amp; Floral Rose - for Essential Oil Diffusers - 120mL</t>
        </is>
      </c>
      <c r="AO503" t="inlineStr">
        <is>
          <t>300</t>
        </is>
      </c>
      <c r="AP503" t="inlineStr">
        <is>
          <t>150</t>
        </is>
      </c>
    </row>
    <row r="504">
      <c r="A504" t="inlineStr">
        <is>
          <t>B08SWKTJ2Q</t>
        </is>
      </c>
      <c r="B504" t="inlineStr">
        <is>
          <t>False</t>
        </is>
      </c>
      <c r="C504" t="inlineStr">
        <is>
          <t>B08SWKTJ2Q</t>
        </is>
      </c>
      <c r="D504" t="inlineStr">
        <is>
          <t>Fixodent</t>
        </is>
      </c>
      <c r="E504" t="inlineStr">
        <is>
          <t>False</t>
        </is>
      </c>
      <c r="F504" t="inlineStr">
        <is>
          <t>Fixodent 3 Minute Daily Cleanser Tablets Plus Scope - 90 ct</t>
        </is>
      </c>
      <c r="G504">
        <v>1</v>
      </c>
      <c r="H504" s="2" t="str">
        <f>HYPERLINK("https://www.amazon.com/dp/B08SWKTJ2Q", "https://www.amazon.com/dp/B08SWKTJ2Q")</f>
      </c>
      <c r="I504" s="3">
        <v>531</v>
      </c>
      <c r="J504" s="12">
        <v>-0.55</v>
      </c>
      <c r="K504" s="13">
        <v>-0.0698</v>
      </c>
      <c r="L504" s="13">
        <v>-0.1375</v>
      </c>
      <c r="M504" t="inlineStr">
        <is>
          <t>True</t>
        </is>
      </c>
      <c r="N504" t="inlineStr">
        <is>
          <t>Health &amp; Household</t>
        </is>
      </c>
      <c r="O504" s="6">
        <v>35777</v>
      </c>
      <c r="P504" s="6">
        <v>44995</v>
      </c>
      <c r="Q504" s="6">
        <v>32499</v>
      </c>
      <c r="R504" s="6">
        <v>100</v>
      </c>
      <c r="S504" s="7">
        <v>4</v>
      </c>
      <c r="T504" s="7">
        <v>7.88</v>
      </c>
      <c r="U504">
        <v>8.13</v>
      </c>
      <c r="V504" s="8">
        <v>0</v>
      </c>
      <c r="W504" s="7">
        <v>0</v>
      </c>
      <c r="X504" s="7">
        <v>0</v>
      </c>
      <c r="Y504">
        <v>0.84</v>
      </c>
      <c r="Z504" s="8">
        <v>0</v>
      </c>
      <c r="AB504">
        <v>0</v>
      </c>
      <c r="AC504">
        <v>0</v>
      </c>
      <c r="AD504">
        <v>19</v>
      </c>
      <c r="AE504">
        <v>10</v>
      </c>
      <c r="AF504">
        <v>9</v>
      </c>
      <c r="AG504">
        <v>6</v>
      </c>
      <c r="AH504">
        <v>0</v>
      </c>
      <c r="AI504" t="inlineStr">
        <is>
          <t>False</t>
        </is>
      </c>
      <c r="AJ504" s="2" t="str">
        <f>HYPERLINK("https://keepa.com/#!product/1-B08SWKTJ2Q", "https://keepa.com/#!product/1-B08SWKTJ2Q")</f>
      </c>
      <c r="AK504" s="2" t="str">
        <f>HYPERLINK("https://camelcamelcamel.com/search?sq=B08SWKTJ2Q", "https://camelcamelcamel.com/search?sq=B08SWKTJ2Q")</f>
      </c>
      <c r="AL504" t="inlineStr">
        <is>
          <t/>
        </is>
      </c>
      <c r="AM504" s="10">
        <v>45417.11111111111</v>
      </c>
      <c r="AN504" t="inlineStr">
        <is>
          <t>Fixodent 3 Minute Daily Cleanser Tablets Plus Scope - 90 ct</t>
        </is>
      </c>
      <c r="AO504" t="inlineStr">
        <is>
          <t>480</t>
        </is>
      </c>
      <c r="AP504" t="inlineStr">
        <is>
          <t>TAKE ALL</t>
        </is>
      </c>
    </row>
    <row r="505">
      <c r="A505" t="inlineStr">
        <is>
          <t>B08T5V5YBC</t>
        </is>
      </c>
      <c r="B505" t="inlineStr">
        <is>
          <t>False</t>
        </is>
      </c>
      <c r="C505" t="inlineStr">
        <is>
          <t>B08T5V5YBC</t>
        </is>
      </c>
      <c r="D505" t="inlineStr">
        <is>
          <t>Wizarding World</t>
        </is>
      </c>
      <c r="E505" t="inlineStr">
        <is>
          <t>False</t>
        </is>
      </c>
      <c r="F505" t="inlineStr">
        <is>
          <t>Wizarding World Harry Potter, Magical Minis Amazon Exclusive Deluxe Hogwarts Castle, 3 Classroom Playsets, 22 Accessories, 3 Figures, Lights &amp; Sounds</t>
        </is>
      </c>
      <c r="G505">
        <v>1</v>
      </c>
      <c r="H505" s="2" t="str">
        <f>HYPERLINK("https://www.amazon.com/dp/B08T5V5YBC", "https://www.amazon.com/dp/B08T5V5YBC")</f>
      </c>
      <c r="I505" s="3">
        <v>800</v>
      </c>
      <c r="J505" s="4">
        <v>7.61</v>
      </c>
      <c r="K505" s="5">
        <v>0.12689999999999999</v>
      </c>
      <c r="L505" s="5">
        <v>0.28190000000000004</v>
      </c>
      <c r="M505" t="inlineStr">
        <is>
          <t>True</t>
        </is>
      </c>
      <c r="N505" t="inlineStr">
        <is>
          <t>Toys &amp; Games</t>
        </is>
      </c>
      <c r="O505" s="6">
        <v>12100</v>
      </c>
      <c r="P505" s="6">
        <v>20762</v>
      </c>
      <c r="Q505" s="6">
        <v>3632</v>
      </c>
      <c r="R505" s="6">
        <v>202</v>
      </c>
      <c r="S505" s="7">
        <v>27</v>
      </c>
      <c r="T505" s="7">
        <v>59.99</v>
      </c>
      <c r="U505">
        <v>49.98</v>
      </c>
      <c r="V505" s="8">
        <v>0</v>
      </c>
      <c r="W505" s="7">
        <v>0</v>
      </c>
      <c r="X505" s="7">
        <v>0</v>
      </c>
      <c r="Y505">
        <v>7.8</v>
      </c>
      <c r="Z505" s="9">
        <v>1</v>
      </c>
      <c r="AB505">
        <v>0</v>
      </c>
      <c r="AC505">
        <v>0</v>
      </c>
      <c r="AD505">
        <v>6</v>
      </c>
      <c r="AE505">
        <v>3</v>
      </c>
      <c r="AF505">
        <v>0</v>
      </c>
      <c r="AG505">
        <v>2</v>
      </c>
      <c r="AH505">
        <v>3</v>
      </c>
      <c r="AI505" t="inlineStr">
        <is>
          <t>False</t>
        </is>
      </c>
      <c r="AJ505" s="2" t="str">
        <f>HYPERLINK("https://keepa.com/#!product/1-B08T5V5YBC", "https://keepa.com/#!product/1-B08T5V5YBC")</f>
      </c>
      <c r="AK505" s="2" t="str">
        <f>HYPERLINK("https://camelcamelcamel.com/search?sq=B08T5V5YBC", "https://camelcamelcamel.com/search?sq=B08T5V5YBC")</f>
      </c>
      <c r="AL505" t="inlineStr">
        <is>
          <t/>
        </is>
      </c>
      <c r="AM505" s="10">
        <v>45417.11111111111</v>
      </c>
      <c r="AN505" t="inlineStr">
        <is>
          <t>Wizarding World Harry Potter, Magical Minis Amazon Exclusive Deluxe Hogwarts Castle, 3 Classroom Playsets, 22 Accessories, 3 Figures, Lights &amp; Sounds</t>
        </is>
      </c>
      <c r="AO505" t="inlineStr">
        <is>
          <t>250</t>
        </is>
      </c>
      <c r="AP505" t="inlineStr">
        <is>
          <t>TAKE ALL</t>
        </is>
      </c>
    </row>
    <row r="506">
      <c r="A506" t="inlineStr">
        <is>
          <t>B08TBYT55Q</t>
        </is>
      </c>
      <c r="B506" t="inlineStr">
        <is>
          <t>False</t>
        </is>
      </c>
      <c r="C506" t="inlineStr">
        <is>
          <t>B08TBYT55Q</t>
        </is>
      </c>
      <c r="D506" t="inlineStr">
        <is>
          <t>Floradix</t>
        </is>
      </c>
      <c r="E506" t="inlineStr">
        <is>
          <t>False</t>
        </is>
      </c>
      <c r="F506" t="inlineStr">
        <is>
          <t>Floradix, Floravital Iron &amp; Herbs Vegan Liquid Supplement, Energy Support for Women and Men, Easily Absorbed, Non-GMO, Vegan, Kosher, Lactose-Free, Unflavored, 17 Fl Oz</t>
        </is>
      </c>
      <c r="G506">
        <v>1</v>
      </c>
      <c r="H506" s="2" t="str">
        <f>HYPERLINK("https://www.amazon.com/dp/B08TBYT55Q", "https://www.amazon.com/dp/B08TBYT55Q")</f>
      </c>
      <c r="I506" s="3">
        <v>6531</v>
      </c>
      <c r="J506" s="4">
        <v>5.3</v>
      </c>
      <c r="K506" s="5">
        <v>0.13970000000000002</v>
      </c>
      <c r="L506" s="5">
        <v>0.2554</v>
      </c>
      <c r="M506" t="inlineStr">
        <is>
          <t>True</t>
        </is>
      </c>
      <c r="N506" t="inlineStr">
        <is>
          <t>Health &amp; Household</t>
        </is>
      </c>
      <c r="O506" s="6">
        <v>3968</v>
      </c>
      <c r="P506" s="6">
        <v>4494</v>
      </c>
      <c r="Q506" s="6">
        <v>2738</v>
      </c>
      <c r="R506" s="6">
        <v>284</v>
      </c>
      <c r="S506" s="7">
        <v>20.75</v>
      </c>
      <c r="T506" s="7">
        <v>37.95</v>
      </c>
      <c r="U506">
        <v>37.81</v>
      </c>
      <c r="V506" s="8">
        <v>0</v>
      </c>
      <c r="W506" s="7">
        <v>0</v>
      </c>
      <c r="X506" s="7">
        <v>0</v>
      </c>
      <c r="Y506">
        <v>2.25</v>
      </c>
      <c r="Z506" s="9">
        <v>0.65</v>
      </c>
      <c r="AB506">
        <v>0</v>
      </c>
      <c r="AC506">
        <v>0</v>
      </c>
      <c r="AD506">
        <v>11</v>
      </c>
      <c r="AE506">
        <v>4</v>
      </c>
      <c r="AF506">
        <v>7</v>
      </c>
      <c r="AG506">
        <v>4</v>
      </c>
      <c r="AH506">
        <v>2</v>
      </c>
      <c r="AI506" t="inlineStr">
        <is>
          <t>False</t>
        </is>
      </c>
      <c r="AJ506" s="2" t="str">
        <f>HYPERLINK("https://keepa.com/#!product/1-B08TBYT55Q", "https://keepa.com/#!product/1-B08TBYT55Q")</f>
      </c>
      <c r="AK506" s="2" t="str">
        <f>HYPERLINK("https://camelcamelcamel.com/search?sq=B08TBYT55Q", "https://camelcamelcamel.com/search?sq=B08TBYT55Q")</f>
      </c>
      <c r="AL506" t="inlineStr">
        <is>
          <t/>
        </is>
      </c>
      <c r="AM506" s="10">
        <v>45417.11111111111</v>
      </c>
      <c r="AN506" t="inlineStr">
        <is>
          <t>Salus Floradix Floravital Iron + Herbs Liquid Herbal Supplement, 17 Fluid Ounce (Pack of 1)</t>
        </is>
      </c>
      <c r="AO506" t="inlineStr">
        <is>
          <t>300</t>
        </is>
      </c>
      <c r="AP506" t="inlineStr">
        <is>
          <t>TAKE ALL</t>
        </is>
      </c>
    </row>
    <row r="507">
      <c r="A507" t="inlineStr">
        <is>
          <t>B08TG5X172</t>
        </is>
      </c>
      <c r="B507" t="inlineStr">
        <is>
          <t>False</t>
        </is>
      </c>
      <c r="C507" t="inlineStr">
        <is>
          <t>B08TG5X172</t>
        </is>
      </c>
      <c r="D507" t="inlineStr">
        <is>
          <t>Sengled</t>
        </is>
      </c>
      <c r="E507" t="inlineStr">
        <is>
          <t>False</t>
        </is>
      </c>
      <c r="F507" t="inlineStr">
        <is>
          <t>Sengled Smart Light Bulbs, Color Changing Alexa/Bluetooth Mesh, Dimmable LED Bulb A19 E26 Multicolor, High CRI, High Brightness, 8.7W 800LM, 1Pack</t>
        </is>
      </c>
      <c r="G507">
        <v>1</v>
      </c>
      <c r="H507" s="2" t="str">
        <f>HYPERLINK("https://www.amazon.com/dp/B08TG5X172", "https://www.amazon.com/dp/B08TG5X172")</f>
      </c>
      <c r="I507" s="3">
        <v>1230</v>
      </c>
      <c r="J507" s="12">
        <v>-0.04</v>
      </c>
      <c r="K507" s="13">
        <v>-0.0037</v>
      </c>
      <c r="L507" s="13">
        <v>-0.0073</v>
      </c>
      <c r="M507" t="inlineStr">
        <is>
          <t>True</t>
        </is>
      </c>
      <c r="N507" t="inlineStr">
        <is>
          <t>Industrial &amp; Scientific</t>
        </is>
      </c>
      <c r="O507" s="6">
        <v>2986</v>
      </c>
      <c r="P507" s="6">
        <v>2225</v>
      </c>
      <c r="Q507" s="6">
        <v>764</v>
      </c>
      <c r="R507" s="6">
        <v>157</v>
      </c>
      <c r="S507" s="7">
        <v>5.5</v>
      </c>
      <c r="T507" s="7">
        <v>10.76</v>
      </c>
      <c r="U507">
        <v>11.7</v>
      </c>
      <c r="V507" s="8">
        <v>0</v>
      </c>
      <c r="W507" s="7">
        <v>0</v>
      </c>
      <c r="X507" s="7">
        <v>0</v>
      </c>
      <c r="Y507">
        <v>0.18</v>
      </c>
      <c r="Z507" s="9">
        <v>1</v>
      </c>
      <c r="AB507">
        <v>0</v>
      </c>
      <c r="AC507">
        <v>0</v>
      </c>
      <c r="AD507">
        <v>10</v>
      </c>
      <c r="AE507">
        <v>1</v>
      </c>
      <c r="AF507">
        <v>0</v>
      </c>
      <c r="AG507">
        <v>1</v>
      </c>
      <c r="AH507">
        <v>6</v>
      </c>
      <c r="AI507" t="inlineStr">
        <is>
          <t>False</t>
        </is>
      </c>
      <c r="AJ507" s="2" t="str">
        <f>HYPERLINK("https://keepa.com/#!product/1-B08TG5X172", "https://keepa.com/#!product/1-B08TG5X172")</f>
      </c>
      <c r="AK507" s="2" t="str">
        <f>HYPERLINK("https://camelcamelcamel.com/search?sq=B08TG5X172", "https://camelcamelcamel.com/search?sq=B08TG5X172")</f>
      </c>
      <c r="AL507" t="inlineStr">
        <is>
          <t/>
        </is>
      </c>
      <c r="AM507" s="10">
        <v>45417.11111111111</v>
      </c>
      <c r="AN507" t="inlineStr">
        <is>
          <t>Sengled Smart Light Bulbs, Color Changing Alexa/Bluetooth Mesh, Dimmable LED Bulb A19 E26 Multicolor, High CRI, High Brightness, 8.7W 800LM, 1Pack</t>
        </is>
      </c>
      <c r="AO507" t="inlineStr">
        <is>
          <t>1000</t>
        </is>
      </c>
      <c r="AP507" t="inlineStr">
        <is>
          <t>TAKE ALL</t>
        </is>
      </c>
    </row>
    <row r="508">
      <c r="A508" t="inlineStr">
        <is>
          <t>B08TLJFVXY</t>
        </is>
      </c>
      <c r="B508" t="inlineStr">
        <is>
          <t>False</t>
        </is>
      </c>
      <c r="C508" t="inlineStr">
        <is>
          <t>B08TLJFVXY</t>
        </is>
      </c>
      <c r="D508" t="inlineStr">
        <is>
          <t>Degree</t>
        </is>
      </c>
      <c r="E508" t="inlineStr">
        <is>
          <t>False</t>
        </is>
      </c>
      <c r="F508" t="inlineStr">
        <is>
          <t>Degree Antiperspirant Spray Deodorant for Women Apple and Gardenia 72-Hour Protection 3.8 oz</t>
        </is>
      </c>
      <c r="G508">
        <v>1</v>
      </c>
      <c r="H508" s="2" t="str">
        <f>HYPERLINK("https://www.amazon.com/dp/B08TLJFVXY", "https://www.amazon.com/dp/B08TLJFVXY")</f>
      </c>
      <c r="I508" s="3">
        <v>921</v>
      </c>
      <c r="J508" s="12">
        <v>-0.94</v>
      </c>
      <c r="K508" s="13">
        <v>-0.0662</v>
      </c>
      <c r="L508" s="13">
        <v>-0.1106</v>
      </c>
      <c r="M508" t="inlineStr">
        <is>
          <t>True</t>
        </is>
      </c>
      <c r="N508" t="inlineStr">
        <is>
          <t>Beauty &amp; Personal Care</t>
        </is>
      </c>
      <c r="O508" s="6">
        <v>18928</v>
      </c>
      <c r="P508" s="6">
        <v>16641</v>
      </c>
      <c r="Q508" s="6">
        <v>10186</v>
      </c>
      <c r="R508" s="6">
        <v>120</v>
      </c>
      <c r="S508" s="7">
        <v>8.5</v>
      </c>
      <c r="T508" s="7">
        <v>14.2</v>
      </c>
      <c r="U508">
        <v>15.24</v>
      </c>
      <c r="V508" s="8">
        <v>0</v>
      </c>
      <c r="W508" s="7">
        <v>0</v>
      </c>
      <c r="X508" s="7">
        <v>0</v>
      </c>
      <c r="Y508">
        <v>0.08</v>
      </c>
      <c r="Z508" s="8">
        <v>0</v>
      </c>
      <c r="AB508">
        <v>0</v>
      </c>
      <c r="AC508">
        <v>0</v>
      </c>
      <c r="AD508">
        <v>7</v>
      </c>
      <c r="AE508">
        <v>1</v>
      </c>
      <c r="AF508">
        <v>6</v>
      </c>
      <c r="AG508">
        <v>2</v>
      </c>
      <c r="AH508">
        <v>3</v>
      </c>
      <c r="AI508" t="inlineStr">
        <is>
          <t>True</t>
        </is>
      </c>
      <c r="AJ508" s="2" t="str">
        <f>HYPERLINK("https://keepa.com/#!product/1-B08TLJFVXY", "https://keepa.com/#!product/1-B08TLJFVXY")</f>
      </c>
      <c r="AK508" s="2" t="str">
        <f>HYPERLINK("https://camelcamelcamel.com/search?sq=B08TLJFVXY", "https://camelcamelcamel.com/search?sq=B08TLJFVXY")</f>
      </c>
      <c r="AL508" t="inlineStr">
        <is>
          <t/>
        </is>
      </c>
      <c r="AM508" s="10">
        <v>45417.11111111111</v>
      </c>
      <c r="AN508" t="inlineStr">
        <is>
          <t>Degree Antiperspirant Spray Deodorant for Women Apple and Gardenia 72-Hour Protection 3.8 oz</t>
        </is>
      </c>
      <c r="AO508" t="inlineStr">
        <is>
          <t>500</t>
        </is>
      </c>
      <c r="AP508" t="inlineStr">
        <is>
          <t>TAKE ALL</t>
        </is>
      </c>
    </row>
    <row r="509">
      <c r="A509" t="inlineStr">
        <is>
          <t>B08TQ83Z4V</t>
        </is>
      </c>
      <c r="B509" t="inlineStr">
        <is>
          <t>False</t>
        </is>
      </c>
      <c r="C509" t="inlineStr">
        <is>
          <t>B08TQ83Z4V</t>
        </is>
      </c>
      <c r="D509" t="inlineStr">
        <is>
          <t>Cuccio</t>
        </is>
      </c>
      <c r="E509" t="inlineStr">
        <is>
          <t>False</t>
        </is>
      </c>
      <c r="F509" t="inlineStr">
        <is>
          <t>Cuccio Naturale Revitalizing Cuticle Oil - Hydrating Oil For Repaired Cuticles Overnight - Remedy For Damaged Skin And Thin Nails - Paraben/ Cruelty-Free Formula - Sweet Almond - 2.5 Oz</t>
        </is>
      </c>
      <c r="G509">
        <v>1</v>
      </c>
      <c r="H509" s="2" t="str">
        <f>HYPERLINK("https://www.amazon.com/dp/B08TQ83Z4V", "https://www.amazon.com/dp/B08TQ83Z4V")</f>
      </c>
      <c r="I509" s="3">
        <v>24525</v>
      </c>
      <c r="J509" s="11">
        <v>0.69</v>
      </c>
      <c r="K509" s="5">
        <v>0.07400000000000001</v>
      </c>
      <c r="L509" s="5">
        <v>0.14529999999999998</v>
      </c>
      <c r="M509" t="inlineStr">
        <is>
          <t>True</t>
        </is>
      </c>
      <c r="N509" t="inlineStr">
        <is>
          <t>Beauty &amp; Personal Care</t>
        </is>
      </c>
      <c r="O509" s="6">
        <v>348</v>
      </c>
      <c r="P509" s="6">
        <v>270</v>
      </c>
      <c r="Q509" s="6">
        <v>162</v>
      </c>
      <c r="R509" s="6">
        <v>224</v>
      </c>
      <c r="S509" s="7">
        <v>4.75</v>
      </c>
      <c r="T509" s="7">
        <v>9.33</v>
      </c>
      <c r="U509">
        <v>9.72</v>
      </c>
      <c r="V509" s="8">
        <v>0</v>
      </c>
      <c r="W509" s="7">
        <v>0</v>
      </c>
      <c r="X509" s="7">
        <v>0</v>
      </c>
      <c r="Y509">
        <v>0.37</v>
      </c>
      <c r="Z509" s="9">
        <v>0.46</v>
      </c>
      <c r="AB509">
        <v>0</v>
      </c>
      <c r="AC509">
        <v>0</v>
      </c>
      <c r="AD509">
        <v>9</v>
      </c>
      <c r="AE509">
        <v>4</v>
      </c>
      <c r="AF509">
        <v>5</v>
      </c>
      <c r="AG509">
        <v>2</v>
      </c>
      <c r="AH509">
        <v>21</v>
      </c>
      <c r="AI509" t="inlineStr">
        <is>
          <t>False</t>
        </is>
      </c>
      <c r="AJ509" s="2" t="str">
        <f>HYPERLINK("https://keepa.com/#!product/1-B08TQ83Z4V", "https://keepa.com/#!product/1-B08TQ83Z4V")</f>
      </c>
      <c r="AK509" s="2" t="str">
        <f>HYPERLINK("https://camelcamelcamel.com/search?sq=B08TQ83Z4V", "https://camelcamelcamel.com/search?sq=B08TQ83Z4V")</f>
      </c>
      <c r="AL509" t="inlineStr">
        <is>
          <t/>
        </is>
      </c>
      <c r="AM509" s="10">
        <v>45417.11111111111</v>
      </c>
      <c r="AN509" t="inlineStr">
        <is>
          <t>Cuccio Naturale Revitalizing Cuticle Oil - Hydrating Oil For Repaired Cuticles Overnight - Remedy For Damaged Skin And Thin Nails - Paraben/ Cruelty-Free Formula - Sweet Almond - 2.5 Oz</t>
        </is>
      </c>
      <c r="AO509" t="inlineStr">
        <is>
          <t>2000</t>
        </is>
      </c>
      <c r="AP509" t="inlineStr">
        <is>
          <t>TAKE ALL</t>
        </is>
      </c>
    </row>
    <row r="510">
      <c r="A510" t="inlineStr">
        <is>
          <t>B08V77S98Q</t>
        </is>
      </c>
      <c r="B510" t="inlineStr">
        <is>
          <t>False</t>
        </is>
      </c>
      <c r="C510" t="inlineStr">
        <is>
          <t>B08V77S98Q</t>
        </is>
      </c>
      <c r="D510" t="inlineStr">
        <is>
          <t>Fisher-Price</t>
        </is>
      </c>
      <c r="E510" t="inlineStr">
        <is>
          <t>False</t>
        </is>
      </c>
      <c r="F510" t="inlineStr">
        <is>
          <t>Fisher-Price Linkimals Learning Toy Cool Beats Penguin with Interactive Music &amp; Lights for Infants and Toddlers Ages 9+ Months</t>
        </is>
      </c>
      <c r="G510">
        <v>1</v>
      </c>
      <c r="H510" s="2" t="str">
        <f>HYPERLINK("https://www.amazon.com/dp/B08V77S98Q", "https://www.amazon.com/dp/B08V77S98Q")</f>
      </c>
      <c r="I510" s="3">
        <v>863</v>
      </c>
      <c r="J510" s="12">
        <v>-6.43</v>
      </c>
      <c r="K510" s="13">
        <v>-0.3062</v>
      </c>
      <c r="L510" s="13">
        <v>-0.4019</v>
      </c>
      <c r="M510" t="inlineStr">
        <is>
          <t>True</t>
        </is>
      </c>
      <c r="N510" t="inlineStr">
        <is>
          <t>Toys &amp; Games</t>
        </is>
      </c>
      <c r="O510" s="6">
        <v>11118</v>
      </c>
      <c r="P510" s="6">
        <v>12349</v>
      </c>
      <c r="Q510" s="6">
        <v>619</v>
      </c>
      <c r="R510" s="6">
        <v>257</v>
      </c>
      <c r="S510" s="7">
        <v>16</v>
      </c>
      <c r="T510" s="7">
        <v>21</v>
      </c>
      <c r="U510">
        <v>19.93</v>
      </c>
      <c r="V510" s="8">
        <v>0</v>
      </c>
      <c r="W510" s="7">
        <v>0</v>
      </c>
      <c r="X510" s="7">
        <v>0</v>
      </c>
      <c r="Y510">
        <v>2.13</v>
      </c>
      <c r="Z510" s="9">
        <v>0.6</v>
      </c>
      <c r="AB510">
        <v>0</v>
      </c>
      <c r="AC510">
        <v>0</v>
      </c>
      <c r="AD510">
        <v>28</v>
      </c>
      <c r="AE510">
        <v>16</v>
      </c>
      <c r="AF510">
        <v>9</v>
      </c>
      <c r="AG510">
        <v>1</v>
      </c>
      <c r="AH510">
        <v>0</v>
      </c>
      <c r="AI510" t="inlineStr">
        <is>
          <t>False</t>
        </is>
      </c>
      <c r="AJ510" s="2" t="str">
        <f>HYPERLINK("https://keepa.com/#!product/1-B08V77S98Q", "https://keepa.com/#!product/1-B08V77S98Q")</f>
      </c>
      <c r="AK510" s="2" t="str">
        <f>HYPERLINK("https://camelcamelcamel.com/search?sq=B08V77S98Q", "https://camelcamelcamel.com/search?sq=B08V77S98Q")</f>
      </c>
      <c r="AL510" t="inlineStr">
        <is>
          <t/>
        </is>
      </c>
      <c r="AM510" s="10">
        <v>45417.11111111111</v>
      </c>
      <c r="AN510" t="inlineStr">
        <is>
          <t>Fisher-Price Linkimals Learning Toy Cool Beats Penguin with Interactive Music &amp; Lights for Infants and Toddlers Ages 9+ Months (Amazon Exclusive)</t>
        </is>
      </c>
      <c r="AO510" t="inlineStr">
        <is>
          <t>498</t>
        </is>
      </c>
      <c r="AP510" t="inlineStr">
        <is>
          <t>TAKE ALL</t>
        </is>
      </c>
    </row>
    <row r="511">
      <c r="A511" t="inlineStr">
        <is>
          <t>B08V79CRMH</t>
        </is>
      </c>
      <c r="B511" t="inlineStr">
        <is>
          <t>False</t>
        </is>
      </c>
      <c r="C511" t="inlineStr">
        <is>
          <t>B08V79CRMH</t>
        </is>
      </c>
      <c r="D511" t="inlineStr">
        <is>
          <t>lululemon</t>
        </is>
      </c>
      <c r="E511" t="inlineStr">
        <is>
          <t>False</t>
        </is>
      </c>
      <c r="F511" t="inlineStr">
        <is>
          <t>Lululemon Athletica Everywhere Belt Bag, Black, 7.5 x 5 x 2 inches</t>
        </is>
      </c>
      <c r="G511">
        <v>1</v>
      </c>
      <c r="H511" s="2" t="str">
        <f>HYPERLINK("https://www.amazon.com/dp/B08V79CRMH", "https://www.amazon.com/dp/B08V79CRMH")</f>
      </c>
      <c r="I511" s="3">
        <v>14521</v>
      </c>
      <c r="J511" s="11">
        <v>1.13</v>
      </c>
      <c r="K511" s="5">
        <v>0.0358</v>
      </c>
      <c r="L511" s="5">
        <v>0.0526</v>
      </c>
      <c r="M511" t="inlineStr">
        <is>
          <t>True</t>
        </is>
      </c>
      <c r="N511" t="inlineStr">
        <is>
          <t>Clothing, Shoes &amp; Jewelry</t>
        </is>
      </c>
      <c r="O511" s="6">
        <v>469</v>
      </c>
      <c r="P511" s="6">
        <v>1810</v>
      </c>
      <c r="Q511" s="6">
        <v>430</v>
      </c>
      <c r="R511" s="6">
        <v>565</v>
      </c>
      <c r="S511" s="7">
        <v>21.5</v>
      </c>
      <c r="T511" s="7">
        <v>31.55</v>
      </c>
      <c r="U511">
        <v>36.54</v>
      </c>
      <c r="V511" s="8">
        <v>0</v>
      </c>
      <c r="W511" s="7">
        <v>0</v>
      </c>
      <c r="X511" s="7">
        <v>0</v>
      </c>
      <c r="Y511">
        <v>0.42</v>
      </c>
      <c r="Z511" s="8">
        <v>0</v>
      </c>
      <c r="AB511">
        <v>0</v>
      </c>
      <c r="AC511">
        <v>0</v>
      </c>
      <c r="AD511">
        <v>78</v>
      </c>
      <c r="AE511">
        <v>45</v>
      </c>
      <c r="AF511">
        <v>33</v>
      </c>
      <c r="AG511">
        <v>2</v>
      </c>
      <c r="AH511">
        <v>0</v>
      </c>
      <c r="AI511" t="inlineStr">
        <is>
          <t>False</t>
        </is>
      </c>
      <c r="AJ511" s="2" t="str">
        <f>HYPERLINK("https://keepa.com/#!product/1-B08V79CRMH", "https://keepa.com/#!product/1-B08V79CRMH")</f>
      </c>
      <c r="AK511" s="2" t="str">
        <f>HYPERLINK("https://camelcamelcamel.com/search?sq=B08V79CRMH", "https://camelcamelcamel.com/search?sq=B08V79CRMH")</f>
      </c>
      <c r="AL511" t="inlineStr">
        <is>
          <t/>
        </is>
      </c>
      <c r="AM511" s="10">
        <v>45417.11111111111</v>
      </c>
      <c r="AN511" t="inlineStr">
        <is>
          <t>Lululemon Athletica Everywhere Belt Bag</t>
        </is>
      </c>
      <c r="AO511" t="inlineStr">
        <is>
          <t>1000</t>
        </is>
      </c>
      <c r="AP511" t="inlineStr">
        <is>
          <t>250</t>
        </is>
      </c>
    </row>
    <row r="512">
      <c r="A512" t="inlineStr">
        <is>
          <t>B08VLZ5FTL</t>
        </is>
      </c>
      <c r="B512" t="inlineStr">
        <is>
          <t>False</t>
        </is>
      </c>
      <c r="C512" t="inlineStr">
        <is>
          <t>B08VLZ5FTL</t>
        </is>
      </c>
      <c r="D512" t="inlineStr">
        <is>
          <t>Raid</t>
        </is>
      </c>
      <c r="E512" t="inlineStr">
        <is>
          <t>False</t>
        </is>
      </c>
      <c r="F512" t="inlineStr">
        <is>
          <t>Raid MAX Perimeter Protection, 1 Gallon, Indoor &amp; Outdoor Insecticide Spray with Reusable Electric Sprayer</t>
        </is>
      </c>
      <c r="G512">
        <v>1</v>
      </c>
      <c r="H512" s="2" t="str">
        <f>HYPERLINK("https://www.amazon.com/dp/B08VLZ5FTL", "https://www.amazon.com/dp/B08VLZ5FTL")</f>
      </c>
      <c r="I512" s="3">
        <v>245</v>
      </c>
      <c r="J512" s="12">
        <v>-3.76</v>
      </c>
      <c r="K512" s="13">
        <v>-0.2198</v>
      </c>
      <c r="L512" s="13">
        <v>-0.4249</v>
      </c>
      <c r="M512" t="inlineStr">
        <is>
          <t>True</t>
        </is>
      </c>
      <c r="N512" t="inlineStr">
        <is>
          <t>Patio, Lawn &amp; Garden</t>
        </is>
      </c>
      <c r="O512" s="6">
        <v>29616</v>
      </c>
      <c r="P512" s="6">
        <v>27178</v>
      </c>
      <c r="Q512" s="6">
        <v>3870</v>
      </c>
      <c r="R512" s="6">
        <v>278</v>
      </c>
      <c r="S512" s="7">
        <v>8.85</v>
      </c>
      <c r="T512" s="7">
        <v>17.11</v>
      </c>
      <c r="U512">
        <v>23.47</v>
      </c>
      <c r="V512" s="8">
        <v>0</v>
      </c>
      <c r="W512" s="7">
        <v>0</v>
      </c>
      <c r="X512" s="7">
        <v>0</v>
      </c>
      <c r="Y512">
        <v>9.61</v>
      </c>
      <c r="Z512" s="9">
        <v>0.01</v>
      </c>
      <c r="AB512">
        <v>0</v>
      </c>
      <c r="AC512">
        <v>0</v>
      </c>
      <c r="AD512">
        <v>10</v>
      </c>
      <c r="AE512">
        <v>4</v>
      </c>
      <c r="AF512">
        <v>6</v>
      </c>
      <c r="AG512">
        <v>1</v>
      </c>
      <c r="AH512">
        <v>0</v>
      </c>
      <c r="AI512" t="inlineStr">
        <is>
          <t>True</t>
        </is>
      </c>
      <c r="AJ512" s="2" t="str">
        <f>HYPERLINK("https://keepa.com/#!product/1-B08VLZ5FTL", "https://keepa.com/#!product/1-B08VLZ5FTL")</f>
      </c>
      <c r="AK512" s="2" t="str">
        <f>HYPERLINK("https://camelcamelcamel.com/search?sq=B08VLZ5FTL", "https://camelcamelcamel.com/search?sq=B08VLZ5FTL")</f>
      </c>
      <c r="AL512" t="inlineStr">
        <is>
          <t/>
        </is>
      </c>
      <c r="AM512" s="10">
        <v>45417.11111111111</v>
      </c>
      <c r="AN512" t="inlineStr">
        <is>
          <t>Raid MAX Perimeter Protection, 1 Gallon, Indoor &amp; Outdoor Insecticide Spray with Reusable Electric Sprayer</t>
        </is>
      </c>
      <c r="AO512" t="inlineStr">
        <is>
          <t>1000</t>
        </is>
      </c>
      <c r="AP512" t="inlineStr">
        <is>
          <t>100</t>
        </is>
      </c>
    </row>
    <row r="513">
      <c r="A513" t="inlineStr">
        <is>
          <t>B08VRHGW1Y</t>
        </is>
      </c>
      <c r="B513" t="inlineStr">
        <is>
          <t>False</t>
        </is>
      </c>
      <c r="C513" t="inlineStr">
        <is>
          <t>B08VRHGW1Y</t>
        </is>
      </c>
      <c r="D513" t="inlineStr">
        <is>
          <t>Beekeeper's Naturals</t>
        </is>
      </c>
      <c r="E513" t="inlineStr">
        <is>
          <t>False</t>
        </is>
      </c>
      <c r="F513" t="inlineStr">
        <is>
          <t>Soothing Honey Cough Drops - Immune Support with Vitamin D, Zinc and Propolis - by Beekeeper's Naturals - Throat Soothing Lozenges, 14 Ct</t>
        </is>
      </c>
      <c r="G513">
        <v>1</v>
      </c>
      <c r="H513" s="2" t="str">
        <f>HYPERLINK("https://www.amazon.com/dp/B08VRHGW1Y", "https://www.amazon.com/dp/B08VRHGW1Y")</f>
      </c>
      <c r="I513" s="3">
        <v>4656</v>
      </c>
      <c r="J513" s="11">
        <v>0.6</v>
      </c>
      <c r="K513" s="5">
        <v>0.0687</v>
      </c>
      <c r="L513" s="5">
        <v>0.1333</v>
      </c>
      <c r="M513" t="inlineStr">
        <is>
          <t>True</t>
        </is>
      </c>
      <c r="N513" t="inlineStr">
        <is>
          <t>Health &amp; Household</t>
        </is>
      </c>
      <c r="O513" s="6">
        <v>5719</v>
      </c>
      <c r="P513" s="6">
        <v>4022</v>
      </c>
      <c r="Q513" s="6">
        <v>2180</v>
      </c>
      <c r="R513" s="6">
        <v>307</v>
      </c>
      <c r="S513" s="7">
        <v>4.5</v>
      </c>
      <c r="T513" s="7">
        <v>8.73</v>
      </c>
      <c r="U513">
        <v>8.56</v>
      </c>
      <c r="V513" s="8">
        <v>0</v>
      </c>
      <c r="W513" s="7">
        <v>0</v>
      </c>
      <c r="X513" s="7">
        <v>0</v>
      </c>
      <c r="Y513">
        <v>0.13</v>
      </c>
      <c r="Z513" s="8">
        <v>0</v>
      </c>
      <c r="AB513">
        <v>0</v>
      </c>
      <c r="AC513">
        <v>0</v>
      </c>
      <c r="AD513">
        <v>9</v>
      </c>
      <c r="AE513">
        <v>9</v>
      </c>
      <c r="AF513">
        <v>0</v>
      </c>
      <c r="AG513">
        <v>6</v>
      </c>
      <c r="AH513">
        <v>5</v>
      </c>
      <c r="AI513" t="inlineStr">
        <is>
          <t>False</t>
        </is>
      </c>
      <c r="AJ513" s="2" t="str">
        <f>HYPERLINK("https://keepa.com/#!product/1-B08VRHGW1Y", "https://keepa.com/#!product/1-B08VRHGW1Y")</f>
      </c>
      <c r="AK513" s="2" t="str">
        <f>HYPERLINK("https://camelcamelcamel.com/search?sq=B08VRHGW1Y", "https://camelcamelcamel.com/search?sq=B08VRHGW1Y")</f>
      </c>
      <c r="AL513" t="inlineStr">
        <is>
          <t/>
        </is>
      </c>
      <c r="AM513" s="10">
        <v>45417.11111111111</v>
      </c>
      <c r="AN513" t="inlineStr">
        <is>
          <t>Soothing Honey Cough Drops - Immune Support with Vitamin D, Zinc and Propolis - by Beekeeper's Naturals - Throat Soothing Lozenges, 14 Ct</t>
        </is>
      </c>
      <c r="AO513" t="inlineStr">
        <is>
          <t>2000</t>
        </is>
      </c>
      <c r="AP513" t="inlineStr">
        <is>
          <t>TAKE ALL</t>
        </is>
      </c>
    </row>
    <row r="514">
      <c r="A514" t="inlineStr">
        <is>
          <t>B08W2QR5F4</t>
        </is>
      </c>
      <c r="B514" t="inlineStr">
        <is>
          <t>False</t>
        </is>
      </c>
      <c r="C514" t="inlineStr">
        <is>
          <t>B08W2QR5F4</t>
        </is>
      </c>
      <c r="D514" t="inlineStr">
        <is>
          <t>PUMA</t>
        </is>
      </c>
      <c r="E514" t="inlineStr">
        <is>
          <t>False</t>
        </is>
      </c>
      <c r="F514" t="inlineStr">
        <is>
          <t>PUMA Men's Microfiber Boxer Brief, 5-pack (Medium, Black and Gray)</t>
        </is>
      </c>
      <c r="G514">
        <v>1</v>
      </c>
      <c r="H514" s="2" t="str">
        <f>HYPERLINK("https://www.amazon.com/dp/B08W2QR5F4", "https://www.amazon.com/dp/B08W2QR5F4")</f>
      </c>
      <c r="I514" s="3">
        <v>1353</v>
      </c>
      <c r="J514" s="4">
        <v>4.77</v>
      </c>
      <c r="K514" s="5">
        <v>0.1704</v>
      </c>
      <c r="L514" s="15">
        <v>0.38159999999999994</v>
      </c>
      <c r="M514" t="inlineStr">
        <is>
          <t>True</t>
        </is>
      </c>
      <c r="N514" t="inlineStr">
        <is>
          <t>Clothing, Shoes &amp; Jewelry</t>
        </is>
      </c>
      <c r="O514" s="6">
        <v>20511</v>
      </c>
      <c r="P514" s="6">
        <v>14570</v>
      </c>
      <c r="Q514" s="6">
        <v>8666</v>
      </c>
      <c r="R514" s="6">
        <v>161</v>
      </c>
      <c r="S514" s="7">
        <v>12.5</v>
      </c>
      <c r="T514" s="7">
        <v>28</v>
      </c>
      <c r="U514">
        <v>25</v>
      </c>
      <c r="V514" s="8">
        <v>0</v>
      </c>
      <c r="W514" s="7">
        <v>0</v>
      </c>
      <c r="X514" s="7">
        <v>0</v>
      </c>
      <c r="Y514">
        <v>0.84</v>
      </c>
      <c r="Z514" s="8">
        <v>0</v>
      </c>
      <c r="AB514">
        <v>0</v>
      </c>
      <c r="AC514">
        <v>0</v>
      </c>
      <c r="AD514">
        <v>12</v>
      </c>
      <c r="AE514">
        <v>5</v>
      </c>
      <c r="AF514">
        <v>7</v>
      </c>
      <c r="AG514">
        <v>4</v>
      </c>
      <c r="AH514">
        <v>4</v>
      </c>
      <c r="AI514" t="inlineStr">
        <is>
          <t>False</t>
        </is>
      </c>
      <c r="AJ514" s="2" t="str">
        <f>HYPERLINK("https://keepa.com/#!product/1-B08W2QR5F4", "https://keepa.com/#!product/1-B08W2QR5F4")</f>
      </c>
      <c r="AK514" s="2" t="str">
        <f>HYPERLINK("https://camelcamelcamel.com/search?sq=B08W2QR5F4", "https://camelcamelcamel.com/search?sq=B08W2QR5F4")</f>
      </c>
      <c r="AL514" t="inlineStr">
        <is>
          <t/>
        </is>
      </c>
      <c r="AM514" s="10">
        <v>45417.11111111111</v>
      </c>
      <c r="AN514" t="inlineStr">
        <is>
          <t>Puma Offer</t>
        </is>
      </c>
      <c r="AO514" t="inlineStr">
        <is>
          <t>5000</t>
        </is>
      </c>
      <c r="AP514" t="inlineStr">
        <is>
          <t>500</t>
        </is>
      </c>
    </row>
    <row r="515">
      <c r="A515" t="inlineStr">
        <is>
          <t>B08W8KS8D3</t>
        </is>
      </c>
      <c r="B515" t="inlineStr">
        <is>
          <t>False</t>
        </is>
      </c>
      <c r="C515" t="inlineStr">
        <is>
          <t>B08W8KS8D3</t>
        </is>
      </c>
      <c r="D515" t="inlineStr">
        <is>
          <t>Amazon</t>
        </is>
      </c>
      <c r="E515" t="inlineStr">
        <is>
          <t>False</t>
        </is>
      </c>
      <c r="F515" t="inlineStr">
        <is>
          <t>Amazon Smart Air Quality Monitor – Know your air, Works with Alexa</t>
        </is>
      </c>
      <c r="G515">
        <v>1</v>
      </c>
      <c r="H515" s="2" t="str">
        <f>HYPERLINK("https://www.amazon.com/dp/B08W8KS8D3", "https://www.amazon.com/dp/B08W8KS8D3")</f>
      </c>
      <c r="I515" s="14">
        <v>5</v>
      </c>
      <c r="J515" s="4">
        <v>4.32</v>
      </c>
      <c r="K515" s="5">
        <v>0.0786</v>
      </c>
      <c r="L515" s="5">
        <v>0.11220000000000001</v>
      </c>
      <c r="M515" t="inlineStr">
        <is>
          <t>True</t>
        </is>
      </c>
      <c r="N515" t="inlineStr">
        <is>
          <t>Amazon Devices &amp; Accessories</t>
        </is>
      </c>
      <c r="O515" s="6">
        <v>87</v>
      </c>
      <c r="P515" s="6">
        <v>0</v>
      </c>
      <c r="Q515" s="6">
        <v>0</v>
      </c>
      <c r="R515" s="6">
        <v>0</v>
      </c>
      <c r="S515" s="7">
        <v>38.5</v>
      </c>
      <c r="T515" s="7">
        <v>54.99</v>
      </c>
      <c r="U515">
        <v>65.86</v>
      </c>
      <c r="V515" s="8">
        <v>0</v>
      </c>
      <c r="W515" s="7">
        <v>0</v>
      </c>
      <c r="X515" s="7">
        <v>0</v>
      </c>
      <c r="Y515">
        <v>0.51</v>
      </c>
      <c r="Z515" s="9">
        <v>1</v>
      </c>
      <c r="AB515">
        <v>0</v>
      </c>
      <c r="AC515">
        <v>0</v>
      </c>
      <c r="AD515">
        <v>2</v>
      </c>
      <c r="AE515">
        <v>1</v>
      </c>
      <c r="AF515">
        <v>1</v>
      </c>
      <c r="AG515">
        <v>1</v>
      </c>
      <c r="AH515">
        <v>1</v>
      </c>
      <c r="AI515" t="inlineStr">
        <is>
          <t>False</t>
        </is>
      </c>
      <c r="AJ515" s="2" t="str">
        <f>HYPERLINK("https://keepa.com/#!product/1-B08W8KS8D3", "https://keepa.com/#!product/1-B08W8KS8D3")</f>
      </c>
      <c r="AK515" s="2" t="str">
        <f>HYPERLINK("https://camelcamelcamel.com/search?sq=B08W8KS8D3", "https://camelcamelcamel.com/search?sq=B08W8KS8D3")</f>
      </c>
      <c r="AL515" t="inlineStr">
        <is>
          <t/>
        </is>
      </c>
      <c r="AM515" s="10">
        <v>45417.11111111111</v>
      </c>
      <c r="AN515" t="inlineStr">
        <is>
          <t>Amazon Smart Air Quality Monitor â€“ Know your air, Works with Alexa</t>
        </is>
      </c>
      <c r="AO515" t="inlineStr">
        <is>
          <t>1500</t>
        </is>
      </c>
      <c r="AP515" t="inlineStr">
        <is>
          <t>TAKE ALL</t>
        </is>
      </c>
    </row>
    <row r="516">
      <c r="A516" t="inlineStr">
        <is>
          <t>B08WJX8XVN</t>
        </is>
      </c>
      <c r="B516" t="inlineStr">
        <is>
          <t>False</t>
        </is>
      </c>
      <c r="C516" t="inlineStr">
        <is>
          <t>B08WJX8XVN</t>
        </is>
      </c>
      <c r="D516" t="inlineStr">
        <is>
          <t>TRUFF</t>
        </is>
      </c>
      <c r="E516" t="inlineStr">
        <is>
          <t>False</t>
        </is>
      </c>
      <c r="F516" t="inlineStr">
        <is>
          <t>TRUFF Black Truffle Oil - Black Truffle Infused Olive Oil - Gourmet Dressing, Seasoning, Marinade, or Drizzle, Non-GMO, Gluten-Free, 5.6 fl.oz</t>
        </is>
      </c>
      <c r="G516">
        <v>1</v>
      </c>
      <c r="H516" s="2" t="str">
        <f>HYPERLINK("https://www.amazon.com/dp/B08WJX8XVN", "https://www.amazon.com/dp/B08WJX8XVN")</f>
      </c>
      <c r="I516" s="3">
        <v>1961</v>
      </c>
      <c r="J516" s="11">
        <v>3.48</v>
      </c>
      <c r="K516" s="5">
        <v>0.17620000000000002</v>
      </c>
      <c r="L516" s="15">
        <v>0.39770000000000005</v>
      </c>
      <c r="M516" t="inlineStr">
        <is>
          <t>True</t>
        </is>
      </c>
      <c r="N516" t="inlineStr">
        <is>
          <t>Grocery &amp; Gourmet Food</t>
        </is>
      </c>
      <c r="O516" s="6">
        <v>4182</v>
      </c>
      <c r="P516" s="6">
        <v>5404</v>
      </c>
      <c r="Q516" s="6">
        <v>2929</v>
      </c>
      <c r="R516" s="6">
        <v>299</v>
      </c>
      <c r="S516" s="7">
        <v>8.75</v>
      </c>
      <c r="T516" s="7">
        <v>19.75</v>
      </c>
      <c r="U516">
        <v>19.52</v>
      </c>
      <c r="V516" s="8">
        <v>0</v>
      </c>
      <c r="W516" s="7">
        <v>0</v>
      </c>
      <c r="X516" s="7">
        <v>0</v>
      </c>
      <c r="Y516">
        <v>0.86</v>
      </c>
      <c r="Z516" s="9">
        <v>0.03</v>
      </c>
      <c r="AB516">
        <v>0</v>
      </c>
      <c r="AC516">
        <v>0</v>
      </c>
      <c r="AD516">
        <v>3</v>
      </c>
      <c r="AE516">
        <v>2</v>
      </c>
      <c r="AF516">
        <v>1</v>
      </c>
      <c r="AG516">
        <v>2</v>
      </c>
      <c r="AH516">
        <v>2</v>
      </c>
      <c r="AI516" t="inlineStr">
        <is>
          <t>False</t>
        </is>
      </c>
      <c r="AJ516" s="2" t="str">
        <f>HYPERLINK("https://keepa.com/#!product/1-B08WJX8XVN", "https://keepa.com/#!product/1-B08WJX8XVN")</f>
      </c>
      <c r="AK516" s="2" t="str">
        <f>HYPERLINK("https://camelcamelcamel.com/search?sq=B08WJX8XVN", "https://camelcamelcamel.com/search?sq=B08WJX8XVN")</f>
      </c>
      <c r="AL516" t="inlineStr">
        <is>
          <t/>
        </is>
      </c>
      <c r="AM516" s="10">
        <v>45417.11111111111</v>
      </c>
      <c r="AN516" t="inlineStr">
        <is>
          <t>TRUFF Black Truffle Oil - Black Truffle Infused Olive Oil - Gourmet Dressing, Seasoning, Marinade, or Drizzle, Non-GMO, Gluten-Free, 5.6 fl.oz</t>
        </is>
      </c>
      <c r="AO516" t="inlineStr">
        <is>
          <t>828</t>
        </is>
      </c>
      <c r="AP516" t="inlineStr">
        <is>
          <t>TAKE ALL</t>
        </is>
      </c>
    </row>
    <row r="517">
      <c r="A517" t="inlineStr">
        <is>
          <t>B08WTQX92H</t>
        </is>
      </c>
      <c r="B517" t="inlineStr">
        <is>
          <t>False</t>
        </is>
      </c>
      <c r="C517" t="inlineStr">
        <is>
          <t>B08WTQX92H</t>
        </is>
      </c>
      <c r="D517" t="inlineStr">
        <is>
          <t>Ninja</t>
        </is>
      </c>
      <c r="E517" t="inlineStr">
        <is>
          <t>False</t>
        </is>
      </c>
      <c r="F517" t="inlineStr">
        <is>
          <t>Ninja C63000 Foodi NeverStick Stainless 8-Inch, 10.25-Inch, &amp; 12-Inch Fry Pan Set, Polished Stainless-Steel Exterior, Nonstick, Durable &amp; Oven Safe to 500°F, Silver</t>
        </is>
      </c>
      <c r="G517">
        <v>1</v>
      </c>
      <c r="H517" s="2" t="str">
        <f>HYPERLINK("https://www.amazon.com/dp/B08WTQX92H", "https://www.amazon.com/dp/B08WTQX92H")</f>
      </c>
      <c r="I517" s="3">
        <v>194</v>
      </c>
      <c r="J517" s="4">
        <v>45.8</v>
      </c>
      <c r="K517" s="5">
        <v>0.27149999999999996</v>
      </c>
      <c r="L517" s="15">
        <v>0.5729</v>
      </c>
      <c r="M517" t="inlineStr">
        <is>
          <t>True</t>
        </is>
      </c>
      <c r="N517" t="inlineStr">
        <is>
          <t>Kitchen &amp; Dining</t>
        </is>
      </c>
      <c r="O517" s="6">
        <v>35844</v>
      </c>
      <c r="P517" s="6">
        <v>62316</v>
      </c>
      <c r="Q517" s="6">
        <v>26174</v>
      </c>
      <c r="R517" s="6">
        <v>137</v>
      </c>
      <c r="S517" s="7">
        <v>79.95</v>
      </c>
      <c r="T517" s="7">
        <v>168.71</v>
      </c>
      <c r="U517">
        <v>143.88</v>
      </c>
      <c r="V517" s="8">
        <v>0</v>
      </c>
      <c r="W517" s="7">
        <v>0</v>
      </c>
      <c r="X517" s="7">
        <v>0</v>
      </c>
      <c r="Y517">
        <v>12.7</v>
      </c>
      <c r="Z517" s="9">
        <v>0.1</v>
      </c>
      <c r="AB517">
        <v>0</v>
      </c>
      <c r="AC517">
        <v>0</v>
      </c>
      <c r="AD517">
        <v>4</v>
      </c>
      <c r="AE517">
        <v>1</v>
      </c>
      <c r="AF517">
        <v>2</v>
      </c>
      <c r="AG517">
        <v>2</v>
      </c>
      <c r="AH517">
        <v>4</v>
      </c>
      <c r="AI517" t="inlineStr">
        <is>
          <t>False</t>
        </is>
      </c>
      <c r="AJ517" s="2" t="str">
        <f>HYPERLINK("https://keepa.com/#!product/1-B08WTQX92H", "https://keepa.com/#!product/1-B08WTQX92H")</f>
      </c>
      <c r="AK517" s="2" t="str">
        <f>HYPERLINK("https://camelcamelcamel.com/search?sq=B08WTQX92H", "https://camelcamelcamel.com/search?sq=B08WTQX92H")</f>
      </c>
      <c r="AL517" t="inlineStr">
        <is>
          <t/>
        </is>
      </c>
      <c r="AM517" s="10">
        <v>45417.11111111111</v>
      </c>
      <c r="AN517" t="inlineStr">
        <is>
          <t>Ninja C63000 Foodi NeverStick Stainless 8-Inch, 10.25-Inch, &amp; 12-Inch Fry Pan Set, Polished Stainless-Steel Exterior, Nonstick, Durable &amp; Oven Safe to 500Â°F, Silver</t>
        </is>
      </c>
      <c r="AO517" t="inlineStr">
        <is>
          <t>285</t>
        </is>
      </c>
      <c r="AP517" t="inlineStr">
        <is>
          <t>TAKE ALL</t>
        </is>
      </c>
    </row>
    <row r="518">
      <c r="A518" t="inlineStr">
        <is>
          <t>B08WV5STJ5</t>
        </is>
      </c>
      <c r="B518" t="inlineStr">
        <is>
          <t>False</t>
        </is>
      </c>
      <c r="C518" t="inlineStr">
        <is>
          <t>B08WV5STJ5</t>
        </is>
      </c>
      <c r="D518" t="inlineStr">
        <is>
          <t>Natural Balance</t>
        </is>
      </c>
      <c r="E518" t="inlineStr">
        <is>
          <t>False</t>
        </is>
      </c>
      <c r="F518" t="inlineStr">
        <is>
          <t>Natural Balance Original Ultra Indoor Chicken &amp; Salmon Meal Cat Food, Dry Food for Indoor Adult Cats, 15-lb. Bag(Pack of 1)</t>
        </is>
      </c>
      <c r="G518">
        <v>1</v>
      </c>
      <c r="H518" s="2" t="str">
        <f>HYPERLINK("https://www.amazon.com/dp/B08WV5STJ5", "https://www.amazon.com/dp/B08WV5STJ5")</f>
      </c>
      <c r="I518" s="3">
        <v>484</v>
      </c>
      <c r="J518" s="11">
        <v>2.13</v>
      </c>
      <c r="K518" s="5">
        <v>0.0426</v>
      </c>
      <c r="L518" s="5">
        <v>0.0861</v>
      </c>
      <c r="M518" t="inlineStr">
        <is>
          <t>True</t>
        </is>
      </c>
      <c r="N518" t="inlineStr">
        <is>
          <t>Pet Supplies</t>
        </is>
      </c>
      <c r="O518" s="6">
        <v>13621</v>
      </c>
      <c r="P518" s="6">
        <v>10072</v>
      </c>
      <c r="Q518" s="6">
        <v>5286</v>
      </c>
      <c r="R518" s="6">
        <v>202</v>
      </c>
      <c r="S518" s="7">
        <v>24.75</v>
      </c>
      <c r="T518" s="7">
        <v>49.98</v>
      </c>
      <c r="U518">
        <v>47.79</v>
      </c>
      <c r="V518" s="8">
        <v>0</v>
      </c>
      <c r="W518" s="7">
        <v>0</v>
      </c>
      <c r="X518" s="7">
        <v>0</v>
      </c>
      <c r="Y518">
        <v>15.55</v>
      </c>
      <c r="Z518" s="9">
        <v>0.86</v>
      </c>
      <c r="AB518">
        <v>0</v>
      </c>
      <c r="AC518">
        <v>0</v>
      </c>
      <c r="AD518">
        <v>4</v>
      </c>
      <c r="AE518">
        <v>1</v>
      </c>
      <c r="AF518">
        <v>3</v>
      </c>
      <c r="AG518">
        <v>1</v>
      </c>
      <c r="AH518">
        <v>3</v>
      </c>
      <c r="AI518" t="inlineStr">
        <is>
          <t>False</t>
        </is>
      </c>
      <c r="AJ518" s="2" t="str">
        <f>HYPERLINK("https://keepa.com/#!product/1-B08WV5STJ5", "https://keepa.com/#!product/1-B08WV5STJ5")</f>
      </c>
      <c r="AK518" s="2" t="str">
        <f>HYPERLINK("https://camelcamelcamel.com/search?sq=B08WV5STJ5", "https://camelcamelcamel.com/search?sq=B08WV5STJ5")</f>
      </c>
      <c r="AL518" t="inlineStr">
        <is>
          <t/>
        </is>
      </c>
      <c r="AM518" s="10">
        <v>45417.11111111111</v>
      </c>
      <c r="AN518" t="inlineStr">
        <is>
          <t>Natural Balance Original Ultra Indoor Chicken &amp; Salmon Meal Cat Food, Dry Food for Indoor Adult Cats, 15-lb. Bag(Pack of 1)</t>
        </is>
      </c>
      <c r="AO518" t="inlineStr">
        <is>
          <t>167</t>
        </is>
      </c>
      <c r="AP518" t="inlineStr">
        <is>
          <t>TAKE ALL</t>
        </is>
      </c>
    </row>
    <row r="519">
      <c r="A519" t="inlineStr">
        <is>
          <t>B08X4K8ZPY</t>
        </is>
      </c>
      <c r="B519" t="inlineStr">
        <is>
          <t>False</t>
        </is>
      </c>
      <c r="C519" t="inlineStr">
        <is>
          <t>B08X4K8ZPY</t>
        </is>
      </c>
      <c r="D519" t="inlineStr">
        <is>
          <t>Living Enrichment</t>
        </is>
      </c>
      <c r="E519" t="inlineStr">
        <is>
          <t>False</t>
        </is>
      </c>
      <c r="F519" t="inlineStr">
        <is>
          <t>Living Enrichment Mini Projector, 1080P HD Supported Portable Video Projector, 7000 Lumen 50,000 Hours Led Lamp, 200'' Projection Display, Compatible with HDMI VGA USB DVD for Home Entertainment White</t>
        </is>
      </c>
      <c r="G519">
        <v>1</v>
      </c>
      <c r="H519" s="2" t="str">
        <f>HYPERLINK("https://www.amazon.com/dp/B08X4K8ZPY", "https://www.amazon.com/dp/B08X4K8ZPY")</f>
      </c>
      <c r="I519" s="17">
        <v>12</v>
      </c>
      <c r="J519" s="12">
        <v>-2.55</v>
      </c>
      <c r="K519" s="13">
        <v>-0.0554</v>
      </c>
      <c r="L519" s="13">
        <v>-0.0689</v>
      </c>
      <c r="M519" t="inlineStr">
        <is>
          <t>False</t>
        </is>
      </c>
      <c r="N519" t="inlineStr">
        <is>
          <t>Video Projectors</t>
        </is>
      </c>
      <c r="O519" s="6">
        <v>1693</v>
      </c>
      <c r="P519" s="6">
        <v>0</v>
      </c>
      <c r="Q519" s="6">
        <v>0</v>
      </c>
      <c r="R519" s="6">
        <v>0</v>
      </c>
      <c r="S519" s="7">
        <v>37</v>
      </c>
      <c r="T519" s="7">
        <v>45.99</v>
      </c>
      <c r="U519">
        <v>53.05</v>
      </c>
      <c r="V519" s="8">
        <v>0</v>
      </c>
      <c r="W519" s="7">
        <v>0</v>
      </c>
      <c r="X519" s="7">
        <v>0</v>
      </c>
      <c r="Y519">
        <v>4.85</v>
      </c>
      <c r="Z519" s="9">
        <v>1</v>
      </c>
      <c r="AB519">
        <v>0</v>
      </c>
      <c r="AC519">
        <v>0</v>
      </c>
      <c r="AD519">
        <v>3</v>
      </c>
      <c r="AE519">
        <v>2</v>
      </c>
      <c r="AF519">
        <v>0</v>
      </c>
      <c r="AG519">
        <v>1</v>
      </c>
      <c r="AH519">
        <v>4</v>
      </c>
      <c r="AI519" t="inlineStr">
        <is>
          <t>False</t>
        </is>
      </c>
      <c r="AJ519" s="2" t="str">
        <f>HYPERLINK("https://keepa.com/#!product/1-B08X4K8ZPY", "https://keepa.com/#!product/1-B08X4K8ZPY")</f>
      </c>
      <c r="AK519" s="2" t="str">
        <f>HYPERLINK("https://camelcamelcamel.com/search?sq=B08X4K8ZPY", "https://camelcamelcamel.com/search?sq=B08X4K8ZPY")</f>
      </c>
      <c r="AL519" t="inlineStr">
        <is>
          <t/>
        </is>
      </c>
      <c r="AM519" s="10">
        <v>45417.11111111111</v>
      </c>
      <c r="AN519" t="inlineStr">
        <is>
          <t>Living Enrichment Mini Projector, 1080P HD Supported Portable Video Projector, 7000 Lumen 50,000 Hours Led Lamp, 200'' Projection Display, Compatible with HDMI VGA USB DVD for Home Entertainment White</t>
        </is>
      </c>
      <c r="AO519" t="inlineStr">
        <is>
          <t>200</t>
        </is>
      </c>
      <c r="AP519" t="inlineStr">
        <is>
          <t>100</t>
        </is>
      </c>
    </row>
    <row r="520">
      <c r="A520" t="inlineStr">
        <is>
          <t>B08X4YMTPM</t>
        </is>
      </c>
      <c r="B520" t="inlineStr">
        <is>
          <t>False</t>
        </is>
      </c>
      <c r="C520" t="inlineStr">
        <is>
          <t>B08X4YMTPM</t>
        </is>
      </c>
      <c r="D520" t="inlineStr">
        <is>
          <t>JBL</t>
        </is>
      </c>
      <c r="E520" t="inlineStr">
        <is>
          <t>False</t>
        </is>
      </c>
      <c r="F520" t="inlineStr">
        <is>
          <t>JBL Charge 5 Portable Wireless Bluetooth Speaker with IP67 Waterproof and USB Charge Out - Black, small</t>
        </is>
      </c>
      <c r="G520">
        <v>1</v>
      </c>
      <c r="H520" s="2" t="str">
        <f>HYPERLINK("https://www.amazon.com/dp/B08X4YMTPM", "https://www.amazon.com/dp/B08X4YMTPM")</f>
      </c>
      <c r="I520" s="3">
        <v>7751</v>
      </c>
      <c r="J520" s="4">
        <v>6.39</v>
      </c>
      <c r="K520" s="5">
        <v>0.045700000000000005</v>
      </c>
      <c r="L520" s="5">
        <v>0.0556</v>
      </c>
      <c r="M520" t="inlineStr">
        <is>
          <t>True</t>
        </is>
      </c>
      <c r="N520" t="inlineStr">
        <is>
          <t>Electronics</t>
        </is>
      </c>
      <c r="O520" s="6">
        <v>298</v>
      </c>
      <c r="P520" s="6">
        <v>964</v>
      </c>
      <c r="Q520" s="6">
        <v>115</v>
      </c>
      <c r="R520" s="6">
        <v>320</v>
      </c>
      <c r="S520" s="7">
        <v>115</v>
      </c>
      <c r="T520" s="7">
        <v>139.95</v>
      </c>
      <c r="U520">
        <v>161.24</v>
      </c>
      <c r="V520" s="8">
        <v>0</v>
      </c>
      <c r="W520" s="7">
        <v>0</v>
      </c>
      <c r="X520" s="7">
        <v>0</v>
      </c>
      <c r="Y520">
        <v>3.37</v>
      </c>
      <c r="Z520" s="9">
        <v>1</v>
      </c>
      <c r="AB520">
        <v>0</v>
      </c>
      <c r="AC520">
        <v>0</v>
      </c>
      <c r="AD520">
        <v>32</v>
      </c>
      <c r="AE520">
        <v>5</v>
      </c>
      <c r="AF520">
        <v>9</v>
      </c>
      <c r="AG520">
        <v>5</v>
      </c>
      <c r="AH520">
        <v>16</v>
      </c>
      <c r="AI520" t="inlineStr">
        <is>
          <t>True</t>
        </is>
      </c>
      <c r="AJ520" s="2" t="str">
        <f>HYPERLINK("https://keepa.com/#!product/1-B08X4YMTPM", "https://keepa.com/#!product/1-B08X4YMTPM")</f>
      </c>
      <c r="AK520" s="2" t="str">
        <f>HYPERLINK("https://camelcamelcamel.com/search?sq=B08X4YMTPM", "https://camelcamelcamel.com/search?sq=B08X4YMTPM")</f>
      </c>
      <c r="AL520" t="inlineStr">
        <is>
          <t/>
        </is>
      </c>
      <c r="AM520" s="10">
        <v>45417.11111111111</v>
      </c>
      <c r="AN520" t="inlineStr">
        <is>
          <t>JBL Charge 5 Portable Wireless Bluetooth Speaker with IP67 Waterproof and USB Charge Out - Black, small</t>
        </is>
      </c>
      <c r="AO520" t="inlineStr">
        <is>
          <t>500</t>
        </is>
      </c>
      <c r="AP520" t="inlineStr">
        <is>
          <t>TAKE ALL</t>
        </is>
      </c>
    </row>
    <row r="521">
      <c r="A521" t="inlineStr">
        <is>
          <t>B08XN8559R</t>
        </is>
      </c>
      <c r="B521" t="inlineStr">
        <is>
          <t>False</t>
        </is>
      </c>
      <c r="C521" t="inlineStr">
        <is>
          <t>B08XN8559R</t>
        </is>
      </c>
      <c r="D521" t="inlineStr">
        <is>
          <t>DEWALT</t>
        </is>
      </c>
      <c r="E521" t="inlineStr">
        <is>
          <t>True</t>
        </is>
      </c>
      <c r="F521" t="inlineStr">
        <is>
          <t>DEWALT 20V/12V MAX Laser Level, 3 x 360, Green, Bare Tool Only (DCLE34030GB)</t>
        </is>
      </c>
      <c r="G521">
        <v>1</v>
      </c>
      <c r="H521" s="2" t="str">
        <f>HYPERLINK("https://www.amazon.com/dp/B08XN8559R", "https://www.amazon.com/dp/B08XN8559R")</f>
      </c>
      <c r="I521" s="3">
        <v>620</v>
      </c>
      <c r="J521" s="4">
        <v>83.74</v>
      </c>
      <c r="K521" s="5">
        <v>0.2263</v>
      </c>
      <c r="L521" s="15">
        <v>0.38060000000000005</v>
      </c>
      <c r="M521" t="inlineStr">
        <is>
          <t>True</t>
        </is>
      </c>
      <c r="N521" t="inlineStr">
        <is>
          <t>Tools &amp; Home Improvement</t>
        </is>
      </c>
      <c r="O521" s="6">
        <v>15685</v>
      </c>
      <c r="P521" s="6">
        <v>11152</v>
      </c>
      <c r="Q521" s="6">
        <v>4723</v>
      </c>
      <c r="R521" s="6">
        <v>207</v>
      </c>
      <c r="S521" s="7">
        <v>220</v>
      </c>
      <c r="T521" s="7">
        <v>369.99</v>
      </c>
      <c r="U521">
        <v>430.26</v>
      </c>
      <c r="V521" s="8">
        <v>0</v>
      </c>
      <c r="W521" s="7">
        <v>0</v>
      </c>
      <c r="X521" s="7">
        <v>0</v>
      </c>
      <c r="Y521">
        <v>0.13</v>
      </c>
      <c r="Z521" s="9">
        <v>1</v>
      </c>
      <c r="AB521">
        <v>0</v>
      </c>
      <c r="AC521">
        <v>0</v>
      </c>
      <c r="AD521">
        <v>16</v>
      </c>
      <c r="AE521">
        <v>7</v>
      </c>
      <c r="AF521">
        <v>6</v>
      </c>
      <c r="AG521">
        <v>2</v>
      </c>
      <c r="AH521">
        <v>5</v>
      </c>
      <c r="AI521" t="inlineStr">
        <is>
          <t>True</t>
        </is>
      </c>
      <c r="AJ521" s="2" t="str">
        <f>HYPERLINK("https://keepa.com/#!product/1-B08XN8559R", "https://keepa.com/#!product/1-B08XN8559R")</f>
      </c>
      <c r="AK521" s="2" t="str">
        <f>HYPERLINK("https://camelcamelcamel.com/search?sq=B08XN8559R", "https://camelcamelcamel.com/search?sq=B08XN8559R")</f>
      </c>
      <c r="AL521" t="inlineStr">
        <is>
          <t/>
        </is>
      </c>
      <c r="AM521" s="10">
        <v>45417.11111111111</v>
      </c>
      <c r="AN521" t="inlineStr">
        <is>
          <t>DEWALT 20V/12V MAX Laser Level, 3 x 360, Green, Bare Tool Only (DCLE34030GB)</t>
        </is>
      </c>
      <c r="AO521" t="inlineStr">
        <is>
          <t>300</t>
        </is>
      </c>
      <c r="AP521" t="inlineStr">
        <is>
          <t>TAKE ALL</t>
        </is>
      </c>
    </row>
    <row r="522">
      <c r="A522" t="inlineStr">
        <is>
          <t>B08XTZVLSZ</t>
        </is>
      </c>
      <c r="B522" t="inlineStr">
        <is>
          <t>False</t>
        </is>
      </c>
      <c r="C522" t="inlineStr">
        <is>
          <t>B08XTZVLSZ</t>
        </is>
      </c>
      <c r="D522" t="inlineStr">
        <is>
          <t>Oline</t>
        </is>
      </c>
      <c r="E522" t="inlineStr">
        <is>
          <t>False</t>
        </is>
      </c>
      <c r="F522" t="inlineStr">
        <is>
          <t>Oline ErgoPro Ergonomic Office Chair, Rolling Desk Chair with 4D Adjustable Armrest, 3D Lumbar Support, Blade Wheels, Mesh Computer Gaming Executive Swivel Chairs Chair (Black)</t>
        </is>
      </c>
      <c r="G522">
        <v>1</v>
      </c>
      <c r="H522" s="2" t="str">
        <f>HYPERLINK("https://www.amazon.com/dp/B08XTZVLSZ", "https://www.amazon.com/dp/B08XTZVLSZ")</f>
      </c>
      <c r="I522" s="3">
        <v>613</v>
      </c>
      <c r="J522" s="4">
        <v>45.82</v>
      </c>
      <c r="K522" s="5">
        <v>0.191</v>
      </c>
      <c r="L522" s="15">
        <v>0.4204</v>
      </c>
      <c r="M522" t="inlineStr">
        <is>
          <t>True</t>
        </is>
      </c>
      <c r="N522" t="inlineStr">
        <is>
          <t>Home &amp; Kitchen</t>
        </is>
      </c>
      <c r="O522" s="6">
        <v>44272</v>
      </c>
      <c r="P522" s="6">
        <v>36049</v>
      </c>
      <c r="Q522" s="6">
        <v>21172</v>
      </c>
      <c r="R522" s="6">
        <v>196</v>
      </c>
      <c r="S522" s="7">
        <v>109</v>
      </c>
      <c r="T522" s="7">
        <v>239.95</v>
      </c>
      <c r="U522">
        <v>234.65</v>
      </c>
      <c r="V522" s="8">
        <v>0</v>
      </c>
      <c r="W522" s="7">
        <v>0</v>
      </c>
      <c r="X522" s="7">
        <v>0</v>
      </c>
      <c r="Y522">
        <v>51</v>
      </c>
      <c r="Z522" s="9">
        <v>0.05</v>
      </c>
      <c r="AB522">
        <v>0</v>
      </c>
      <c r="AC522">
        <v>0</v>
      </c>
      <c r="AD522">
        <v>3</v>
      </c>
      <c r="AE522">
        <v>1</v>
      </c>
      <c r="AF522">
        <v>2</v>
      </c>
      <c r="AG522">
        <v>1</v>
      </c>
      <c r="AH522">
        <v>5</v>
      </c>
      <c r="AI522" t="inlineStr">
        <is>
          <t>False</t>
        </is>
      </c>
      <c r="AJ522" s="2" t="str">
        <f>HYPERLINK("https://keepa.com/#!product/1-B08XTZVLSZ", "https://keepa.com/#!product/1-B08XTZVLSZ")</f>
      </c>
      <c r="AK522" s="2" t="str">
        <f>HYPERLINK("https://camelcamelcamel.com/search?sq=B08XTZVLSZ", "https://camelcamelcamel.com/search?sq=B08XTZVLSZ")</f>
      </c>
      <c r="AL522" t="inlineStr">
        <is>
          <t/>
        </is>
      </c>
      <c r="AM522" s="10">
        <v>45417.11111111111</v>
      </c>
      <c r="AN522" t="inlineStr">
        <is>
          <t>Oline ErgoPro Ergonomic Office Chair, Rolling Desk Chair with 4D Adjustable Armrest, 3D Lumbar Support, Blade Wheels, Mesh Computer Gaming Executive Swivel Chairs Chair (Black)</t>
        </is>
      </c>
      <c r="AO522" t="inlineStr">
        <is>
          <t>237</t>
        </is>
      </c>
      <c r="AP522" t="inlineStr">
        <is>
          <t>TAKE ALL</t>
        </is>
      </c>
    </row>
    <row r="523">
      <c r="A523" t="inlineStr">
        <is>
          <t>B08YB8Z7FN</t>
        </is>
      </c>
      <c r="B523" t="inlineStr">
        <is>
          <t>False</t>
        </is>
      </c>
      <c r="C523" t="inlineStr">
        <is>
          <t>B08YB8Z7FN</t>
        </is>
      </c>
      <c r="D523" t="inlineStr">
        <is>
          <t>REDCON1</t>
        </is>
      </c>
      <c r="E523" t="inlineStr">
        <is>
          <t>False</t>
        </is>
      </c>
      <c r="F523" t="inlineStr">
        <is>
          <t>REDCON1 MRE Protein Bar, Crunchy Peanut Butter Cup - Contains MCT Oil + 20g of Whole Food Protein - Easily Digestible, Macro Balanced Low Sugar Meal Replacement Bar (12 Bars)</t>
        </is>
      </c>
      <c r="G523">
        <v>1</v>
      </c>
      <c r="H523" s="2" t="str">
        <f>HYPERLINK("https://www.amazon.com/dp/B08YB8Z7FN", "https://www.amazon.com/dp/B08YB8Z7FN")</f>
      </c>
      <c r="I523" s="3">
        <v>2490</v>
      </c>
      <c r="J523" s="4">
        <v>5.16</v>
      </c>
      <c r="K523" s="5">
        <v>0.1721</v>
      </c>
      <c r="L523" s="15">
        <v>0.35590000000000005</v>
      </c>
      <c r="M523" t="inlineStr">
        <is>
          <t>True</t>
        </is>
      </c>
      <c r="N523" t="inlineStr">
        <is>
          <t>Health &amp; Household</t>
        </is>
      </c>
      <c r="O523" s="6">
        <v>10480</v>
      </c>
      <c r="P523" s="6">
        <v>13730</v>
      </c>
      <c r="Q523" s="6">
        <v>8374</v>
      </c>
      <c r="R523" s="6">
        <v>181</v>
      </c>
      <c r="S523" s="7">
        <v>14.5</v>
      </c>
      <c r="T523" s="7">
        <v>29.99</v>
      </c>
      <c r="U523">
        <v>29.98</v>
      </c>
      <c r="V523" s="8">
        <v>0</v>
      </c>
      <c r="W523" s="7">
        <v>0</v>
      </c>
      <c r="X523" s="7">
        <v>0</v>
      </c>
      <c r="Y523">
        <v>1.98</v>
      </c>
      <c r="Z523" s="8">
        <v>0</v>
      </c>
      <c r="AB523">
        <v>0</v>
      </c>
      <c r="AC523">
        <v>0</v>
      </c>
      <c r="AD523">
        <v>4</v>
      </c>
      <c r="AE523">
        <v>3</v>
      </c>
      <c r="AF523">
        <v>1</v>
      </c>
      <c r="AG523">
        <v>2</v>
      </c>
      <c r="AH523">
        <v>15</v>
      </c>
      <c r="AI523" t="inlineStr">
        <is>
          <t>False</t>
        </is>
      </c>
      <c r="AJ523" s="2" t="str">
        <f>HYPERLINK("https://keepa.com/#!product/1-B08YB8Z7FN", "https://keepa.com/#!product/1-B08YB8Z7FN")</f>
      </c>
      <c r="AK523" s="2" t="str">
        <f>HYPERLINK("https://camelcamelcamel.com/search?sq=B08YB8Z7FN", "https://camelcamelcamel.com/search?sq=B08YB8Z7FN")</f>
      </c>
      <c r="AL523" t="inlineStr">
        <is>
          <t/>
        </is>
      </c>
      <c r="AM523" s="10">
        <v>45417.11111111111</v>
      </c>
      <c r="AN523" t="inlineStr">
        <is>
          <t>REDCON1 MRE Protein Bar, Crunchy Peanut Butter Cup - Contains MCT Oil + 20g of Whole Food Protein - Easily Digestible, Macro Balanced Low Sugar Meal Replacement Bar (12 Bars)</t>
        </is>
      </c>
      <c r="AO523" t="inlineStr">
        <is>
          <t>1000</t>
        </is>
      </c>
      <c r="AP523" t="inlineStr">
        <is>
          <t>TAKE ALL</t>
        </is>
      </c>
    </row>
    <row r="524">
      <c r="A524" t="inlineStr">
        <is>
          <t>B08Z5Z8YD5</t>
        </is>
      </c>
      <c r="B524" t="inlineStr">
        <is>
          <t>False</t>
        </is>
      </c>
      <c r="C524" t="inlineStr">
        <is>
          <t>B08Z5Z8YD5</t>
        </is>
      </c>
      <c r="D524" t="inlineStr">
        <is>
          <t>Weber</t>
        </is>
      </c>
      <c r="E524" t="inlineStr">
        <is>
          <t>True</t>
        </is>
      </c>
      <c r="F524" t="inlineStr">
        <is>
          <t>Weber Carne Asada Seasoning, 5.25 Ounce Shaker (Pack of 6)</t>
        </is>
      </c>
      <c r="G524">
        <v>1</v>
      </c>
      <c r="H524" s="2" t="str">
        <f>HYPERLINK("https://www.amazon.com/dp/B08Z5Z8YD5", "https://www.amazon.com/dp/B08Z5Z8YD5")</f>
      </c>
      <c r="I524" s="3">
        <v>405</v>
      </c>
      <c r="J524" s="4">
        <v>4.88</v>
      </c>
      <c r="K524" s="5">
        <v>0.1294</v>
      </c>
      <c r="L524" s="5">
        <v>0.2324</v>
      </c>
      <c r="M524" t="inlineStr">
        <is>
          <t>True</t>
        </is>
      </c>
      <c r="N524" t="inlineStr">
        <is>
          <t>Grocery &amp; Gourmet Food</t>
        </is>
      </c>
      <c r="O524" s="6">
        <v>19691</v>
      </c>
      <c r="P524" s="6">
        <v>23514</v>
      </c>
      <c r="Q524" s="6">
        <v>15162</v>
      </c>
      <c r="R524" s="6">
        <v>76</v>
      </c>
      <c r="S524" s="7">
        <v>21</v>
      </c>
      <c r="T524" s="7">
        <v>37.7</v>
      </c>
      <c r="U524">
        <v>38.7</v>
      </c>
      <c r="V524" s="8">
        <v>0</v>
      </c>
      <c r="W524" s="7">
        <v>0</v>
      </c>
      <c r="X524" s="7">
        <v>0</v>
      </c>
      <c r="Y524">
        <v>2.54</v>
      </c>
      <c r="Z524" s="9">
        <v>1</v>
      </c>
      <c r="AB524">
        <v>0</v>
      </c>
      <c r="AC524">
        <v>0</v>
      </c>
      <c r="AD524">
        <v>3</v>
      </c>
      <c r="AE524">
        <v>2</v>
      </c>
      <c r="AF524">
        <v>1</v>
      </c>
      <c r="AG524">
        <v>2</v>
      </c>
      <c r="AH524">
        <v>5</v>
      </c>
      <c r="AI524" t="inlineStr">
        <is>
          <t>False</t>
        </is>
      </c>
      <c r="AJ524" s="2" t="str">
        <f>HYPERLINK("https://keepa.com/#!product/1-B08Z5Z8YD5", "https://keepa.com/#!product/1-B08Z5Z8YD5")</f>
      </c>
      <c r="AK524" s="2" t="str">
        <f>HYPERLINK("https://camelcamelcamel.com/search?sq=B08Z5Z8YD5", "https://camelcamelcamel.com/search?sq=B08Z5Z8YD5")</f>
      </c>
      <c r="AL524" t="inlineStr">
        <is>
          <t/>
        </is>
      </c>
      <c r="AM524" s="10">
        <v>45417.11111111111</v>
      </c>
      <c r="AN524" t="inlineStr">
        <is>
          <t>Weber Carne Asada Seasoning, 5.25 Ounce Shaker (Pack of 6)</t>
        </is>
      </c>
      <c r="AO524" t="inlineStr">
        <is>
          <t>660</t>
        </is>
      </c>
      <c r="AP524" t="inlineStr">
        <is>
          <t>330</t>
        </is>
      </c>
    </row>
    <row r="525">
      <c r="A525" t="inlineStr">
        <is>
          <t>B08ZYNSZZT</t>
        </is>
      </c>
      <c r="B525" t="inlineStr">
        <is>
          <t>False</t>
        </is>
      </c>
      <c r="C525" t="inlineStr">
        <is>
          <t>B08ZYNSZZT</t>
        </is>
      </c>
      <c r="D525" t="inlineStr">
        <is>
          <t>Liquid I.V.</t>
        </is>
      </c>
      <c r="E525" t="inlineStr">
        <is>
          <t>False</t>
        </is>
      </c>
      <c r="F525" t="inlineStr">
        <is>
          <t>Liquid I.V. Hydration Multiplier - Watermelon - Hydration Powder Packets | Electrolyte Drink Mix | Easy Open Single-Serving Stick | Non-GMO | 16 Sticks</t>
        </is>
      </c>
      <c r="G525">
        <v>16</v>
      </c>
      <c r="H525" s="2" t="str">
        <f>HYPERLINK("https://www.amazon.com/dp/B08ZYNSZZT", "https://www.amazon.com/dp/B08ZYNSZZT")</f>
      </c>
      <c r="I525" s="3">
        <v>128330</v>
      </c>
      <c r="J525" s="12">
        <v>-208.23</v>
      </c>
      <c r="K525" s="13">
        <v>-8.3325</v>
      </c>
      <c r="L525" s="13">
        <v>-0.9296</v>
      </c>
      <c r="M525" t="inlineStr">
        <is>
          <t>True</t>
        </is>
      </c>
      <c r="N525" t="inlineStr">
        <is>
          <t>Health &amp; Household</t>
        </is>
      </c>
      <c r="O525" s="6">
        <v>7</v>
      </c>
      <c r="P525" s="6">
        <v>6</v>
      </c>
      <c r="Q525" s="6">
        <v>1</v>
      </c>
      <c r="R525" s="6">
        <v>72</v>
      </c>
      <c r="S525" s="7">
        <v>14</v>
      </c>
      <c r="T525" s="7">
        <v>24.99</v>
      </c>
      <c r="U525">
        <v>24.46</v>
      </c>
      <c r="V525" s="8">
        <v>0</v>
      </c>
      <c r="W525" s="7">
        <v>0</v>
      </c>
      <c r="X525" s="7">
        <v>0</v>
      </c>
      <c r="Y525">
        <v>0.64</v>
      </c>
      <c r="Z525" s="8">
        <v>0</v>
      </c>
      <c r="AB525">
        <v>0</v>
      </c>
      <c r="AC525">
        <v>0</v>
      </c>
      <c r="AD525">
        <v>3</v>
      </c>
      <c r="AE525">
        <v>1</v>
      </c>
      <c r="AF525">
        <v>2</v>
      </c>
      <c r="AG525">
        <v>1</v>
      </c>
      <c r="AH525">
        <v>67</v>
      </c>
      <c r="AI525" t="inlineStr">
        <is>
          <t>False</t>
        </is>
      </c>
      <c r="AJ525" s="2" t="str">
        <f>HYPERLINK("https://keepa.com/#!product/1-B08ZYNSZZT", "https://keepa.com/#!product/1-B08ZYNSZZT")</f>
      </c>
      <c r="AK525" s="2" t="str">
        <f>HYPERLINK("https://camelcamelcamel.com/search?sq=B08ZYNSZZT", "https://camelcamelcamel.com/search?sq=B08ZYNSZZT")</f>
      </c>
      <c r="AL525" t="inlineStr">
        <is>
          <t/>
        </is>
      </c>
      <c r="AM525" s="10">
        <v>45417.11111111111</v>
      </c>
      <c r="AN525" t="inlineStr">
        <is>
          <t>Liquid I.V. Hydration Multiplier - Watermelon - Hydration Powder Packets | Electrolyte Drink Mix | Easy Open Single-Serving Stick | Non-GMO | 16 Sticks</t>
        </is>
      </c>
      <c r="AO525" t="inlineStr">
        <is>
          <t>3000</t>
        </is>
      </c>
      <c r="AP525" t="inlineStr">
        <is>
          <t>1500</t>
        </is>
      </c>
    </row>
    <row r="526">
      <c r="A526" t="inlineStr">
        <is>
          <t>B0916FKTK6</t>
        </is>
      </c>
      <c r="B526" t="inlineStr">
        <is>
          <t>False</t>
        </is>
      </c>
      <c r="C526" t="inlineStr">
        <is>
          <t>B0916FKTK6</t>
        </is>
      </c>
      <c r="D526" t="inlineStr">
        <is>
          <t>BIOSTEEL</t>
        </is>
      </c>
      <c r="E526" t="inlineStr">
        <is>
          <t>False</t>
        </is>
      </c>
      <c r="F526" t="inlineStr">
        <is>
          <t>BioSteel Zero Sugar Hydration Mix, Great Tasting Hydration with 5 Essential Electrolytes, Rainbow Twist Flavor, 45 Servings per Tub</t>
        </is>
      </c>
      <c r="G526">
        <v>1</v>
      </c>
      <c r="H526" s="2" t="str">
        <f>HYPERLINK("https://www.amazon.com/dp/B0916FKTK6", "https://www.amazon.com/dp/B0916FKTK6")</f>
      </c>
      <c r="I526" s="3">
        <v>2531</v>
      </c>
      <c r="J526" s="12">
        <v>-17.47</v>
      </c>
      <c r="K526" s="13">
        <v>-0.9214</v>
      </c>
      <c r="L526" s="13">
        <v>-0.6024</v>
      </c>
      <c r="M526" t="inlineStr">
        <is>
          <t>True</t>
        </is>
      </c>
      <c r="N526" t="inlineStr">
        <is>
          <t>Health &amp; Household</t>
        </is>
      </c>
      <c r="O526" s="6">
        <v>10325</v>
      </c>
      <c r="P526" s="6">
        <v>10206</v>
      </c>
      <c r="Q526" s="6">
        <v>7978</v>
      </c>
      <c r="R526" s="6">
        <v>230</v>
      </c>
      <c r="S526" s="7">
        <v>29</v>
      </c>
      <c r="T526" s="7">
        <v>18.96</v>
      </c>
      <c r="U526">
        <v>23.96</v>
      </c>
      <c r="V526" s="8">
        <v>0</v>
      </c>
      <c r="W526" s="7">
        <v>0</v>
      </c>
      <c r="X526" s="7">
        <v>0</v>
      </c>
      <c r="Y526">
        <v>0.86</v>
      </c>
      <c r="Z526" s="8">
        <v>0</v>
      </c>
      <c r="AB526">
        <v>0</v>
      </c>
      <c r="AC526">
        <v>0</v>
      </c>
      <c r="AD526">
        <v>34</v>
      </c>
      <c r="AE526">
        <v>26</v>
      </c>
      <c r="AF526">
        <v>8</v>
      </c>
      <c r="AG526">
        <v>4</v>
      </c>
      <c r="AH526">
        <v>9</v>
      </c>
      <c r="AI526" t="inlineStr">
        <is>
          <t>False</t>
        </is>
      </c>
      <c r="AJ526" s="2" t="str">
        <f>HYPERLINK("https://keepa.com/#!product/1-B0916FKTK6", "https://keepa.com/#!product/1-B0916FKTK6")</f>
      </c>
      <c r="AK526" s="2" t="str">
        <f>HYPERLINK("https://camelcamelcamel.com/search?sq=B0916FKTK6", "https://camelcamelcamel.com/search?sq=B0916FKTK6")</f>
      </c>
      <c r="AL526" t="inlineStr">
        <is>
          <t/>
        </is>
      </c>
      <c r="AM526" s="10">
        <v>45417.11111111111</v>
      </c>
      <c r="AN526" t="inlineStr">
        <is>
          <t>BioSteel Zero Sugar Hydration Mix, Great Tasting Hydration with 5 Essential Electrolytes, Rainbow Twist Flavor, 45 Servings per Tub</t>
        </is>
      </c>
      <c r="AO526" t="inlineStr">
        <is>
          <t>2000</t>
        </is>
      </c>
      <c r="AP526" t="inlineStr">
        <is>
          <t>240</t>
        </is>
      </c>
    </row>
    <row r="527">
      <c r="A527" t="inlineStr">
        <is>
          <t>B091F4DYQN</t>
        </is>
      </c>
      <c r="B527" t="inlineStr">
        <is>
          <t>False</t>
        </is>
      </c>
      <c r="C527" t="inlineStr">
        <is>
          <t>B091F4DYQN</t>
        </is>
      </c>
      <c r="D527" t="inlineStr">
        <is>
          <t>Exploding Kittens LLC</t>
        </is>
      </c>
      <c r="E527" t="inlineStr">
        <is>
          <t>False</t>
        </is>
      </c>
      <c r="F527" t="inlineStr">
        <is>
          <t>Exploding Minions by Exploding Kittens - A Russian Roulette Card Game, Easy Family-Friendly Party Games - for Kids, Teens &amp; Adults - 2-5 Players</t>
        </is>
      </c>
      <c r="G527">
        <v>1</v>
      </c>
      <c r="H527" s="2" t="str">
        <f>HYPERLINK("https://www.amazon.com/dp/B091F4DYQN", "https://www.amazon.com/dp/B091F4DYQN")</f>
      </c>
      <c r="I527" s="3">
        <v>7427</v>
      </c>
      <c r="J527" s="12">
        <v>-1.74</v>
      </c>
      <c r="K527" s="13">
        <v>-0.1392</v>
      </c>
      <c r="L527" s="13">
        <v>-0.2245</v>
      </c>
      <c r="M527" t="inlineStr">
        <is>
          <t>True</t>
        </is>
      </c>
      <c r="N527" t="inlineStr">
        <is>
          <t>Toys &amp; Games</t>
        </is>
      </c>
      <c r="O527" s="6">
        <v>488</v>
      </c>
      <c r="P527" s="6">
        <v>370</v>
      </c>
      <c r="Q527" s="6">
        <v>220</v>
      </c>
      <c r="R527" s="6">
        <v>312</v>
      </c>
      <c r="S527" s="7">
        <v>7.75</v>
      </c>
      <c r="T527" s="7">
        <v>12.5</v>
      </c>
      <c r="U527">
        <v>15.13</v>
      </c>
      <c r="V527" s="8">
        <v>0</v>
      </c>
      <c r="W527" s="7">
        <v>0</v>
      </c>
      <c r="X527" s="7">
        <v>0</v>
      </c>
      <c r="Y527">
        <v>0.9</v>
      </c>
      <c r="Z527" s="9">
        <v>1</v>
      </c>
      <c r="AB527">
        <v>0</v>
      </c>
      <c r="AC527">
        <v>0</v>
      </c>
      <c r="AD527">
        <v>19</v>
      </c>
      <c r="AE527">
        <v>12</v>
      </c>
      <c r="AF527">
        <v>6</v>
      </c>
      <c r="AG527">
        <v>8</v>
      </c>
      <c r="AH527">
        <v>6</v>
      </c>
      <c r="AI527" t="inlineStr">
        <is>
          <t>False</t>
        </is>
      </c>
      <c r="AJ527" s="2" t="str">
        <f>HYPERLINK("https://keepa.com/#!product/1-B091F4DYQN", "https://keepa.com/#!product/1-B091F4DYQN")</f>
      </c>
      <c r="AK527" s="2" t="str">
        <f>HYPERLINK("https://camelcamelcamel.com/search?sq=B091F4DYQN", "https://camelcamelcamel.com/search?sq=B091F4DYQN")</f>
      </c>
      <c r="AL527" t="inlineStr">
        <is>
          <t/>
        </is>
      </c>
      <c r="AM527" s="10">
        <v>45417.11111111111</v>
      </c>
      <c r="AN527" t="inlineStr">
        <is>
          <t>Exploding Minions by Exploding Kittens - A Russian Roulette</t>
        </is>
      </c>
      <c r="AO527" t="inlineStr">
        <is>
          <t>6000</t>
        </is>
      </c>
      <c r="AP527" t="inlineStr">
        <is>
          <t>2000</t>
        </is>
      </c>
    </row>
    <row r="528">
      <c r="A528" t="inlineStr">
        <is>
          <t>B092DG4FDK</t>
        </is>
      </c>
      <c r="B528" t="inlineStr">
        <is>
          <t>False</t>
        </is>
      </c>
      <c r="C528" t="inlineStr">
        <is>
          <t>B092DG4FDK</t>
        </is>
      </c>
      <c r="D528" t="inlineStr">
        <is>
          <t>Karite</t>
        </is>
      </c>
      <c r="E528" t="inlineStr">
        <is>
          <t>False</t>
        </is>
      </c>
      <c r="F528" t="inlineStr">
        <is>
          <t>KARITE Paraffin Wax Refills, 10 Pack Lavender Scented Paraffin Wax Beads Blocks for Paraffin Bath, Paraffin Wax Machine Refills for Hand Feet Dry Skin,Rrelieves muscle fatigue, Hydration and nourish</t>
        </is>
      </c>
      <c r="G528">
        <v>1</v>
      </c>
      <c r="H528" s="2" t="str">
        <f>HYPERLINK("https://www.amazon.com/dp/B092DG4FDK", "https://www.amazon.com/dp/B092DG4FDK")</f>
      </c>
      <c r="I528" s="3">
        <v>2466</v>
      </c>
      <c r="J528" s="4">
        <v>6.04</v>
      </c>
      <c r="K528" s="5">
        <v>0.1777</v>
      </c>
      <c r="L528" s="15">
        <v>0.3961</v>
      </c>
      <c r="M528" t="inlineStr">
        <is>
          <t>True</t>
        </is>
      </c>
      <c r="N528" t="inlineStr">
        <is>
          <t>Beauty &amp; Personal Care</t>
        </is>
      </c>
      <c r="O528" s="6">
        <v>7647</v>
      </c>
      <c r="P528" s="6">
        <v>8734</v>
      </c>
      <c r="Q528" s="6">
        <v>5172</v>
      </c>
      <c r="R528" s="6">
        <v>210</v>
      </c>
      <c r="S528" s="7">
        <v>15.25</v>
      </c>
      <c r="T528" s="7">
        <v>33.99</v>
      </c>
      <c r="U528">
        <v>33.99</v>
      </c>
      <c r="V528" s="8">
        <v>0</v>
      </c>
      <c r="W528" s="7">
        <v>0</v>
      </c>
      <c r="X528" s="7">
        <v>0</v>
      </c>
      <c r="Y528">
        <v>4.59</v>
      </c>
      <c r="Z528" s="8">
        <v>0</v>
      </c>
      <c r="AB528">
        <v>0</v>
      </c>
      <c r="AC528">
        <v>0</v>
      </c>
      <c r="AD528">
        <v>1</v>
      </c>
      <c r="AE528">
        <v>1</v>
      </c>
      <c r="AF528">
        <v>0</v>
      </c>
      <c r="AG528">
        <v>1</v>
      </c>
      <c r="AH528">
        <v>10</v>
      </c>
      <c r="AI528" t="inlineStr">
        <is>
          <t>False</t>
        </is>
      </c>
      <c r="AJ528" s="2" t="str">
        <f>HYPERLINK("https://keepa.com/#!product/1-B092DG4FDK", "https://keepa.com/#!product/1-B092DG4FDK")</f>
      </c>
      <c r="AK528" s="2" t="str">
        <f>HYPERLINK("https://camelcamelcamel.com/search?sq=B092DG4FDK", "https://camelcamelcamel.com/search?sq=B092DG4FDK")</f>
      </c>
      <c r="AL528" t="inlineStr">
        <is>
          <t/>
        </is>
      </c>
      <c r="AM528" s="10">
        <v>45417.11111111111</v>
      </c>
      <c r="AN528" t="inlineStr">
        <is>
          <t>KARITE Paraffin Wax Refills, 10 Pack Lavender Scented Paraffin Wax Beads Blocks for Paraffin Bath, Paraffin Wax Machine Refills for Hand Feet Dry Skin,Rrelieves muscle fatigue, Hydration and nourish</t>
        </is>
      </c>
      <c r="AO528" t="inlineStr">
        <is>
          <t>640</t>
        </is>
      </c>
      <c r="AP528" t="inlineStr">
        <is>
          <t>TAKE ALL</t>
        </is>
      </c>
    </row>
    <row r="529">
      <c r="A529" t="inlineStr">
        <is>
          <t>B092GLR85B</t>
        </is>
      </c>
      <c r="B529" t="inlineStr">
        <is>
          <t>False</t>
        </is>
      </c>
      <c r="C529" t="inlineStr">
        <is>
          <t>B092GLR85B</t>
        </is>
      </c>
      <c r="D529" t="inlineStr">
        <is>
          <t>Gibson Soho Lounge</t>
        </is>
      </c>
      <c r="E529" t="inlineStr">
        <is>
          <t>False</t>
        </is>
      </c>
      <c r="F529" t="inlineStr">
        <is>
          <t>Gibson Soho Lounge Square Reactive Glaze Stoneware Dinnerware Set, Service for 4 (16pc), Grey/White</t>
        </is>
      </c>
      <c r="G529">
        <v>1</v>
      </c>
      <c r="H529" s="2" t="str">
        <f>HYPERLINK("https://www.amazon.com/dp/B092GLR85B", "https://www.amazon.com/dp/B092GLR85B")</f>
      </c>
      <c r="I529" s="3">
        <v>893</v>
      </c>
      <c r="J529" s="4">
        <v>17.68</v>
      </c>
      <c r="K529" s="5">
        <v>0.23379999999999998</v>
      </c>
      <c r="L529" s="15">
        <v>0.6429</v>
      </c>
      <c r="M529" t="inlineStr">
        <is>
          <t>True</t>
        </is>
      </c>
      <c r="N529" t="inlineStr">
        <is>
          <t>Kitchen &amp; Dining</t>
        </is>
      </c>
      <c r="O529" s="6">
        <v>8226</v>
      </c>
      <c r="P529" s="6">
        <v>10822</v>
      </c>
      <c r="Q529" s="6">
        <v>2737</v>
      </c>
      <c r="R529" s="6">
        <v>100</v>
      </c>
      <c r="S529" s="7">
        <v>27.5</v>
      </c>
      <c r="T529" s="7">
        <v>75.63</v>
      </c>
      <c r="U529">
        <v>71.05</v>
      </c>
      <c r="V529" s="8">
        <v>0</v>
      </c>
      <c r="W529" s="7">
        <v>0</v>
      </c>
      <c r="X529" s="7">
        <v>0</v>
      </c>
      <c r="Y529">
        <v>26.67</v>
      </c>
      <c r="Z529" s="9">
        <v>1</v>
      </c>
      <c r="AB529">
        <v>0</v>
      </c>
      <c r="AC529">
        <v>0</v>
      </c>
      <c r="AD529">
        <v>4</v>
      </c>
      <c r="AE529">
        <v>1</v>
      </c>
      <c r="AF529">
        <v>0</v>
      </c>
      <c r="AG529">
        <v>1</v>
      </c>
      <c r="AH529">
        <v>10</v>
      </c>
      <c r="AI529" t="inlineStr">
        <is>
          <t>False</t>
        </is>
      </c>
      <c r="AJ529" s="2" t="str">
        <f>HYPERLINK("https://keepa.com/#!product/1-B092GLR85B", "https://keepa.com/#!product/1-B092GLR85B")</f>
      </c>
      <c r="AK529" s="2" t="str">
        <f>HYPERLINK("https://camelcamelcamel.com/search?sq=B092GLR85B", "https://camelcamelcamel.com/search?sq=B092GLR85B")</f>
      </c>
      <c r="AL529" t="inlineStr">
        <is>
          <t/>
        </is>
      </c>
      <c r="AM529" s="10">
        <v>45417.11111111111</v>
      </c>
      <c r="AN529" t="inlineStr">
        <is>
          <t>Gibson Soho Lounge Square Reactive Glaze Stoneware Dinnerware Set, Service for 4 (16pc), Grey/White</t>
        </is>
      </c>
      <c r="AO529" t="inlineStr">
        <is>
          <t>200</t>
        </is>
      </c>
      <c r="AP529" t="inlineStr">
        <is>
          <t>TAKE ALL</t>
        </is>
      </c>
    </row>
    <row r="530">
      <c r="A530" t="inlineStr">
        <is>
          <t>B0936GLRVN</t>
        </is>
      </c>
      <c r="B530" t="inlineStr">
        <is>
          <t>False</t>
        </is>
      </c>
      <c r="C530" t="inlineStr">
        <is>
          <t>B0936GLRVN</t>
        </is>
      </c>
      <c r="D530" t="inlineStr">
        <is>
          <t>Starbucks</t>
        </is>
      </c>
      <c r="E530" t="inlineStr">
        <is>
          <t>False</t>
        </is>
      </c>
      <c r="F530" t="inlineStr">
        <is>
          <t>Starbucks Italian Dark Roast Ground Coffee, 18 Ounce (Pack of 1)</t>
        </is>
      </c>
      <c r="G530">
        <v>1</v>
      </c>
      <c r="H530" s="2" t="str">
        <f>HYPERLINK("https://www.amazon.com/dp/B0936GLRVN", "https://www.amazon.com/dp/B0936GLRVN")</f>
      </c>
      <c r="I530" s="3">
        <v>14057</v>
      </c>
      <c r="J530" s="12">
        <v>-0.58</v>
      </c>
      <c r="K530" s="13">
        <v>-0.04650000000000001</v>
      </c>
      <c r="L530" s="13">
        <v>-0.08289999999999999</v>
      </c>
      <c r="M530" t="inlineStr">
        <is>
          <t>True</t>
        </is>
      </c>
      <c r="N530" t="inlineStr">
        <is>
          <t>Grocery &amp; Gourmet Food</t>
        </is>
      </c>
      <c r="O530" s="6">
        <v>81</v>
      </c>
      <c r="P530" s="6">
        <v>61</v>
      </c>
      <c r="Q530" s="6">
        <v>19</v>
      </c>
      <c r="R530" s="6">
        <v>169</v>
      </c>
      <c r="S530" s="7">
        <v>7</v>
      </c>
      <c r="T530" s="7">
        <v>12.48</v>
      </c>
      <c r="U530">
        <v>12.47</v>
      </c>
      <c r="V530" s="8">
        <v>0</v>
      </c>
      <c r="W530" s="7">
        <v>0</v>
      </c>
      <c r="X530" s="7">
        <v>0</v>
      </c>
      <c r="Y530">
        <v>1.17</v>
      </c>
      <c r="Z530" s="9">
        <v>1</v>
      </c>
      <c r="AB530">
        <v>0</v>
      </c>
      <c r="AC530">
        <v>0</v>
      </c>
      <c r="AD530">
        <v>9</v>
      </c>
      <c r="AE530">
        <v>1</v>
      </c>
      <c r="AF530">
        <v>8</v>
      </c>
      <c r="AG530">
        <v>1</v>
      </c>
      <c r="AH530">
        <v>40</v>
      </c>
      <c r="AI530" t="inlineStr">
        <is>
          <t>False</t>
        </is>
      </c>
      <c r="AJ530" s="2" t="str">
        <f>HYPERLINK("https://keepa.com/#!product/1-B0936GLRVN", "https://keepa.com/#!product/1-B0936GLRVN")</f>
      </c>
      <c r="AK530" s="2" t="str">
        <f>HYPERLINK("https://camelcamelcamel.com/search?sq=B0936GLRVN", "https://camelcamelcamel.com/search?sq=B0936GLRVN")</f>
      </c>
      <c r="AL530" t="inlineStr">
        <is>
          <t/>
        </is>
      </c>
      <c r="AM530" s="10">
        <v>45417.11111111111</v>
      </c>
      <c r="AN530" t="inlineStr">
        <is>
          <t>Starbucks Italian Dark Roast Ground Coffee, 18 Ounce (Pack of 1)</t>
        </is>
      </c>
      <c r="AO530" t="inlineStr">
        <is>
          <t>1458</t>
        </is>
      </c>
      <c r="AP530" t="inlineStr">
        <is>
          <t>TAKE ALL</t>
        </is>
      </c>
    </row>
    <row r="531">
      <c r="A531" t="inlineStr">
        <is>
          <t>B093WD7JBF</t>
        </is>
      </c>
      <c r="B531" t="inlineStr">
        <is>
          <t>False</t>
        </is>
      </c>
      <c r="C531" t="inlineStr">
        <is>
          <t>B093WD7JBF</t>
        </is>
      </c>
      <c r="D531" t="inlineStr">
        <is>
          <t>EMS</t>
        </is>
      </c>
      <c r="E531" t="inlineStr">
        <is>
          <t>False</t>
        </is>
      </c>
      <c r="F531" t="inlineStr">
        <is>
          <t>Natural Vitality Calm Magnesium Citrate Powder, 20 Ounces</t>
        </is>
      </c>
      <c r="G531">
        <v>1</v>
      </c>
      <c r="H531" s="2" t="str">
        <f>HYPERLINK("https://www.amazon.com/dp/B093WD7JBF", "https://www.amazon.com/dp/B093WD7JBF")</f>
      </c>
      <c r="I531" s="3">
        <v>1957</v>
      </c>
      <c r="J531" s="11">
        <v>3.85</v>
      </c>
      <c r="K531" s="5">
        <v>0.1192</v>
      </c>
      <c r="L531" s="5">
        <v>0.2139</v>
      </c>
      <c r="M531" t="inlineStr">
        <is>
          <t>True</t>
        </is>
      </c>
      <c r="N531" t="inlineStr">
        <is>
          <t>Health &amp; Household</t>
        </is>
      </c>
      <c r="O531" s="6">
        <v>12980</v>
      </c>
      <c r="P531" s="6">
        <v>11739</v>
      </c>
      <c r="Q531" s="6">
        <v>7356</v>
      </c>
      <c r="R531" s="6">
        <v>189</v>
      </c>
      <c r="S531" s="7">
        <v>18</v>
      </c>
      <c r="T531" s="7">
        <v>32.29</v>
      </c>
      <c r="U531">
        <v>34.05</v>
      </c>
      <c r="V531" s="8">
        <v>0</v>
      </c>
      <c r="W531" s="7">
        <v>0</v>
      </c>
      <c r="X531" s="7">
        <v>0</v>
      </c>
      <c r="Y531">
        <v>1.57</v>
      </c>
      <c r="Z531" s="8">
        <v>0</v>
      </c>
      <c r="AB531">
        <v>0</v>
      </c>
      <c r="AC531">
        <v>0</v>
      </c>
      <c r="AD531">
        <v>64</v>
      </c>
      <c r="AE531">
        <v>23</v>
      </c>
      <c r="AF531">
        <v>41</v>
      </c>
      <c r="AG531">
        <v>4</v>
      </c>
      <c r="AH531">
        <v>0</v>
      </c>
      <c r="AI531" t="inlineStr">
        <is>
          <t>False</t>
        </is>
      </c>
      <c r="AJ531" s="2" t="str">
        <f>HYPERLINK("https://keepa.com/#!product/1-B093WD7JBF", "https://keepa.com/#!product/1-B093WD7JBF")</f>
      </c>
      <c r="AK531" s="2" t="str">
        <f>HYPERLINK("https://camelcamelcamel.com/search?sq=B093WD7JBF", "https://camelcamelcamel.com/search?sq=B093WD7JBF")</f>
      </c>
      <c r="AL531" t="inlineStr">
        <is>
          <t/>
        </is>
      </c>
      <c r="AM531" s="10">
        <v>45417.11111111111</v>
      </c>
      <c r="AN531" t="inlineStr">
        <is>
          <t>Natural Vitality Calm Magnesium Citrate Powder, 20 Ounces</t>
        </is>
      </c>
      <c r="AO531" t="inlineStr">
        <is>
          <t>1110</t>
        </is>
      </c>
      <c r="AP531" t="inlineStr">
        <is>
          <t>TAKE ALL</t>
        </is>
      </c>
    </row>
    <row r="532">
      <c r="A532" t="inlineStr">
        <is>
          <t>B0942FTXRT</t>
        </is>
      </c>
      <c r="B532" t="inlineStr">
        <is>
          <t>False</t>
        </is>
      </c>
      <c r="C532" t="inlineStr">
        <is>
          <t>B0942FTXRT</t>
        </is>
      </c>
      <c r="D532" t="inlineStr">
        <is>
          <t>Orgain</t>
        </is>
      </c>
      <c r="E532" t="inlineStr">
        <is>
          <t>False</t>
        </is>
      </c>
      <c r="F532" t="inlineStr">
        <is>
          <t>Orgain Hydrolyzed Collagen Powder + 50 Organic Superfoods, 20g Grass Fed Collagen Peptides - Hair, Skin, Nail, &amp; Joint Support Supplement, Non-GMO, Type 1 and 3 Collagen - 1lb (Packaging May Vary)</t>
        </is>
      </c>
      <c r="G532">
        <v>1</v>
      </c>
      <c r="H532" s="2" t="str">
        <f>HYPERLINK("https://www.amazon.com/dp/B0942FTXRT", "https://www.amazon.com/dp/B0942FTXRT")</f>
      </c>
      <c r="I532" s="3">
        <v>5162</v>
      </c>
      <c r="J532" s="4">
        <v>4.67</v>
      </c>
      <c r="K532" s="5">
        <v>0.1557</v>
      </c>
      <c r="L532" s="5">
        <v>0.2965</v>
      </c>
      <c r="M532" t="inlineStr">
        <is>
          <t>True</t>
        </is>
      </c>
      <c r="N532" t="inlineStr">
        <is>
          <t>Health &amp; Household</t>
        </is>
      </c>
      <c r="O532" s="6">
        <v>5131</v>
      </c>
      <c r="P532" s="6">
        <v>4594</v>
      </c>
      <c r="Q532" s="6">
        <v>2988</v>
      </c>
      <c r="R532" s="6">
        <v>298</v>
      </c>
      <c r="S532" s="7">
        <v>15.75</v>
      </c>
      <c r="T532" s="7">
        <v>29.99</v>
      </c>
      <c r="U532">
        <v>30.38</v>
      </c>
      <c r="V532" s="8">
        <v>0</v>
      </c>
      <c r="W532" s="7">
        <v>0</v>
      </c>
      <c r="X532" s="7">
        <v>0</v>
      </c>
      <c r="Y532">
        <v>1.23</v>
      </c>
      <c r="Z532" s="9">
        <v>1</v>
      </c>
      <c r="AB532">
        <v>0</v>
      </c>
      <c r="AC532">
        <v>0</v>
      </c>
      <c r="AD532">
        <v>16</v>
      </c>
      <c r="AE532">
        <v>5</v>
      </c>
      <c r="AF532">
        <v>11</v>
      </c>
      <c r="AG532">
        <v>4</v>
      </c>
      <c r="AH532">
        <v>1</v>
      </c>
      <c r="AI532" t="inlineStr">
        <is>
          <t>False</t>
        </is>
      </c>
      <c r="AJ532" s="2" t="str">
        <f>HYPERLINK("https://keepa.com/#!product/1-B0942FTXRT", "https://keepa.com/#!product/1-B0942FTXRT")</f>
      </c>
      <c r="AK532" s="2" t="str">
        <f>HYPERLINK("https://camelcamelcamel.com/search?sq=B0942FTXRT", "https://camelcamelcamel.com/search?sq=B0942FTXRT")</f>
      </c>
      <c r="AL532" t="inlineStr">
        <is>
          <t/>
        </is>
      </c>
      <c r="AM532" s="10">
        <v>45417.11111111111</v>
      </c>
      <c r="AN532" t="inlineStr">
        <is>
          <t>Orgain Hydrolyzed Collagen Powder + 50 Organic Superfoods, 20g Grass Fed Collagen Peptides - Hair, Skin, Nail, &amp; Joint Support Supplement, Non-GMO, Type 1 and 3 Collagen - 1lb (Packaging May Vary)</t>
        </is>
      </c>
      <c r="AO532" t="inlineStr">
        <is>
          <t>720</t>
        </is>
      </c>
      <c r="AP532" t="inlineStr">
        <is>
          <t>360</t>
        </is>
      </c>
    </row>
    <row r="533">
      <c r="A533" t="inlineStr">
        <is>
          <t>B094JYKPJW</t>
        </is>
      </c>
      <c r="B533" t="inlineStr">
        <is>
          <t>False</t>
        </is>
      </c>
      <c r="C533" t="inlineStr">
        <is>
          <t>B094JYKPJW</t>
        </is>
      </c>
      <c r="D533" t="inlineStr">
        <is>
          <t>THERAWORX PROTECT</t>
        </is>
      </c>
      <c r="E533" t="inlineStr">
        <is>
          <t>False</t>
        </is>
      </c>
      <c r="F533" t="inlineStr">
        <is>
          <t>Theraworx Protect 60-Count Wipes for Daily Urinary Health and Hygiene Care</t>
        </is>
      </c>
      <c r="G533">
        <v>1</v>
      </c>
      <c r="H533" s="2" t="str">
        <f>HYPERLINK("https://www.amazon.com/dp/B094JYKPJW", "https://www.amazon.com/dp/B094JYKPJW")</f>
      </c>
      <c r="I533" s="3">
        <v>2639</v>
      </c>
      <c r="J533" s="11">
        <v>1.26</v>
      </c>
      <c r="K533" s="5">
        <v>0.0764</v>
      </c>
      <c r="L533" s="5">
        <v>0.1527</v>
      </c>
      <c r="M533" t="inlineStr">
        <is>
          <t>True</t>
        </is>
      </c>
      <c r="N533" t="inlineStr">
        <is>
          <t>Health &amp; Household</t>
        </is>
      </c>
      <c r="O533" s="6">
        <v>9963</v>
      </c>
      <c r="P533" s="6">
        <v>9685</v>
      </c>
      <c r="Q533" s="6">
        <v>8007</v>
      </c>
      <c r="R533" s="6">
        <v>191</v>
      </c>
      <c r="S533" s="7">
        <v>8.25</v>
      </c>
      <c r="T533" s="7">
        <v>16.49</v>
      </c>
      <c r="U533">
        <v>16.59</v>
      </c>
      <c r="V533" s="8">
        <v>0</v>
      </c>
      <c r="W533" s="7">
        <v>0</v>
      </c>
      <c r="X533" s="7">
        <v>0</v>
      </c>
      <c r="Y533">
        <v>0.77</v>
      </c>
      <c r="Z533" s="8">
        <v>0</v>
      </c>
      <c r="AB533">
        <v>0</v>
      </c>
      <c r="AC533">
        <v>0</v>
      </c>
      <c r="AD533">
        <v>3</v>
      </c>
      <c r="AE533">
        <v>3</v>
      </c>
      <c r="AF533">
        <v>0</v>
      </c>
      <c r="AG533">
        <v>1</v>
      </c>
      <c r="AH533">
        <v>2</v>
      </c>
      <c r="AI533" t="inlineStr">
        <is>
          <t>False</t>
        </is>
      </c>
      <c r="AJ533" s="2" t="str">
        <f>HYPERLINK("https://keepa.com/#!product/1-B094JYKPJW", "https://keepa.com/#!product/1-B094JYKPJW")</f>
      </c>
      <c r="AK533" s="2" t="str">
        <f>HYPERLINK("https://camelcamelcamel.com/search?sq=B094JYKPJW", "https://camelcamelcamel.com/search?sq=B094JYKPJW")</f>
      </c>
      <c r="AL533" t="inlineStr">
        <is>
          <t/>
        </is>
      </c>
      <c r="AM533" s="10">
        <v>45417.11111111111</v>
      </c>
      <c r="AN533" t="inlineStr">
        <is>
          <t>Theraworx Protect 60-Count Wipes for Daily Urinary Health and Hygiene Care</t>
        </is>
      </c>
      <c r="AO533" t="inlineStr">
        <is>
          <t>14000</t>
        </is>
      </c>
      <c r="AP533" t="inlineStr">
        <is>
          <t>TAKE ALL</t>
        </is>
      </c>
    </row>
    <row r="534">
      <c r="A534" t="inlineStr">
        <is>
          <t>B094YJPJ9T</t>
        </is>
      </c>
      <c r="B534" t="inlineStr">
        <is>
          <t>False</t>
        </is>
      </c>
      <c r="C534" t="inlineStr">
        <is>
          <t>B094YJPJ9T</t>
        </is>
      </c>
      <c r="D534" t="inlineStr">
        <is>
          <t>Case Logic</t>
        </is>
      </c>
      <c r="E534" t="inlineStr">
        <is>
          <t>False</t>
        </is>
      </c>
      <c r="F534" t="inlineStr">
        <is>
          <t>Case Logic Huxton 15.6" Laptop Attache, Fits Devices Up to 15.6", Polyester, 16.3 x 2.8 x 12.4, Black</t>
        </is>
      </c>
      <c r="G534">
        <v>1</v>
      </c>
      <c r="H534" s="2" t="str">
        <f>HYPERLINK("https://www.amazon.com/dp/B094YJPJ9T", "https://www.amazon.com/dp/B094YJPJ9T")</f>
      </c>
      <c r="I534" s="14">
        <v>5</v>
      </c>
      <c r="J534" s="4">
        <v>8.05</v>
      </c>
      <c r="K534" s="5">
        <v>0.19949999999999998</v>
      </c>
      <c r="L534" s="15">
        <v>0.4411</v>
      </c>
      <c r="M534" t="inlineStr">
        <is>
          <t>False</t>
        </is>
      </c>
      <c r="N534" t="inlineStr">
        <is>
          <t>Laptop Briefcases</t>
        </is>
      </c>
      <c r="O534" s="6">
        <v>2639</v>
      </c>
      <c r="P534" s="6">
        <v>0</v>
      </c>
      <c r="Q534" s="6">
        <v>0</v>
      </c>
      <c r="R534" s="6">
        <v>0</v>
      </c>
      <c r="S534" s="7">
        <v>18.25</v>
      </c>
      <c r="T534" s="7">
        <v>40.35</v>
      </c>
      <c r="U534">
        <v>41.08</v>
      </c>
      <c r="V534" s="8">
        <v>0</v>
      </c>
      <c r="W534" s="7">
        <v>0</v>
      </c>
      <c r="X534" s="7">
        <v>0</v>
      </c>
      <c r="Y534">
        <v>1.26</v>
      </c>
      <c r="Z534" s="8">
        <v>0</v>
      </c>
      <c r="AB534">
        <v>0</v>
      </c>
      <c r="AC534">
        <v>0</v>
      </c>
      <c r="AD534">
        <v>39</v>
      </c>
      <c r="AE534">
        <v>0</v>
      </c>
      <c r="AF534">
        <v>39</v>
      </c>
      <c r="AG534">
        <v>2</v>
      </c>
      <c r="AH534">
        <v>0</v>
      </c>
      <c r="AI534" t="inlineStr">
        <is>
          <t>False</t>
        </is>
      </c>
      <c r="AJ534" s="2" t="str">
        <f>HYPERLINK("https://keepa.com/#!product/1-B094YJPJ9T", "https://keepa.com/#!product/1-B094YJPJ9T")</f>
      </c>
      <c r="AK534" s="2" t="str">
        <f>HYPERLINK("https://camelcamelcamel.com/search?sq=B094YJPJ9T", "https://camelcamelcamel.com/search?sq=B094YJPJ9T")</f>
      </c>
      <c r="AL534" t="inlineStr">
        <is>
          <t/>
        </is>
      </c>
      <c r="AM534" s="10">
        <v>45417.11111111111</v>
      </c>
      <c r="AN534" t="inlineStr">
        <is>
          <t>Case Logic Huxton 15.6" Laptop Attache, Fits Devices Up to 15.6", Polyester, 16.3 x 2.8 x 12.4, Black</t>
        </is>
      </c>
      <c r="AO534" t="inlineStr">
        <is>
          <t>1000</t>
        </is>
      </c>
      <c r="AP534" t="inlineStr">
        <is>
          <t>TAKE ALL</t>
        </is>
      </c>
    </row>
    <row r="535">
      <c r="A535" t="inlineStr">
        <is>
          <t>B095FQPF8C</t>
        </is>
      </c>
      <c r="B535" t="inlineStr">
        <is>
          <t>False</t>
        </is>
      </c>
      <c r="C535" t="inlineStr">
        <is>
          <t>B095FQPF8C</t>
        </is>
      </c>
      <c r="D535" t="inlineStr">
        <is>
          <t>Kodiak Cakes</t>
        </is>
      </c>
      <c r="E535" t="inlineStr">
        <is>
          <t>False</t>
        </is>
      </c>
      <c r="F535" t="inlineStr">
        <is>
          <t>Kodiak Instant Oatmeal Packets, Blueberries &amp; Cream, High Protein, 100% Whole Grains, 6 boxes with 6 packets (36 packets)</t>
        </is>
      </c>
      <c r="G535">
        <v>1</v>
      </c>
      <c r="H535" s="2" t="str">
        <f>HYPERLINK("https://www.amazon.com/dp/B095FQPF8C", "https://www.amazon.com/dp/B095FQPF8C")</f>
      </c>
      <c r="I535" s="3">
        <v>2581</v>
      </c>
      <c r="J535" s="12">
        <v>-0.7</v>
      </c>
      <c r="K535" s="13">
        <v>-0.0179</v>
      </c>
      <c r="L535" s="13">
        <v>-0.0304</v>
      </c>
      <c r="M535" t="inlineStr">
        <is>
          <t>True</t>
        </is>
      </c>
      <c r="N535" t="inlineStr">
        <is>
          <t>Grocery &amp; Gourmet Food</t>
        </is>
      </c>
      <c r="O535" s="6">
        <v>2941</v>
      </c>
      <c r="P535" s="6">
        <v>2834</v>
      </c>
      <c r="Q535" s="6">
        <v>1971</v>
      </c>
      <c r="R535" s="6">
        <v>170</v>
      </c>
      <c r="S535" s="7">
        <v>23</v>
      </c>
      <c r="T535" s="7">
        <v>39</v>
      </c>
      <c r="U535">
        <v>44.67</v>
      </c>
      <c r="V535" s="8">
        <v>0</v>
      </c>
      <c r="W535" s="7">
        <v>0</v>
      </c>
      <c r="X535" s="7">
        <v>0</v>
      </c>
      <c r="Y535">
        <v>5.2</v>
      </c>
      <c r="Z535" s="9">
        <v>1</v>
      </c>
      <c r="AB535">
        <v>0</v>
      </c>
      <c r="AC535">
        <v>0</v>
      </c>
      <c r="AD535">
        <v>3</v>
      </c>
      <c r="AE535">
        <v>1</v>
      </c>
      <c r="AF535">
        <v>2</v>
      </c>
      <c r="AG535">
        <v>1</v>
      </c>
      <c r="AH535">
        <v>9</v>
      </c>
      <c r="AI535" t="inlineStr">
        <is>
          <t>False</t>
        </is>
      </c>
      <c r="AJ535" s="2" t="str">
        <f>HYPERLINK("https://keepa.com/#!product/1-B095FQPF8C", "https://keepa.com/#!product/1-B095FQPF8C")</f>
      </c>
      <c r="AK535" s="2" t="str">
        <f>HYPERLINK("https://camelcamelcamel.com/search?sq=B095FQPF8C", "https://camelcamelcamel.com/search?sq=B095FQPF8C")</f>
      </c>
      <c r="AL535" t="inlineStr">
        <is>
          <t/>
        </is>
      </c>
      <c r="AM535" s="10">
        <v>45417.11111111111</v>
      </c>
      <c r="AN535" t="inlineStr">
        <is>
          <t>Kodiak Instant Oatmeal Packets, Blueberries &amp; Cream, High Protein, 100% Whole Grains, 6 boxes with 6 packets (36 packets)</t>
        </is>
      </c>
      <c r="AO535" t="inlineStr">
        <is>
          <t>306</t>
        </is>
      </c>
      <c r="AP535" t="inlineStr">
        <is>
          <t>TAKE ALL</t>
        </is>
      </c>
    </row>
    <row r="536">
      <c r="A536" t="inlineStr">
        <is>
          <t>B095FTF7TF</t>
        </is>
      </c>
      <c r="B536" t="inlineStr">
        <is>
          <t>False</t>
        </is>
      </c>
      <c r="C536" t="inlineStr">
        <is>
          <t>B095FTF7TF</t>
        </is>
      </c>
      <c r="D536" t="inlineStr">
        <is>
          <t>Crest</t>
        </is>
      </c>
      <c r="E536" t="inlineStr">
        <is>
          <t>False</t>
        </is>
      </c>
      <c r="F536" t="inlineStr">
        <is>
          <t>Crest Aligner Care Deep Cleaning Anti-Bacterial Tablets for Aligners, Retainers, Mouthguards, 60-Count, Pack of 3</t>
        </is>
      </c>
      <c r="G536">
        <v>1</v>
      </c>
      <c r="H536" s="2" t="str">
        <f>HYPERLINK("https://www.amazon.com/dp/B095FTF7TF", "https://www.amazon.com/dp/B095FTF7TF")</f>
      </c>
      <c r="I536" s="3">
        <v>476</v>
      </c>
      <c r="J536" s="11">
        <v>2.55</v>
      </c>
      <c r="K536" s="5">
        <v>0.08789999999999999</v>
      </c>
      <c r="L536" s="5">
        <v>0.1457</v>
      </c>
      <c r="M536" t="inlineStr">
        <is>
          <t>True</t>
        </is>
      </c>
      <c r="N536" t="inlineStr">
        <is>
          <t>Health &amp; Household</t>
        </is>
      </c>
      <c r="O536" s="6">
        <v>38712</v>
      </c>
      <c r="P536" s="6">
        <v>48554</v>
      </c>
      <c r="Q536" s="6">
        <v>28875</v>
      </c>
      <c r="R536" s="6">
        <v>159</v>
      </c>
      <c r="S536" s="7">
        <v>17.5</v>
      </c>
      <c r="T536" s="7">
        <v>29</v>
      </c>
      <c r="U536">
        <v>29.16</v>
      </c>
      <c r="V536" s="8">
        <v>0</v>
      </c>
      <c r="W536" s="7">
        <v>0</v>
      </c>
      <c r="X536" s="7">
        <v>0</v>
      </c>
      <c r="Y536">
        <v>0.99</v>
      </c>
      <c r="Z536" s="8">
        <v>0</v>
      </c>
      <c r="AB536">
        <v>0</v>
      </c>
      <c r="AC536">
        <v>0</v>
      </c>
      <c r="AD536">
        <v>18</v>
      </c>
      <c r="AE536">
        <v>15</v>
      </c>
      <c r="AF536">
        <v>3</v>
      </c>
      <c r="AG536">
        <v>10</v>
      </c>
      <c r="AH536">
        <v>2</v>
      </c>
      <c r="AI536" t="inlineStr">
        <is>
          <t>False</t>
        </is>
      </c>
      <c r="AJ536" s="2" t="str">
        <f>HYPERLINK("https://keepa.com/#!product/1-B095FTF7TF", "https://keepa.com/#!product/1-B095FTF7TF")</f>
      </c>
      <c r="AK536" s="2" t="str">
        <f>HYPERLINK("https://camelcamelcamel.com/search?sq=B095FTF7TF", "https://camelcamelcamel.com/search?sq=B095FTF7TF")</f>
      </c>
      <c r="AL536" t="inlineStr">
        <is>
          <t/>
        </is>
      </c>
      <c r="AM536" s="10">
        <v>45417.11111111111</v>
      </c>
      <c r="AN536" t="inlineStr">
        <is>
          <t>Crest Offer</t>
        </is>
      </c>
      <c r="AO536" t="inlineStr">
        <is>
          <t>600</t>
        </is>
      </c>
      <c r="AP536" t="inlineStr">
        <is>
          <t>TAKE ALL</t>
        </is>
      </c>
    </row>
    <row r="537">
      <c r="A537" t="inlineStr">
        <is>
          <t>B095HZYNFM</t>
        </is>
      </c>
      <c r="B537" t="inlineStr">
        <is>
          <t>False</t>
        </is>
      </c>
      <c r="C537" t="inlineStr">
        <is>
          <t>B095HZYNFM</t>
        </is>
      </c>
      <c r="D537" t="inlineStr">
        <is>
          <t>Hamilton Beach</t>
        </is>
      </c>
      <c r="E537" t="inlineStr">
        <is>
          <t>True</t>
        </is>
      </c>
      <c r="F537" t="inlineStr">
        <is>
          <t>Hamilton Beach FlexBrew Trio 2-Way Coffee Maker, Compatible with K-Cup Pods or Grounds, Combo, Single Serve &amp; Full 12c Pot, Black - Fast Brewing (49902)</t>
        </is>
      </c>
      <c r="G537">
        <v>1</v>
      </c>
      <c r="H537" s="2" t="str">
        <f>HYPERLINK("https://www.amazon.com/dp/B095HZYNFM", "https://www.amazon.com/dp/B095HZYNFM")</f>
      </c>
      <c r="I537" s="3">
        <v>5566</v>
      </c>
      <c r="J537" s="4">
        <v>18.86</v>
      </c>
      <c r="K537" s="5">
        <v>0.1837</v>
      </c>
      <c r="L537" s="15">
        <v>0.3627</v>
      </c>
      <c r="M537" t="inlineStr">
        <is>
          <t>True</t>
        </is>
      </c>
      <c r="N537" t="inlineStr">
        <is>
          <t>Home &amp; Kitchen</t>
        </is>
      </c>
      <c r="O537" s="6">
        <v>2609</v>
      </c>
      <c r="P537" s="6">
        <v>2490</v>
      </c>
      <c r="Q537" s="6">
        <v>887</v>
      </c>
      <c r="R537" s="6">
        <v>247</v>
      </c>
      <c r="S537" s="7">
        <v>52</v>
      </c>
      <c r="T537" s="7">
        <v>102.65</v>
      </c>
      <c r="U537">
        <v>96.72</v>
      </c>
      <c r="V537" s="8">
        <v>0</v>
      </c>
      <c r="W537" s="7">
        <v>0</v>
      </c>
      <c r="X537" s="7">
        <v>0</v>
      </c>
      <c r="Y537">
        <v>11.71</v>
      </c>
      <c r="Z537" s="9">
        <v>0.95</v>
      </c>
      <c r="AB537">
        <v>0</v>
      </c>
      <c r="AC537">
        <v>0</v>
      </c>
      <c r="AD537">
        <v>45</v>
      </c>
      <c r="AE537">
        <v>1</v>
      </c>
      <c r="AF537">
        <v>2</v>
      </c>
      <c r="AG537">
        <v>1</v>
      </c>
      <c r="AH537">
        <v>3</v>
      </c>
      <c r="AI537" t="inlineStr">
        <is>
          <t>False</t>
        </is>
      </c>
      <c r="AJ537" s="2" t="str">
        <f>HYPERLINK("https://keepa.com/#!product/1-B095HZYNFM", "https://keepa.com/#!product/1-B095HZYNFM")</f>
      </c>
      <c r="AK537" s="2" t="str">
        <f>HYPERLINK("https://camelcamelcamel.com/search?sq=B095HZYNFM", "https://camelcamelcamel.com/search?sq=B095HZYNFM")</f>
      </c>
      <c r="AL537" t="inlineStr">
        <is>
          <t/>
        </is>
      </c>
      <c r="AM537" s="10">
        <v>45417.11111111111</v>
      </c>
      <c r="AN537" t="inlineStr">
        <is>
          <t>Hamilton Beach 49902 FlexBrew Trio 2-Way Coffee Maker, Compatible with K-Cup Pods or Grounds, Combo, Single Serve &amp; Full 12c Pot, Black - Fast Brewing</t>
        </is>
      </c>
      <c r="AO537" t="inlineStr">
        <is>
          <t>100</t>
        </is>
      </c>
      <c r="AP537" t="inlineStr">
        <is>
          <t>TAKE ALL</t>
        </is>
      </c>
    </row>
    <row r="538">
      <c r="A538" t="inlineStr">
        <is>
          <t>B0961ZS96M</t>
        </is>
      </c>
      <c r="B538" t="inlineStr">
        <is>
          <t>False</t>
        </is>
      </c>
      <c r="C538" t="inlineStr">
        <is>
          <t>B0961ZS96M</t>
        </is>
      </c>
      <c r="D538" t="inlineStr">
        <is>
          <t>K18</t>
        </is>
      </c>
      <c r="E538" t="inlineStr">
        <is>
          <t>False</t>
        </is>
      </c>
      <c r="F538" t="inlineStr">
        <is>
          <t>K18 Leave-In Molecular Hair Mask, Repairs Dry or Damaged Hair, Reverse Hair Damage from Bleach, Color, Chemical Services &amp; Heat, 1.7 Fl Oz</t>
        </is>
      </c>
      <c r="G538">
        <v>1</v>
      </c>
      <c r="H538" s="2" t="str">
        <f>HYPERLINK("https://www.amazon.com/dp/B0961ZS96M", "https://www.amazon.com/dp/B0961ZS96M")</f>
      </c>
      <c r="I538" s="3">
        <v>29578</v>
      </c>
      <c r="J538" s="4">
        <v>19.06</v>
      </c>
      <c r="K538" s="5">
        <v>0.2541</v>
      </c>
      <c r="L538" s="15">
        <v>0.46490000000000004</v>
      </c>
      <c r="M538" t="inlineStr">
        <is>
          <t>True</t>
        </is>
      </c>
      <c r="N538" t="inlineStr">
        <is>
          <t>Beauty &amp; Personal Care</t>
        </is>
      </c>
      <c r="O538" s="6">
        <v>242</v>
      </c>
      <c r="P538" s="6">
        <v>195</v>
      </c>
      <c r="Q538" s="6">
        <v>118</v>
      </c>
      <c r="R538" s="6">
        <v>263</v>
      </c>
      <c r="S538" s="7">
        <v>41</v>
      </c>
      <c r="T538" s="7">
        <v>75</v>
      </c>
      <c r="U538">
        <v>75</v>
      </c>
      <c r="V538" s="8">
        <v>0</v>
      </c>
      <c r="W538" s="7">
        <v>0</v>
      </c>
      <c r="X538" s="7">
        <v>0</v>
      </c>
      <c r="Y538">
        <v>0.2</v>
      </c>
      <c r="Z538" s="8">
        <v>0</v>
      </c>
      <c r="AB538">
        <v>0</v>
      </c>
      <c r="AC538">
        <v>0</v>
      </c>
      <c r="AD538">
        <v>3</v>
      </c>
      <c r="AE538">
        <v>2</v>
      </c>
      <c r="AF538">
        <v>1</v>
      </c>
      <c r="AG538">
        <v>2</v>
      </c>
      <c r="AH538">
        <v>3</v>
      </c>
      <c r="AI538" t="inlineStr">
        <is>
          <t>False</t>
        </is>
      </c>
      <c r="AJ538" s="2" t="str">
        <f>HYPERLINK("https://keepa.com/#!product/1-B0961ZS96M", "https://keepa.com/#!product/1-B0961ZS96M")</f>
      </c>
      <c r="AK538" s="2" t="str">
        <f>HYPERLINK("https://camelcamelcamel.com/search?sq=B0961ZS96M", "https://camelcamelcamel.com/search?sq=B0961ZS96M")</f>
      </c>
      <c r="AL538" t="inlineStr">
        <is>
          <t/>
        </is>
      </c>
      <c r="AM538" s="10">
        <v>45417.11111111111</v>
      </c>
      <c r="AN538" t="inlineStr">
        <is>
          <t>K18 Leave-In Repair Hair Mask Treatment to Repair Dry or Damaged Hair - 4 Minutes to Reverse Hair Damage from Bleach, Color, Chemical Services and Heat</t>
        </is>
      </c>
      <c r="AO538" t="inlineStr">
        <is>
          <t>2000</t>
        </is>
      </c>
      <c r="AP538" t="inlineStr">
        <is>
          <t>600</t>
        </is>
      </c>
    </row>
    <row r="539">
      <c r="A539" t="inlineStr">
        <is>
          <t>B096H2MB36</t>
        </is>
      </c>
      <c r="B539" t="inlineStr">
        <is>
          <t>False</t>
        </is>
      </c>
      <c r="C539" t="inlineStr">
        <is>
          <t>B096H2MB36</t>
        </is>
      </c>
      <c r="D539" t="inlineStr">
        <is>
          <t>Instant</t>
        </is>
      </c>
      <c r="E539" t="inlineStr">
        <is>
          <t>False</t>
        </is>
      </c>
      <c r="F539" t="inlineStr">
        <is>
          <t>Instant Electric Round Dutch Oven, 6-Quart 1500W, From the Makers of Instant Pot, 5-in-1: Braise, Slow Cook, Sear/Sauté, Cooking Pan, Food Warmer, Enameled Cast Iron, Included Recipe Book, Green</t>
        </is>
      </c>
      <c r="G539">
        <v>1</v>
      </c>
      <c r="H539" s="2" t="str">
        <f>HYPERLINK("https://www.amazon.com/dp/B096H2MB36", "https://www.amazon.com/dp/B096H2MB36")</f>
      </c>
      <c r="I539" s="3">
        <v>202</v>
      </c>
      <c r="J539" s="12">
        <v>-49.36</v>
      </c>
      <c r="K539" s="13">
        <v>-0.4213</v>
      </c>
      <c r="L539" s="13">
        <v>-0.3797</v>
      </c>
      <c r="M539" t="inlineStr">
        <is>
          <t>True</t>
        </is>
      </c>
      <c r="N539" t="inlineStr">
        <is>
          <t>Kitchen &amp; Dining</t>
        </is>
      </c>
      <c r="O539" s="6">
        <v>34893</v>
      </c>
      <c r="P539" s="6">
        <v>7947</v>
      </c>
      <c r="Q539" s="6">
        <v>2432</v>
      </c>
      <c r="R539" s="6">
        <v>209</v>
      </c>
      <c r="S539" s="7">
        <v>130</v>
      </c>
      <c r="T539" s="7">
        <v>117.17</v>
      </c>
      <c r="U539">
        <v>136.91</v>
      </c>
      <c r="V539" s="8">
        <v>0</v>
      </c>
      <c r="W539" s="7">
        <v>0</v>
      </c>
      <c r="X539" s="7">
        <v>0</v>
      </c>
      <c r="Y539">
        <v>25.75</v>
      </c>
      <c r="Z539" s="9">
        <v>1</v>
      </c>
      <c r="AB539">
        <v>0</v>
      </c>
      <c r="AC539">
        <v>0</v>
      </c>
      <c r="AD539">
        <v>16</v>
      </c>
      <c r="AE539">
        <v>9</v>
      </c>
      <c r="AF539">
        <v>3</v>
      </c>
      <c r="AG539">
        <v>2</v>
      </c>
      <c r="AH539">
        <v>4</v>
      </c>
      <c r="AI539" t="inlineStr">
        <is>
          <t>False</t>
        </is>
      </c>
      <c r="AJ539" s="2" t="str">
        <f>HYPERLINK("https://keepa.com/#!product/1-B096H2MB36", "https://keepa.com/#!product/1-B096H2MB36")</f>
      </c>
      <c r="AK539" s="2" t="str">
        <f>HYPERLINK("https://camelcamelcamel.com/search?sq=B096H2MB36", "https://camelcamelcamel.com/search?sq=B096H2MB36")</f>
      </c>
      <c r="AL539" t="inlineStr">
        <is>
          <t/>
        </is>
      </c>
      <c r="AM539" s="10">
        <v>45417.11111111111</v>
      </c>
      <c r="AN539" t="inlineStr">
        <is>
          <t>Instant Electric Round Dutch Oven, 6-Quart 1500W, From the Makers of Instant Pot, 5-in-1: Braise, Slow Cook, Sear/SautÃ©, Cooking Pan, Food Warmer, Enameled Cast Iron, Included Recipe Book, Green</t>
        </is>
      </c>
      <c r="AO539" t="inlineStr">
        <is>
          <t>500</t>
        </is>
      </c>
      <c r="AP539" t="inlineStr">
        <is>
          <t>TAKE ALL</t>
        </is>
      </c>
    </row>
    <row r="540">
      <c r="A540" t="inlineStr">
        <is>
          <t>B0971YF41Q</t>
        </is>
      </c>
      <c r="B540" t="inlineStr">
        <is>
          <t>False</t>
        </is>
      </c>
      <c r="C540" t="inlineStr">
        <is>
          <t>B0971YF41Q</t>
        </is>
      </c>
      <c r="D540" t="inlineStr">
        <is>
          <t>Nice C</t>
        </is>
      </c>
      <c r="E540" t="inlineStr">
        <is>
          <t>False</t>
        </is>
      </c>
      <c r="F540" t="inlineStr">
        <is>
          <t>Nice C Card Table, Folding Picnic Table, Small Table, Adjustable Height Folding Table, Camping, Outdoor, Portable Lightweight Aluminum, with Carry Handle for Beach, Indoor, Office (Small)</t>
        </is>
      </c>
      <c r="G540">
        <v>1</v>
      </c>
      <c r="H540" s="2" t="str">
        <f>HYPERLINK("https://www.amazon.com/dp/B0971YF41Q", "https://www.amazon.com/dp/B0971YF41Q")</f>
      </c>
      <c r="I540" s="3">
        <v>165</v>
      </c>
      <c r="J540" s="4">
        <v>5.08</v>
      </c>
      <c r="K540" s="5">
        <v>0.127</v>
      </c>
      <c r="L540" s="5">
        <v>0.2419</v>
      </c>
      <c r="M540" t="inlineStr">
        <is>
          <t>True</t>
        </is>
      </c>
      <c r="N540" t="inlineStr">
        <is>
          <t>Patio, Lawn &amp; Garden</t>
        </is>
      </c>
      <c r="O540" s="6">
        <v>41501</v>
      </c>
      <c r="P540" s="6">
        <v>34618</v>
      </c>
      <c r="Q540" s="6">
        <v>12980</v>
      </c>
      <c r="R540" s="6">
        <v>164</v>
      </c>
      <c r="S540" s="7">
        <v>21</v>
      </c>
      <c r="T540" s="7">
        <v>39.99</v>
      </c>
      <c r="U540">
        <v>39.82</v>
      </c>
      <c r="V540" s="8">
        <v>0</v>
      </c>
      <c r="W540" s="7">
        <v>0</v>
      </c>
      <c r="X540" s="7">
        <v>0</v>
      </c>
      <c r="Y540">
        <v>5.71</v>
      </c>
      <c r="Z540" s="8">
        <v>0</v>
      </c>
      <c r="AB540">
        <v>0</v>
      </c>
      <c r="AC540">
        <v>0</v>
      </c>
      <c r="AD540">
        <v>11</v>
      </c>
      <c r="AE540">
        <v>1</v>
      </c>
      <c r="AF540">
        <v>0</v>
      </c>
      <c r="AG540">
        <v>1</v>
      </c>
      <c r="AH540">
        <v>3</v>
      </c>
      <c r="AI540" t="inlineStr">
        <is>
          <t>False</t>
        </is>
      </c>
      <c r="AJ540" s="2" t="str">
        <f>HYPERLINK("https://keepa.com/#!product/1-B0971YF41Q", "https://keepa.com/#!product/1-B0971YF41Q")</f>
      </c>
      <c r="AK540" s="2" t="str">
        <f>HYPERLINK("https://camelcamelcamel.com/search?sq=B0971YF41Q", "https://camelcamelcamel.com/search?sq=B0971YF41Q")</f>
      </c>
      <c r="AL540" t="inlineStr">
        <is>
          <t/>
        </is>
      </c>
      <c r="AM540" s="10">
        <v>45417.11111111111</v>
      </c>
      <c r="AN540" t="inlineStr">
        <is>
          <t>Nice C Card Table, Folding Picnic Table, Small Table, Adjustable Height Folding Table, Camping, Outdoor, Portable Lightweight Aluminum, with Carry Handle for Beach, Indoor, Office (Small)</t>
        </is>
      </c>
      <c r="AO540" t="inlineStr">
        <is>
          <t>1500</t>
        </is>
      </c>
      <c r="AP540" t="inlineStr">
        <is>
          <t>TAKE ALL</t>
        </is>
      </c>
    </row>
    <row r="541">
      <c r="A541" t="inlineStr">
        <is>
          <t>B09813LFNK</t>
        </is>
      </c>
      <c r="B541" t="inlineStr">
        <is>
          <t>False</t>
        </is>
      </c>
      <c r="C541" t="inlineStr">
        <is>
          <t>B09813LFNK</t>
        </is>
      </c>
      <c r="D541" t="inlineStr">
        <is>
          <t>Groview</t>
        </is>
      </c>
      <c r="E541" t="inlineStr">
        <is>
          <t>False</t>
        </is>
      </c>
      <c r="F541" t="inlineStr">
        <is>
          <t>GROVIEW Projector, 4k Projector with WiFi and Bluetooth Support, 15000lux FHD 1080P Portable Projector for Outdoor Moive, 300'' Theater, Zoomable, [One-step Mirroring] for iOS/ Android, TV Stick, PS5</t>
        </is>
      </c>
      <c r="G541">
        <v>1</v>
      </c>
      <c r="H541" s="2" t="str">
        <f>HYPERLINK("https://www.amazon.com/dp/B09813LFNK", "https://www.amazon.com/dp/B09813LFNK")</f>
      </c>
      <c r="I541" s="3">
        <v>811</v>
      </c>
      <c r="J541" s="4">
        <v>51.2</v>
      </c>
      <c r="K541" s="5">
        <v>0.2695</v>
      </c>
      <c r="L541" s="15">
        <v>0.44520000000000004</v>
      </c>
      <c r="M541" t="inlineStr">
        <is>
          <t>False</t>
        </is>
      </c>
      <c r="N541" t="inlineStr">
        <is>
          <t>Video Projectors</t>
        </is>
      </c>
      <c r="O541" s="6">
        <v>21</v>
      </c>
      <c r="P541" s="6">
        <v>0</v>
      </c>
      <c r="Q541" s="6">
        <v>0</v>
      </c>
      <c r="R541" s="6">
        <v>0</v>
      </c>
      <c r="S541" s="7">
        <v>115</v>
      </c>
      <c r="T541" s="7">
        <v>189.99</v>
      </c>
      <c r="U541">
        <v>173.3</v>
      </c>
      <c r="V541" s="8">
        <v>0</v>
      </c>
      <c r="W541" s="7">
        <v>0</v>
      </c>
      <c r="X541" s="7">
        <v>0</v>
      </c>
      <c r="Y541">
        <v>5.86</v>
      </c>
      <c r="Z541" s="9">
        <v>0.31</v>
      </c>
      <c r="AB541">
        <v>0</v>
      </c>
      <c r="AC541">
        <v>0</v>
      </c>
      <c r="AD541">
        <v>11</v>
      </c>
      <c r="AE541">
        <v>4</v>
      </c>
      <c r="AF541">
        <v>0</v>
      </c>
      <c r="AG541">
        <v>1</v>
      </c>
      <c r="AH541">
        <v>0</v>
      </c>
      <c r="AI541" t="inlineStr">
        <is>
          <t>False</t>
        </is>
      </c>
      <c r="AJ541" s="2" t="str">
        <f>HYPERLINK("https://keepa.com/#!product/1-B09813LFNK", "https://keepa.com/#!product/1-B09813LFNK")</f>
      </c>
      <c r="AK541" s="2" t="str">
        <f>HYPERLINK("https://camelcamelcamel.com/search?sq=B09813LFNK", "https://camelcamelcamel.com/search?sq=B09813LFNK")</f>
      </c>
      <c r="AL541" t="inlineStr">
        <is>
          <t/>
        </is>
      </c>
      <c r="AM541" s="10">
        <v>45417.11111111111</v>
      </c>
      <c r="AN541" t="inlineStr">
        <is>
          <t>GROVIEW Projector, 15000lux 490ANSI Native 1080P WiFi Bluetooth Projector, 300'' Video Projector, Supports 4K &amp; Zoom, 5G Sync, Compatible with HDMI USB/ AV/ Smartphone/ Pad/ Laptop/ DVD/ TV Stick/ PS5</t>
        </is>
      </c>
      <c r="AO541" t="inlineStr">
        <is>
          <t>300</t>
        </is>
      </c>
      <c r="AP541" t="inlineStr">
        <is>
          <t>TAKE ALL</t>
        </is>
      </c>
    </row>
    <row r="542">
      <c r="A542" t="inlineStr">
        <is>
          <t>B098BQFPVG</t>
        </is>
      </c>
      <c r="B542" t="inlineStr">
        <is>
          <t>False</t>
        </is>
      </c>
      <c r="C542" t="inlineStr">
        <is>
          <t>B098BQFPVG</t>
        </is>
      </c>
      <c r="D542" t="inlineStr">
        <is>
          <t>Organifi</t>
        </is>
      </c>
      <c r="E542" t="inlineStr">
        <is>
          <t>False</t>
        </is>
      </c>
      <c r="F542" t="inlineStr">
        <is>
          <t>Organifi Harmony - Hormone Support - Eases PMS Symptoms - Energizes You - Regulates Menstrual Cycle - Best Served Hot - Gluten Free and Vegan Cacao Powder, 30 Servings</t>
        </is>
      </c>
      <c r="G542">
        <v>1</v>
      </c>
      <c r="H542" s="2" t="str">
        <f>HYPERLINK("https://www.amazon.com/dp/B098BQFPVG", "https://www.amazon.com/dp/B098BQFPVG")</f>
      </c>
      <c r="I542" s="3">
        <v>573</v>
      </c>
      <c r="J542" s="12">
        <v>-3.83</v>
      </c>
      <c r="K542" s="13">
        <v>-0.11720000000000001</v>
      </c>
      <c r="L542" s="13">
        <v>-0.1419</v>
      </c>
      <c r="M542" t="inlineStr">
        <is>
          <t>True</t>
        </is>
      </c>
      <c r="N542" t="inlineStr">
        <is>
          <t>Health &amp; Household</t>
        </is>
      </c>
      <c r="O542" s="6">
        <v>33933</v>
      </c>
      <c r="P542" s="6">
        <v>37113</v>
      </c>
      <c r="Q542" s="6">
        <v>25896</v>
      </c>
      <c r="R542" s="6">
        <v>193</v>
      </c>
      <c r="S542" s="7">
        <v>27</v>
      </c>
      <c r="T542" s="7">
        <v>32.68</v>
      </c>
      <c r="U542">
        <v>38.45</v>
      </c>
      <c r="V542" s="8">
        <v>0</v>
      </c>
      <c r="W542" s="7">
        <v>0</v>
      </c>
      <c r="X542" s="7">
        <v>0</v>
      </c>
      <c r="Y542">
        <v>0.64</v>
      </c>
      <c r="Z542" s="9">
        <v>0.03</v>
      </c>
      <c r="AB542">
        <v>0</v>
      </c>
      <c r="AC542">
        <v>0</v>
      </c>
      <c r="AD542">
        <v>15</v>
      </c>
      <c r="AE542">
        <v>14</v>
      </c>
      <c r="AF542">
        <v>1</v>
      </c>
      <c r="AG542">
        <v>6</v>
      </c>
      <c r="AH542">
        <v>0</v>
      </c>
      <c r="AI542" t="inlineStr">
        <is>
          <t>False</t>
        </is>
      </c>
      <c r="AJ542" s="2" t="str">
        <f>HYPERLINK("https://keepa.com/#!product/1-B098BQFPVG", "https://keepa.com/#!product/1-B098BQFPVG")</f>
      </c>
      <c r="AK542" s="2" t="str">
        <f>HYPERLINK("https://camelcamelcamel.com/search?sq=B098BQFPVG", "https://camelcamelcamel.com/search?sq=B098BQFPVG")</f>
      </c>
      <c r="AL542" t="inlineStr">
        <is>
          <t/>
        </is>
      </c>
      <c r="AM542" s="10">
        <v>45417.11111111111</v>
      </c>
      <c r="AN542" t="inlineStr">
        <is>
          <t>Organifi Harmony - Hormone Support - Eases PMS Symptoms - Energizes You - Regulates Menstrual Cycle - Best Served Hot - Gluten Free and Vegan Cacao</t>
        </is>
      </c>
      <c r="AO542" t="inlineStr">
        <is>
          <t>800</t>
        </is>
      </c>
      <c r="AP542" t="inlineStr">
        <is>
          <t>400</t>
        </is>
      </c>
    </row>
    <row r="543">
      <c r="A543" t="inlineStr">
        <is>
          <t>B098RFCWRR</t>
        </is>
      </c>
      <c r="B543" t="inlineStr">
        <is>
          <t>False</t>
        </is>
      </c>
      <c r="C543" t="inlineStr">
        <is>
          <t>B098RFCWRR</t>
        </is>
      </c>
      <c r="D543" t="inlineStr">
        <is>
          <t>Shark</t>
        </is>
      </c>
      <c r="E543" t="inlineStr">
        <is>
          <t>False</t>
        </is>
      </c>
      <c r="F543" t="inlineStr">
        <is>
          <t>Shark Vertex Bagless Corded Vacuum with Brushroll, PowerFins, HEPA Filter, MultiFLEX, LED Lights - Black &amp; Copper</t>
        </is>
      </c>
      <c r="G543">
        <v>1</v>
      </c>
      <c r="H543" s="2" t="str">
        <f>HYPERLINK("https://www.amazon.com/dp/B098RFCWRR", "https://www.amazon.com/dp/B098RFCWRR")</f>
      </c>
      <c r="I543" s="3">
        <v>236</v>
      </c>
      <c r="J543" s="4">
        <v>163.53</v>
      </c>
      <c r="K543" s="15">
        <v>0.3407</v>
      </c>
      <c r="L543" s="15">
        <v>0.7433</v>
      </c>
      <c r="M543" t="inlineStr">
        <is>
          <t>True</t>
        </is>
      </c>
      <c r="N543" t="inlineStr">
        <is>
          <t>Home &amp; Kitchen</t>
        </is>
      </c>
      <c r="O543" s="6">
        <v>108459</v>
      </c>
      <c r="P543" s="6">
        <v>238246</v>
      </c>
      <c r="Q543" s="6">
        <v>88981</v>
      </c>
      <c r="R543" s="6">
        <v>134</v>
      </c>
      <c r="S543" s="7">
        <v>220</v>
      </c>
      <c r="T543" s="7">
        <v>479.99</v>
      </c>
      <c r="U543">
        <v>477.05</v>
      </c>
      <c r="V543" s="8">
        <v>0</v>
      </c>
      <c r="W543" s="7">
        <v>0</v>
      </c>
      <c r="X543" s="7">
        <v>0</v>
      </c>
      <c r="Y543">
        <v>25.35</v>
      </c>
      <c r="Z543" s="9">
        <v>1</v>
      </c>
      <c r="AB543">
        <v>0</v>
      </c>
      <c r="AC543">
        <v>0</v>
      </c>
      <c r="AD543">
        <v>9</v>
      </c>
      <c r="AE543">
        <v>1</v>
      </c>
      <c r="AF543">
        <v>0</v>
      </c>
      <c r="AG543">
        <v>1</v>
      </c>
      <c r="AH543">
        <v>2</v>
      </c>
      <c r="AI543" t="inlineStr">
        <is>
          <t>False</t>
        </is>
      </c>
      <c r="AJ543" s="2" t="str">
        <f>HYPERLINK("https://keepa.com/#!product/1-B098RFCWRR", "https://keepa.com/#!product/1-B098RFCWRR")</f>
      </c>
      <c r="AK543" s="2" t="str">
        <f>HYPERLINK("https://camelcamelcamel.com/search?sq=B098RFCWRR", "https://camelcamelcamel.com/search?sq=B098RFCWRR")</f>
      </c>
      <c r="AL543" t="inlineStr">
        <is>
          <t/>
        </is>
      </c>
      <c r="AM543" s="10">
        <v>45417.11111111111</v>
      </c>
      <c r="AN543" t="inlineStr">
        <is>
          <t>Shark Vertex Bagless Corded Vacuum with Brushroll, PowerFins, HEPA Filter, MultiFLEX, LED Lights - Black &amp; Copper</t>
        </is>
      </c>
      <c r="AO543" t="inlineStr">
        <is>
          <t>784</t>
        </is>
      </c>
      <c r="AP543" t="inlineStr">
        <is>
          <t>TAKE ALL</t>
        </is>
      </c>
    </row>
    <row r="544">
      <c r="A544" t="inlineStr">
        <is>
          <t>B098RQJJHZ</t>
        </is>
      </c>
      <c r="B544" t="inlineStr">
        <is>
          <t>False</t>
        </is>
      </c>
      <c r="C544" t="inlineStr">
        <is>
          <t>B098RQJJHZ</t>
        </is>
      </c>
      <c r="D544" t="inlineStr">
        <is>
          <t>Linkind</t>
        </is>
      </c>
      <c r="E544" t="inlineStr">
        <is>
          <t>False</t>
        </is>
      </c>
      <c r="F544" t="inlineStr">
        <is>
          <t>Linkind Solar Spotlights for Outside Waterproof, Christmas Decoration RGB Color Changing Solar Spot Lights, IP67 Waterproof Adjustable Solar Panel Lights for Yard Patio Trees, 4 Pack</t>
        </is>
      </c>
      <c r="G544">
        <v>1</v>
      </c>
      <c r="H544" s="2" t="str">
        <f>HYPERLINK("https://www.amazon.com/dp/B098RQJJHZ", "https://www.amazon.com/dp/B098RQJJHZ")</f>
      </c>
      <c r="I544" s="3">
        <v>770</v>
      </c>
      <c r="M544" t="inlineStr">
        <is>
          <t>True</t>
        </is>
      </c>
      <c r="N544" t="inlineStr">
        <is>
          <t>Tools &amp; Home Improvement</t>
        </is>
      </c>
      <c r="O544" s="6">
        <v>12419</v>
      </c>
      <c r="P544" s="6">
        <v>42270</v>
      </c>
      <c r="Q544" s="6">
        <v>3934</v>
      </c>
      <c r="R544" s="6">
        <v>51</v>
      </c>
      <c r="S544" s="7">
        <v>19.5</v>
      </c>
      <c r="U544">
        <v>40.04</v>
      </c>
      <c r="X544" s="7">
        <v>0</v>
      </c>
      <c r="Y544">
        <v>1.95</v>
      </c>
      <c r="Z544" s="8">
        <v>0</v>
      </c>
      <c r="AB544">
        <v>0</v>
      </c>
      <c r="AC544">
        <v>0</v>
      </c>
      <c r="AD544">
        <v>0</v>
      </c>
      <c r="AE544">
        <v>0</v>
      </c>
      <c r="AF544">
        <v>0</v>
      </c>
      <c r="AG544">
        <v>0</v>
      </c>
      <c r="AH544">
        <v>9</v>
      </c>
      <c r="AI544" t="inlineStr">
        <is>
          <t>True</t>
        </is>
      </c>
      <c r="AJ544" s="2" t="str">
        <f>HYPERLINK("https://keepa.com/#!product/1-B098RQJJHZ", "https://keepa.com/#!product/1-B098RQJJHZ")</f>
      </c>
      <c r="AK544" s="2" t="str">
        <f>HYPERLINK("https://camelcamelcamel.com/search?sq=B098RQJJHZ", "https://camelcamelcamel.com/search?sq=B098RQJJHZ")</f>
      </c>
      <c r="AL544" t="inlineStr">
        <is>
          <t/>
        </is>
      </c>
      <c r="AM544" s="10">
        <v>45417.11111111111</v>
      </c>
      <c r="AN544" t="inlineStr">
        <is>
          <t>Linkind Solar Spotlights for Outside Waterproof</t>
        </is>
      </c>
      <c r="AO544" t="inlineStr">
        <is>
          <t>388</t>
        </is>
      </c>
      <c r="AP544" t="inlineStr">
        <is>
          <t>194</t>
        </is>
      </c>
    </row>
    <row r="545">
      <c r="A545" t="inlineStr">
        <is>
          <t>B098VW8SKB</t>
        </is>
      </c>
      <c r="B545" t="inlineStr">
        <is>
          <t>False</t>
        </is>
      </c>
      <c r="C545" t="inlineStr">
        <is>
          <t>B098VW8SKB</t>
        </is>
      </c>
      <c r="D545" t="inlineStr">
        <is>
          <t>HyperX</t>
        </is>
      </c>
      <c r="E545" t="inlineStr">
        <is>
          <t>False</t>
        </is>
      </c>
      <c r="F545" t="inlineStr">
        <is>
          <t>HyperX Fury S - Pro Gaming Mouse Pad, Cloth Surface Optimized for Precision, Stitched Anti-Fray Edges, X-Large 900x420x4mm</t>
        </is>
      </c>
      <c r="G545">
        <v>1</v>
      </c>
      <c r="H545" s="2" t="str">
        <f>HYPERLINK("https://www.amazon.com/dp/B098VW8SKB", "https://www.amazon.com/dp/B098VW8SKB")</f>
      </c>
      <c r="I545" s="3">
        <v>414</v>
      </c>
      <c r="J545" s="11">
        <v>3.16</v>
      </c>
      <c r="K545" s="5">
        <v>0.1054</v>
      </c>
      <c r="L545" s="5">
        <v>0.19149999999999998</v>
      </c>
      <c r="M545" t="inlineStr">
        <is>
          <t>True</t>
        </is>
      </c>
      <c r="N545" t="inlineStr">
        <is>
          <t>Office Products</t>
        </is>
      </c>
      <c r="O545" s="6">
        <v>13969</v>
      </c>
      <c r="P545" s="6">
        <v>24983</v>
      </c>
      <c r="Q545" s="6">
        <v>11677</v>
      </c>
      <c r="R545" s="6">
        <v>219</v>
      </c>
      <c r="S545" s="7">
        <v>16.5</v>
      </c>
      <c r="T545" s="7">
        <v>29.99</v>
      </c>
      <c r="U545">
        <v>29.99</v>
      </c>
      <c r="V545" s="8">
        <v>0</v>
      </c>
      <c r="W545" s="7">
        <v>0</v>
      </c>
      <c r="X545" s="7">
        <v>0</v>
      </c>
      <c r="Y545">
        <v>2.13</v>
      </c>
      <c r="Z545" s="9">
        <v>0.02</v>
      </c>
      <c r="AB545">
        <v>0</v>
      </c>
      <c r="AC545">
        <v>0</v>
      </c>
      <c r="AD545">
        <v>5</v>
      </c>
      <c r="AE545">
        <v>4</v>
      </c>
      <c r="AF545">
        <v>0</v>
      </c>
      <c r="AG545">
        <v>4</v>
      </c>
      <c r="AH545">
        <v>7</v>
      </c>
      <c r="AI545" t="inlineStr">
        <is>
          <t>False</t>
        </is>
      </c>
      <c r="AJ545" s="2" t="str">
        <f>HYPERLINK("https://keepa.com/#!product/1-B098VW8SKB", "https://keepa.com/#!product/1-B098VW8SKB")</f>
      </c>
      <c r="AK545" s="2" t="str">
        <f>HYPERLINK("https://camelcamelcamel.com/search?sq=B098VW8SKB", "https://camelcamelcamel.com/search?sq=B098VW8SKB")</f>
      </c>
      <c r="AL545" t="inlineStr">
        <is>
          <t/>
        </is>
      </c>
      <c r="AM545" s="10">
        <v>45417.11111111111</v>
      </c>
      <c r="AN545" t="inlineStr">
        <is>
          <t>HyperX Fury S - Pro Gaming Mouse Pad, Cloth Surface Optimized for Precision, Stitched Anti-Fray Edges, X-Large 900x420x4mm</t>
        </is>
      </c>
      <c r="AO545" t="inlineStr">
        <is>
          <t>250</t>
        </is>
      </c>
      <c r="AP545" t="inlineStr">
        <is>
          <t>TAKE ALL</t>
        </is>
      </c>
    </row>
    <row r="546">
      <c r="A546" t="inlineStr">
        <is>
          <t>B0995HLCQ8</t>
        </is>
      </c>
      <c r="B546" t="inlineStr">
        <is>
          <t>False</t>
        </is>
      </c>
      <c r="C546" t="inlineStr">
        <is>
          <t>B0995HLCQ8</t>
        </is>
      </c>
      <c r="D546" t="inlineStr">
        <is>
          <t>Ninja</t>
        </is>
      </c>
      <c r="E546" t="inlineStr">
        <is>
          <t>False</t>
        </is>
      </c>
      <c r="F546" t="inlineStr">
        <is>
          <t>Ninja OL500 Foodi 6.5 Qt. 14-in-1 Pressure Cooker Steam Fryer with SmartLid, that Air Fries, Proofs &amp; More, with 2-Layer Capacity, 4.6 Qt. Crisp Plate &amp; 25 Recipes, Silver/Black</t>
        </is>
      </c>
      <c r="G546">
        <v>1</v>
      </c>
      <c r="H546" s="2" t="str">
        <f>HYPERLINK("https://www.amazon.com/dp/B0995HLCQ8", "https://www.amazon.com/dp/B0995HLCQ8")</f>
      </c>
      <c r="I546" s="3">
        <v>358</v>
      </c>
      <c r="J546" s="12">
        <v>-14.06</v>
      </c>
      <c r="K546" s="13">
        <v>-0.0703</v>
      </c>
      <c r="L546" s="13">
        <v>-0.08789999999999999</v>
      </c>
      <c r="M546" t="inlineStr">
        <is>
          <t>True</t>
        </is>
      </c>
      <c r="N546" t="inlineStr">
        <is>
          <t>Kitchen &amp; Dining</t>
        </is>
      </c>
      <c r="O546" s="6">
        <v>20765</v>
      </c>
      <c r="P546" s="6">
        <v>11094</v>
      </c>
      <c r="Q546" s="6">
        <v>2148</v>
      </c>
      <c r="R546" s="6">
        <v>185</v>
      </c>
      <c r="S546" s="7">
        <v>160</v>
      </c>
      <c r="T546" s="7">
        <v>199.99</v>
      </c>
      <c r="U546">
        <v>217.85</v>
      </c>
      <c r="V546" s="8">
        <v>0</v>
      </c>
      <c r="W546" s="7">
        <v>0</v>
      </c>
      <c r="X546" s="7">
        <v>0</v>
      </c>
      <c r="Y546">
        <v>30.73</v>
      </c>
      <c r="Z546" s="9">
        <v>0.05</v>
      </c>
      <c r="AB546">
        <v>0</v>
      </c>
      <c r="AC546">
        <v>0</v>
      </c>
      <c r="AD546">
        <v>17</v>
      </c>
      <c r="AE546">
        <v>3</v>
      </c>
      <c r="AF546">
        <v>3</v>
      </c>
      <c r="AG546">
        <v>1</v>
      </c>
      <c r="AH546">
        <v>3</v>
      </c>
      <c r="AI546" t="inlineStr">
        <is>
          <t>False</t>
        </is>
      </c>
      <c r="AJ546" s="2" t="str">
        <f>HYPERLINK("https://keepa.com/#!product/1-B0995HLCQ8", "https://keepa.com/#!product/1-B0995HLCQ8")</f>
      </c>
      <c r="AK546" s="2" t="str">
        <f>HYPERLINK("https://camelcamelcamel.com/search?sq=B0995HLCQ8", "https://camelcamelcamel.com/search?sq=B0995HLCQ8")</f>
      </c>
      <c r="AL546" t="inlineStr">
        <is>
          <t/>
        </is>
      </c>
      <c r="AM546" s="10">
        <v>45417.11111111111</v>
      </c>
      <c r="AN546" t="inlineStr">
        <is>
          <t>Ninja OL500 Foodi 6.5 Qt. 14-in-1 Pressure Cooker Steam Fryer with SmartLid, that Air Fries, Proofs &amp; More, with 2-Layer Capacity, 4.6 Qt. Crisp Plate &amp; 25 Recipes, Silver/Black</t>
        </is>
      </c>
      <c r="AO546" t="inlineStr">
        <is>
          <t>400</t>
        </is>
      </c>
      <c r="AP546" t="inlineStr">
        <is>
          <t>TAKE ALL</t>
        </is>
      </c>
    </row>
    <row r="547">
      <c r="A547" t="inlineStr">
        <is>
          <t>B099BCCC61</t>
        </is>
      </c>
      <c r="B547" t="inlineStr">
        <is>
          <t>False</t>
        </is>
      </c>
      <c r="C547" t="inlineStr">
        <is>
          <t>B099BCCC61</t>
        </is>
      </c>
      <c r="D547" t="inlineStr">
        <is>
          <t>Scrub Daddy</t>
        </is>
      </c>
      <c r="E547" t="inlineStr">
        <is>
          <t>False</t>
        </is>
      </c>
      <c r="F547" t="inlineStr">
        <is>
          <t>Scrub Daddy Scrub Mommy - Dish Scrubber + Non-Scratch Cleaning Sponges Kitchen, Bathroom + Multi-Surface Safe - Stain + Odor Resistant Dual-Sided Dish Sponges for Scrubbing + Wiping Spills (8 Count)</t>
        </is>
      </c>
      <c r="G547">
        <v>1</v>
      </c>
      <c r="H547" s="2" t="str">
        <f>HYPERLINK("https://www.amazon.com/dp/B099BCCC61", "https://www.amazon.com/dp/B099BCCC61")</f>
      </c>
      <c r="I547" s="3">
        <v>32857</v>
      </c>
      <c r="J547" s="12">
        <v>-0.16</v>
      </c>
      <c r="K547" s="13">
        <v>-0.004699999999999999</v>
      </c>
      <c r="L547" s="13">
        <v>-0.0070999999999999995</v>
      </c>
      <c r="M547" t="inlineStr">
        <is>
          <t>True</t>
        </is>
      </c>
      <c r="N547" t="inlineStr">
        <is>
          <t>Health &amp; Household</t>
        </is>
      </c>
      <c r="O547" s="6">
        <v>390</v>
      </c>
      <c r="P547" s="6">
        <v>356</v>
      </c>
      <c r="Q547" s="6">
        <v>141</v>
      </c>
      <c r="R547" s="6">
        <v>244</v>
      </c>
      <c r="S547" s="7">
        <v>22.5</v>
      </c>
      <c r="T547" s="7">
        <v>33.8</v>
      </c>
      <c r="U547">
        <v>36.3</v>
      </c>
      <c r="V547" s="8">
        <v>0</v>
      </c>
      <c r="W547" s="7">
        <v>0</v>
      </c>
      <c r="X547" s="7">
        <v>0</v>
      </c>
      <c r="Y547">
        <v>0.37</v>
      </c>
      <c r="Z547" s="8">
        <v>0</v>
      </c>
      <c r="AB547">
        <v>0</v>
      </c>
      <c r="AC547">
        <v>0</v>
      </c>
      <c r="AD547">
        <v>15</v>
      </c>
      <c r="AE547">
        <v>6</v>
      </c>
      <c r="AF547">
        <v>9</v>
      </c>
      <c r="AG547">
        <v>4</v>
      </c>
      <c r="AH547">
        <v>5</v>
      </c>
      <c r="AI547" t="inlineStr">
        <is>
          <t>False</t>
        </is>
      </c>
      <c r="AJ547" s="2" t="str">
        <f>HYPERLINK("https://keepa.com/#!product/1-B099BCCC61", "https://keepa.com/#!product/1-B099BCCC61")</f>
      </c>
      <c r="AK547" s="2" t="str">
        <f>HYPERLINK("https://camelcamelcamel.com/search?sq=B099BCCC61", "https://camelcamelcamel.com/search?sq=B099BCCC61")</f>
      </c>
      <c r="AL547" t="inlineStr">
        <is>
          <t/>
        </is>
      </c>
      <c r="AM547" s="10">
        <v>45417.11111111111</v>
      </c>
      <c r="AN547" t="inlineStr">
        <is>
          <t>Scrub Daddy Scrub Mommy - Dish Scrubber + Non-Scratch Cleaning Sponges Kitchen, Bathroom + Multi-Surface Safe - Stain + Odor Resistant Dual-Sided Dish Sponges for Scrubbing + Wiping Spills (8 Count)</t>
        </is>
      </c>
      <c r="AO547" t="inlineStr">
        <is>
          <t>500</t>
        </is>
      </c>
      <c r="AP547" t="inlineStr">
        <is>
          <t>TAKE ALL</t>
        </is>
      </c>
    </row>
    <row r="548">
      <c r="A548" t="inlineStr">
        <is>
          <t>B099TGRJ4Z</t>
        </is>
      </c>
      <c r="B548" t="inlineStr">
        <is>
          <t>False</t>
        </is>
      </c>
      <c r="C548" t="inlineStr">
        <is>
          <t>B099TGRJ4Z</t>
        </is>
      </c>
      <c r="D548" t="inlineStr">
        <is>
          <t>Ninja</t>
        </is>
      </c>
      <c r="E548" t="inlineStr">
        <is>
          <t>False</t>
        </is>
      </c>
      <c r="F548" t="inlineStr">
        <is>
          <t>Ninja IG601 Foodi XL 7-in-1 Electric Indoor Grill Combo, use Opened or Closed, Air Fry, Dehydrate &amp; More, Pro Power Grate, Flat Top Griddle, Crisper, Black, 4 Quarts</t>
        </is>
      </c>
      <c r="G548">
        <v>1</v>
      </c>
      <c r="H548" s="2" t="str">
        <f>HYPERLINK("https://www.amazon.com/dp/B099TGRJ4Z", "https://www.amazon.com/dp/B099TGRJ4Z")</f>
      </c>
      <c r="I548" s="3">
        <v>151</v>
      </c>
      <c r="J548" s="12">
        <v>-117.34</v>
      </c>
      <c r="K548" s="13">
        <v>-0.491</v>
      </c>
      <c r="L548" s="13">
        <v>-0.40049999999999997</v>
      </c>
      <c r="M548" t="inlineStr">
        <is>
          <t>True</t>
        </is>
      </c>
      <c r="N548" t="inlineStr">
        <is>
          <t>Kitchen &amp; Dining</t>
        </is>
      </c>
      <c r="O548" s="6">
        <v>44521</v>
      </c>
      <c r="P548" s="6">
        <v>23553</v>
      </c>
      <c r="Q548" s="6">
        <v>2612</v>
      </c>
      <c r="R548" s="6">
        <v>180</v>
      </c>
      <c r="S548" s="7">
        <v>293</v>
      </c>
      <c r="T548" s="7">
        <v>239</v>
      </c>
      <c r="U548">
        <v>236.19</v>
      </c>
      <c r="V548" s="8">
        <v>0</v>
      </c>
      <c r="W548" s="7">
        <v>0</v>
      </c>
      <c r="X548" s="7">
        <v>0</v>
      </c>
      <c r="Y548">
        <v>32.2</v>
      </c>
      <c r="Z548" s="9">
        <v>0.87</v>
      </c>
      <c r="AB548">
        <v>0</v>
      </c>
      <c r="AC548">
        <v>0</v>
      </c>
      <c r="AD548">
        <v>13</v>
      </c>
      <c r="AE548">
        <v>1</v>
      </c>
      <c r="AF548">
        <v>4</v>
      </c>
      <c r="AG548">
        <v>1</v>
      </c>
      <c r="AH548">
        <v>0</v>
      </c>
      <c r="AI548" t="inlineStr">
        <is>
          <t>False</t>
        </is>
      </c>
      <c r="AJ548" s="2" t="str">
        <f>HYPERLINK("https://keepa.com/#!product/1-B099TGRJ4Z", "https://keepa.com/#!product/1-B099TGRJ4Z")</f>
      </c>
      <c r="AK548" s="2" t="str">
        <f>HYPERLINK("https://camelcamelcamel.com/search?sq=B099TGRJ4Z", "https://camelcamelcamel.com/search?sq=B099TGRJ4Z")</f>
      </c>
      <c r="AL548" t="inlineStr">
        <is>
          <t/>
        </is>
      </c>
      <c r="AM548" s="10">
        <v>45417.11111111111</v>
      </c>
      <c r="AN548" t="inlineStr">
        <is>
          <t>Ninja IG601 Foodi XL 7-in-1 Electric Indoor Grill Combo, use Opened or Closed, Air Fry, Dehydrate &amp; More, Pro Power Grate, Flat Top Griddle, Crisper, Black, 4 Quarts</t>
        </is>
      </c>
      <c r="AO548" t="inlineStr">
        <is>
          <t>293</t>
        </is>
      </c>
      <c r="AP548" t="inlineStr">
        <is>
          <t>TAKE ALL</t>
        </is>
      </c>
    </row>
    <row r="549">
      <c r="A549" t="inlineStr">
        <is>
          <t>B099X664Q6</t>
        </is>
      </c>
      <c r="B549" t="inlineStr">
        <is>
          <t>False</t>
        </is>
      </c>
      <c r="C549" t="inlineStr">
        <is>
          <t>B099X664Q6</t>
        </is>
      </c>
      <c r="D549" t="inlineStr">
        <is>
          <t>Boiron</t>
        </is>
      </c>
      <c r="E549" t="inlineStr">
        <is>
          <t>False</t>
        </is>
      </c>
      <c r="F549" t="inlineStr">
        <is>
          <t>Boiron Arnicare Bruise Cream for Pain Relief from Bruising and Swelling or Discoloration from Injury - 1.4 oz(Pack of 1)</t>
        </is>
      </c>
      <c r="G549">
        <v>1</v>
      </c>
      <c r="H549" s="2" t="str">
        <f>HYPERLINK("https://www.amazon.com/dp/B099X664Q6", "https://www.amazon.com/dp/B099X664Q6")</f>
      </c>
      <c r="I549" s="3">
        <v>14540</v>
      </c>
      <c r="J549" s="11">
        <v>0.85</v>
      </c>
      <c r="K549" s="5">
        <v>0.09449999999999999</v>
      </c>
      <c r="L549" s="5">
        <v>0.1889</v>
      </c>
      <c r="M549" t="inlineStr">
        <is>
          <t>True</t>
        </is>
      </c>
      <c r="N549" t="inlineStr">
        <is>
          <t>Health &amp; Household</t>
        </is>
      </c>
      <c r="O549" s="6">
        <v>1460</v>
      </c>
      <c r="P549" s="6">
        <v>2389</v>
      </c>
      <c r="Q549" s="6">
        <v>1460</v>
      </c>
      <c r="R549" s="6">
        <v>257</v>
      </c>
      <c r="S549" s="7">
        <v>4.5</v>
      </c>
      <c r="T549" s="7">
        <v>8.99</v>
      </c>
      <c r="U549">
        <v>8.99</v>
      </c>
      <c r="V549" s="8">
        <v>0</v>
      </c>
      <c r="W549" s="7">
        <v>0</v>
      </c>
      <c r="X549" s="7">
        <v>0</v>
      </c>
      <c r="Y549">
        <v>0.11</v>
      </c>
      <c r="Z549" s="9">
        <v>1</v>
      </c>
      <c r="AB549">
        <v>0</v>
      </c>
      <c r="AC549">
        <v>0</v>
      </c>
      <c r="AD549">
        <v>6</v>
      </c>
      <c r="AE549">
        <v>2</v>
      </c>
      <c r="AF549">
        <v>4</v>
      </c>
      <c r="AG549">
        <v>2</v>
      </c>
      <c r="AH549">
        <v>0</v>
      </c>
      <c r="AI549" t="inlineStr">
        <is>
          <t>False</t>
        </is>
      </c>
      <c r="AJ549" s="2" t="str">
        <f>HYPERLINK("https://keepa.com/#!product/1-B099X664Q6", "https://keepa.com/#!product/1-B099X664Q6")</f>
      </c>
      <c r="AK549" s="2" t="str">
        <f>HYPERLINK("https://camelcamelcamel.com/search?sq=B099X664Q6", "https://camelcamelcamel.com/search?sq=B099X664Q6")</f>
      </c>
      <c r="AL549" t="inlineStr">
        <is>
          <t/>
        </is>
      </c>
      <c r="AM549" s="10">
        <v>45417.11111111111</v>
      </c>
      <c r="AN549" t="inlineStr">
        <is>
          <t>Boiron Arnicare Bruise Cream for Pain Relief from Bruising and Swelling or Discoloration from Injury - 1.4 oz(Pack of 1)</t>
        </is>
      </c>
      <c r="AO549" t="inlineStr">
        <is>
          <t>3000</t>
        </is>
      </c>
      <c r="AP549" t="inlineStr">
        <is>
          <t>1000</t>
        </is>
      </c>
    </row>
    <row r="550">
      <c r="A550" t="inlineStr">
        <is>
          <t>B09B1GDM5G</t>
        </is>
      </c>
      <c r="B550" t="inlineStr">
        <is>
          <t>False</t>
        </is>
      </c>
      <c r="C550" t="inlineStr">
        <is>
          <t>B09B1GDM5G</t>
        </is>
      </c>
      <c r="D550" t="inlineStr">
        <is>
          <t>True North</t>
        </is>
      </c>
      <c r="E550" t="inlineStr">
        <is>
          <t>False</t>
        </is>
      </c>
      <c r="F550" t="inlineStr">
        <is>
          <t>True North Pure Energy Seltzer, Grapefruit Lemonade, 12 Fl Oz (Pack of 12)</t>
        </is>
      </c>
      <c r="G550">
        <v>1</v>
      </c>
      <c r="H550" s="2" t="str">
        <f>HYPERLINK("https://www.amazon.com/dp/B09B1GDM5G", "https://www.amazon.com/dp/B09B1GDM5G")</f>
      </c>
      <c r="I550" s="3">
        <v>753</v>
      </c>
      <c r="J550" s="4">
        <v>17.23</v>
      </c>
      <c r="K550" s="15">
        <v>0.4595</v>
      </c>
      <c r="L550" s="15">
        <v>3.2819</v>
      </c>
      <c r="M550" t="inlineStr">
        <is>
          <t>True</t>
        </is>
      </c>
      <c r="N550" t="inlineStr">
        <is>
          <t>Grocery &amp; Gourmet Food</t>
        </is>
      </c>
      <c r="O550" s="6">
        <v>11500</v>
      </c>
      <c r="P550" s="6">
        <v>3799</v>
      </c>
      <c r="Q550" s="6">
        <v>1630</v>
      </c>
      <c r="R550" s="6">
        <v>253</v>
      </c>
      <c r="S550" s="7">
        <v>5.25</v>
      </c>
      <c r="T550" s="7">
        <v>37.5</v>
      </c>
      <c r="U550">
        <v>18.67</v>
      </c>
      <c r="V550" s="8">
        <v>0</v>
      </c>
      <c r="W550" s="7">
        <v>0</v>
      </c>
      <c r="X550" s="7">
        <v>0</v>
      </c>
      <c r="Y550">
        <v>10.01</v>
      </c>
      <c r="Z550" s="9">
        <v>0.15</v>
      </c>
      <c r="AB550">
        <v>0</v>
      </c>
      <c r="AC550">
        <v>0</v>
      </c>
      <c r="AD550">
        <v>2</v>
      </c>
      <c r="AE550">
        <v>1</v>
      </c>
      <c r="AF550">
        <v>1</v>
      </c>
      <c r="AG550">
        <v>0</v>
      </c>
      <c r="AH550">
        <v>4</v>
      </c>
      <c r="AI550" t="inlineStr">
        <is>
          <t>False</t>
        </is>
      </c>
      <c r="AJ550" s="2" t="str">
        <f>HYPERLINK("https://keepa.com/#!product/1-B09B1GDM5G", "https://keepa.com/#!product/1-B09B1GDM5G")</f>
      </c>
      <c r="AK550" s="2" t="str">
        <f>HYPERLINK("https://camelcamelcamel.com/search?sq=B09B1GDM5G", "https://camelcamelcamel.com/search?sq=B09B1GDM5G")</f>
      </c>
      <c r="AL550" t="inlineStr">
        <is>
          <t/>
        </is>
      </c>
      <c r="AM550" s="10">
        <v>45417.11111111111</v>
      </c>
      <c r="AN550" t="inlineStr">
        <is>
          <t>True North Pure Energy Seltzer, Grapefruit Lemonade, 12 Fl Oz (Pack of 12)</t>
        </is>
      </c>
      <c r="AO550" t="inlineStr">
        <is>
          <t>1000</t>
        </is>
      </c>
      <c r="AP550" t="inlineStr">
        <is>
          <t>1000</t>
        </is>
      </c>
    </row>
    <row r="551">
      <c r="A551" t="inlineStr">
        <is>
          <t>B09B44M99K</t>
        </is>
      </c>
      <c r="B551" t="inlineStr">
        <is>
          <t>False</t>
        </is>
      </c>
      <c r="C551" t="inlineStr">
        <is>
          <t>B09B44M99K</t>
        </is>
      </c>
      <c r="D551" t="inlineStr">
        <is>
          <t>LEGEND COOKWARE</t>
        </is>
      </c>
      <c r="E551" t="inlineStr">
        <is>
          <t>False</t>
        </is>
      </c>
      <c r="F551" t="inlineStr">
        <is>
          <t>Legend 8" Copper Core 5 ply Stainless Steel Frying Pan | Professional Home Chef Grade Clad Skillet | Sauté, Sear, Fry Meats, Vegetables, Cooking | All Surface Induction Oven Safe 5-ply Metal Cookware</t>
        </is>
      </c>
      <c r="G551">
        <v>1</v>
      </c>
      <c r="H551" s="2" t="str">
        <f>HYPERLINK("https://www.amazon.com/dp/B09B44M99K", "https://www.amazon.com/dp/B09B44M99K")</f>
      </c>
      <c r="I551" s="3">
        <v>71</v>
      </c>
      <c r="J551" s="12">
        <v>-2.57</v>
      </c>
      <c r="K551" s="13">
        <v>-0.0501</v>
      </c>
      <c r="L551" s="13">
        <v>-0.0676</v>
      </c>
      <c r="M551" t="inlineStr">
        <is>
          <t>True</t>
        </is>
      </c>
      <c r="N551" t="inlineStr">
        <is>
          <t>Kitchen &amp; Dining</t>
        </is>
      </c>
      <c r="O551" s="6">
        <v>82322</v>
      </c>
      <c r="P551" s="6">
        <v>61453</v>
      </c>
      <c r="Q551" s="6">
        <v>20930</v>
      </c>
      <c r="R551" s="6">
        <v>152</v>
      </c>
      <c r="S551" s="7">
        <v>38</v>
      </c>
      <c r="T551" s="7">
        <v>51.29</v>
      </c>
      <c r="U551">
        <v>60.11</v>
      </c>
      <c r="V551" s="8">
        <v>0</v>
      </c>
      <c r="W551" s="7">
        <v>0</v>
      </c>
      <c r="X551" s="7">
        <v>0</v>
      </c>
      <c r="Y551">
        <v>5.11</v>
      </c>
      <c r="Z551" s="8">
        <v>0</v>
      </c>
      <c r="AB551">
        <v>0</v>
      </c>
      <c r="AC551">
        <v>0</v>
      </c>
      <c r="AD551">
        <v>5</v>
      </c>
      <c r="AE551">
        <v>5</v>
      </c>
      <c r="AF551">
        <v>0</v>
      </c>
      <c r="AG551">
        <v>2</v>
      </c>
      <c r="AH551">
        <v>4</v>
      </c>
      <c r="AI551" t="inlineStr">
        <is>
          <t>False</t>
        </is>
      </c>
      <c r="AJ551" s="2" t="str">
        <f>HYPERLINK("https://keepa.com/#!product/1-B09B44M99K", "https://keepa.com/#!product/1-B09B44M99K")</f>
      </c>
      <c r="AK551" s="2" t="str">
        <f>HYPERLINK("https://camelcamelcamel.com/search?sq=B09B44M99K", "https://camelcamelcamel.com/search?sq=B09B44M99K")</f>
      </c>
      <c r="AL551" t="inlineStr">
        <is>
          <t/>
        </is>
      </c>
      <c r="AM551" s="10">
        <v>45417.11111111111</v>
      </c>
      <c r="AN551" t="inlineStr">
        <is>
          <t>Legend 8" Copper Core 5 ply Stainless Steel Frying Pan | Professional Home Chef Grade Clad Skillet | SautÃ©, Sear, Fry Meats, Vegetables, Cooking | All Surface Induction Oven Safe 5-ply Metal Cookware</t>
        </is>
      </c>
      <c r="AO551" t="inlineStr">
        <is>
          <t>300</t>
        </is>
      </c>
      <c r="AP551" t="inlineStr">
        <is>
          <t>TAKE ALL</t>
        </is>
      </c>
    </row>
    <row r="552">
      <c r="A552" t="inlineStr">
        <is>
          <t>B09B82LJ21</t>
        </is>
      </c>
      <c r="B552" t="inlineStr">
        <is>
          <t>False</t>
        </is>
      </c>
      <c r="C552" t="inlineStr">
        <is>
          <t>B09B82LJ21</t>
        </is>
      </c>
      <c r="D552" t="inlineStr">
        <is>
          <t>Ninja</t>
        </is>
      </c>
      <c r="E552" t="inlineStr">
        <is>
          <t>False</t>
        </is>
      </c>
      <c r="F552" t="inlineStr">
        <is>
          <t>Ninja IG651 Foodi Smart XL Pro 7-in-1 Indoor Grill/Griddle Combo, use Opened or Closed, Air Fry, Dehydrate &amp; More, Pro Power Grate, Flat Top, Crisper, Smart Thermometer, Black</t>
        </is>
      </c>
      <c r="G552">
        <v>1</v>
      </c>
      <c r="H552" s="2" t="str">
        <f>HYPERLINK("https://www.amazon.com/dp/B09B82LJ21", "https://www.amazon.com/dp/B09B82LJ21")</f>
      </c>
      <c r="I552" s="3">
        <v>629</v>
      </c>
      <c r="J552" s="12">
        <v>-16.57</v>
      </c>
      <c r="K552" s="13">
        <v>-0.07200000000000001</v>
      </c>
      <c r="L552" s="13">
        <v>-0.08960000000000001</v>
      </c>
      <c r="M552" t="inlineStr">
        <is>
          <t>True</t>
        </is>
      </c>
      <c r="N552" t="inlineStr">
        <is>
          <t>Kitchen &amp; Dining</t>
        </is>
      </c>
      <c r="O552" s="6">
        <v>11867</v>
      </c>
      <c r="P552" s="6">
        <v>26455</v>
      </c>
      <c r="Q552" s="6">
        <v>2510</v>
      </c>
      <c r="R552" s="6">
        <v>197</v>
      </c>
      <c r="S552" s="7">
        <v>185</v>
      </c>
      <c r="T552" s="7">
        <v>229.99</v>
      </c>
      <c r="U552">
        <v>276.21</v>
      </c>
      <c r="V552" s="8">
        <v>0</v>
      </c>
      <c r="W552" s="7">
        <v>0</v>
      </c>
      <c r="X552" s="7">
        <v>0</v>
      </c>
      <c r="Y552">
        <v>31.92</v>
      </c>
      <c r="Z552" s="9">
        <v>1</v>
      </c>
      <c r="AB552">
        <v>0</v>
      </c>
      <c r="AC552">
        <v>0</v>
      </c>
      <c r="AD552">
        <v>21</v>
      </c>
      <c r="AE552">
        <v>7</v>
      </c>
      <c r="AF552">
        <v>6</v>
      </c>
      <c r="AG552">
        <v>1</v>
      </c>
      <c r="AH552">
        <v>1</v>
      </c>
      <c r="AI552" t="inlineStr">
        <is>
          <t>False</t>
        </is>
      </c>
      <c r="AJ552" s="2" t="str">
        <f>HYPERLINK("https://keepa.com/#!product/1-B09B82LJ21", "https://keepa.com/#!product/1-B09B82LJ21")</f>
      </c>
      <c r="AK552" s="2" t="str">
        <f>HYPERLINK("https://camelcamelcamel.com/search?sq=B09B82LJ21", "https://camelcamelcamel.com/search?sq=B09B82LJ21")</f>
      </c>
      <c r="AL552" t="inlineStr">
        <is>
          <t/>
        </is>
      </c>
      <c r="AM552" s="10">
        <v>45417.11111111111</v>
      </c>
      <c r="AN552" t="inlineStr">
        <is>
          <t>Ninja IG651 Foodi Smart XL Pro 7-in-1 Indoor Grill/Griddle Combo, use Opened or Closed, Air Fry, Dehydrate &amp; More, Pro Power Grate, Flat Top, Crisper, Smart Thermometer, Black</t>
        </is>
      </c>
      <c r="AO552" t="inlineStr">
        <is>
          <t>500</t>
        </is>
      </c>
      <c r="AP552" t="inlineStr">
        <is>
          <t>TAKE ALL</t>
        </is>
      </c>
    </row>
    <row r="553">
      <c r="A553" t="inlineStr">
        <is>
          <t>B09BCFVBQF</t>
        </is>
      </c>
      <c r="B553" t="inlineStr">
        <is>
          <t>False</t>
        </is>
      </c>
      <c r="C553" t="inlineStr">
        <is>
          <t>B09BCFVBQF</t>
        </is>
      </c>
      <c r="D553" t="inlineStr">
        <is>
          <t>Herbalife</t>
        </is>
      </c>
      <c r="E553" t="inlineStr">
        <is>
          <t>False</t>
        </is>
      </c>
      <c r="F553" t="inlineStr">
        <is>
          <t>Herbalife Herbal Aloe Concentrate Pint: Cranberry Flavor 16 FL Oz (473 ml) for Digestive Health with Premium-Quality Aloe, Gluten-Free, 0 Calories, 0 Sugar, Naturally Flavored</t>
        </is>
      </c>
      <c r="G553">
        <v>1</v>
      </c>
      <c r="H553" s="2" t="str">
        <f>HYPERLINK("https://www.amazon.com/dp/B09BCFVBQF", "https://www.amazon.com/dp/B09BCFVBQF")</f>
      </c>
      <c r="I553" s="3">
        <v>100</v>
      </c>
      <c r="J553" s="4">
        <v>14.39</v>
      </c>
      <c r="K553" s="15">
        <v>0.327</v>
      </c>
      <c r="L553" s="15">
        <v>0.7994</v>
      </c>
      <c r="M553" t="inlineStr">
        <is>
          <t>True</t>
        </is>
      </c>
      <c r="N553" t="inlineStr">
        <is>
          <t>Health &amp; Household</t>
        </is>
      </c>
      <c r="O553" s="6">
        <v>102148</v>
      </c>
      <c r="P553" s="6">
        <v>48315</v>
      </c>
      <c r="Q553" s="6">
        <v>14733</v>
      </c>
      <c r="R553" s="6">
        <v>128</v>
      </c>
      <c r="S553" s="7">
        <v>18</v>
      </c>
      <c r="T553" s="7">
        <v>44</v>
      </c>
      <c r="U553">
        <v>39.09</v>
      </c>
      <c r="V553" s="8">
        <v>0</v>
      </c>
      <c r="W553" s="7">
        <v>0</v>
      </c>
      <c r="X553" s="7">
        <v>0</v>
      </c>
      <c r="Y553">
        <v>1.21</v>
      </c>
      <c r="Z553" s="8">
        <v>0</v>
      </c>
      <c r="AB553">
        <v>0</v>
      </c>
      <c r="AC553">
        <v>0</v>
      </c>
      <c r="AD553">
        <v>4</v>
      </c>
      <c r="AE553">
        <v>3</v>
      </c>
      <c r="AF553">
        <v>1</v>
      </c>
      <c r="AG553">
        <v>1</v>
      </c>
      <c r="AH553">
        <v>1</v>
      </c>
      <c r="AI553" t="inlineStr">
        <is>
          <t>False</t>
        </is>
      </c>
      <c r="AJ553" s="2" t="str">
        <f>HYPERLINK("https://keepa.com/#!product/1-B09BCFVBQF", "https://keepa.com/#!product/1-B09BCFVBQF")</f>
      </c>
      <c r="AK553" s="2" t="str">
        <f>HYPERLINK("https://camelcamelcamel.com/search?sq=B09BCFVBQF", "https://camelcamelcamel.com/search?sq=B09BCFVBQF")</f>
      </c>
      <c r="AL553" t="inlineStr">
        <is>
          <t/>
        </is>
      </c>
      <c r="AM553" s="10">
        <v>45417.11111111111</v>
      </c>
      <c r="AN553" t="inlineStr">
        <is>
          <t>Herbalife Herbal Aloe Concentrate Pint: Cranberry Flavor 16 FL Oz (473 ml) for Digestive Health with Premium-Quality Aloe, Gluten-Free, 0 Calories, 0 Sugar, Naturally Flavored</t>
        </is>
      </c>
      <c r="AO553" t="inlineStr">
        <is>
          <t>200</t>
        </is>
      </c>
      <c r="AP553" t="inlineStr">
        <is>
          <t>TAKE ALL</t>
        </is>
      </c>
    </row>
    <row r="554">
      <c r="A554" t="inlineStr">
        <is>
          <t>B09BW24R2B</t>
        </is>
      </c>
      <c r="B554" t="inlineStr">
        <is>
          <t>False</t>
        </is>
      </c>
      <c r="C554" t="inlineStr">
        <is>
          <t>B09BW24R2B</t>
        </is>
      </c>
      <c r="D554" t="inlineStr">
        <is>
          <t>Centrum</t>
        </is>
      </c>
      <c r="E554" t="inlineStr">
        <is>
          <t>False</t>
        </is>
      </c>
      <c r="F554" t="inlineStr">
        <is>
          <t>Centrum Multivitamin for Men, Multivitamin/Multimineral Supplement with Vitamin D3, B Vitamins and Antioxidants, Gluten Free, Non-GMO Ingredients - 250 Count</t>
        </is>
      </c>
      <c r="G554">
        <v>1</v>
      </c>
      <c r="H554" s="2" t="str">
        <f>HYPERLINK("https://www.amazon.com/dp/B09BW24R2B", "https://www.amazon.com/dp/B09BW24R2B")</f>
      </c>
      <c r="I554" s="3">
        <v>4510</v>
      </c>
      <c r="J554" s="12">
        <v>-1.05</v>
      </c>
      <c r="K554" s="13">
        <v>-0.0637</v>
      </c>
      <c r="L554" s="13">
        <v>-0.1</v>
      </c>
      <c r="M554" t="inlineStr">
        <is>
          <t>True</t>
        </is>
      </c>
      <c r="N554" t="inlineStr">
        <is>
          <t>Health &amp; Household</t>
        </is>
      </c>
      <c r="O554" s="6">
        <v>5917</v>
      </c>
      <c r="P554" s="6">
        <v>5515</v>
      </c>
      <c r="Q554" s="6">
        <v>3743</v>
      </c>
      <c r="R554" s="6">
        <v>315</v>
      </c>
      <c r="S554" s="7">
        <v>10.5</v>
      </c>
      <c r="T554" s="7">
        <v>16.49</v>
      </c>
      <c r="U554">
        <v>17.28</v>
      </c>
      <c r="V554" s="8">
        <v>0</v>
      </c>
      <c r="W554" s="7">
        <v>0</v>
      </c>
      <c r="X554" s="7">
        <v>0</v>
      </c>
      <c r="Y554">
        <v>0.93</v>
      </c>
      <c r="Z554" s="9">
        <v>1</v>
      </c>
      <c r="AB554">
        <v>0</v>
      </c>
      <c r="AC554">
        <v>0</v>
      </c>
      <c r="AD554">
        <v>22</v>
      </c>
      <c r="AE554">
        <v>15</v>
      </c>
      <c r="AF554">
        <v>7</v>
      </c>
      <c r="AG554">
        <v>11</v>
      </c>
      <c r="AH554">
        <v>1</v>
      </c>
      <c r="AI554" t="inlineStr">
        <is>
          <t>False</t>
        </is>
      </c>
      <c r="AJ554" s="2" t="str">
        <f>HYPERLINK("https://keepa.com/#!product/1-B09BW24R2B", "https://keepa.com/#!product/1-B09BW24R2B")</f>
      </c>
      <c r="AK554" s="2" t="str">
        <f>HYPERLINK("https://camelcamelcamel.com/search?sq=B09BW24R2B", "https://camelcamelcamel.com/search?sq=B09BW24R2B")</f>
      </c>
      <c r="AL554" t="inlineStr">
        <is>
          <t/>
        </is>
      </c>
      <c r="AM554" s="10">
        <v>45417.11111111111</v>
      </c>
      <c r="AN554" t="inlineStr">
        <is>
          <t>Centrum Multivitamin for Men, Multivitamin/Multimineral Supplement with Vitamin D3, B Vitamins and Antioxidants, Gluten Free, Non-GMO Ingredients - 250 Count</t>
        </is>
      </c>
      <c r="AO554" t="inlineStr">
        <is>
          <t>4800</t>
        </is>
      </c>
      <c r="AP554" t="inlineStr">
        <is>
          <t>1500</t>
        </is>
      </c>
    </row>
    <row r="555">
      <c r="A555" t="inlineStr">
        <is>
          <t>B09BZZ3MM7</t>
        </is>
      </c>
      <c r="B555" t="inlineStr">
        <is>
          <t>False</t>
        </is>
      </c>
      <c r="C555" t="inlineStr">
        <is>
          <t>B09BZZ3MM7</t>
        </is>
      </c>
      <c r="D555" t="inlineStr">
        <is>
          <t>Amazon</t>
        </is>
      </c>
      <c r="E555" t="inlineStr">
        <is>
          <t>False</t>
        </is>
      </c>
      <c r="F555" t="inlineStr">
        <is>
          <t>Amazon Fire TV Cube, Hands-free streaming device with Alexa, Wi-Fi 6E, 4K Ultra HD</t>
        </is>
      </c>
      <c r="G555">
        <v>1</v>
      </c>
      <c r="H555" s="2" t="str">
        <f>HYPERLINK("https://www.amazon.com/dp/B09BZZ3MM7", "https://www.amazon.com/dp/B09BZZ3MM7")</f>
      </c>
      <c r="I555" s="14">
        <v>5</v>
      </c>
      <c r="J555" s="4">
        <v>24.9</v>
      </c>
      <c r="K555" s="5">
        <v>0.2165</v>
      </c>
      <c r="L555" s="15">
        <v>0.3716</v>
      </c>
      <c r="M555" t="inlineStr">
        <is>
          <t>True</t>
        </is>
      </c>
      <c r="N555" t="inlineStr">
        <is>
          <t>Amazon Devices &amp; Accessories</t>
        </is>
      </c>
      <c r="O555" s="6">
        <v>43</v>
      </c>
      <c r="P555" s="6">
        <v>0</v>
      </c>
      <c r="Q555" s="6">
        <v>0</v>
      </c>
      <c r="R555" s="6">
        <v>0</v>
      </c>
      <c r="S555" s="7">
        <v>67</v>
      </c>
      <c r="T555" s="7">
        <v>114.99</v>
      </c>
      <c r="U555">
        <v>123.09</v>
      </c>
      <c r="V555" s="8">
        <v>0</v>
      </c>
      <c r="W555" s="7">
        <v>0</v>
      </c>
      <c r="X555" s="7">
        <v>0</v>
      </c>
      <c r="Y555">
        <v>1.98</v>
      </c>
      <c r="Z555" s="9">
        <v>1</v>
      </c>
      <c r="AB555">
        <v>0</v>
      </c>
      <c r="AC555">
        <v>0</v>
      </c>
      <c r="AD555">
        <v>3</v>
      </c>
      <c r="AE555">
        <v>1</v>
      </c>
      <c r="AF555">
        <v>1</v>
      </c>
      <c r="AG555">
        <v>1</v>
      </c>
      <c r="AH555">
        <v>1</v>
      </c>
      <c r="AI555" t="inlineStr">
        <is>
          <t>False</t>
        </is>
      </c>
      <c r="AJ555" s="2" t="str">
        <f>HYPERLINK("https://keepa.com/#!product/1-B09BZZ3MM7", "https://keepa.com/#!product/1-B09BZZ3MM7")</f>
      </c>
      <c r="AK555" s="2" t="str">
        <f>HYPERLINK("https://camelcamelcamel.com/search?sq=B09BZZ3MM7", "https://camelcamelcamel.com/search?sq=B09BZZ3MM7")</f>
      </c>
      <c r="AL555" t="inlineStr">
        <is>
          <t/>
        </is>
      </c>
      <c r="AM555" s="10">
        <v>45417.11111111111</v>
      </c>
      <c r="AN555" t="inlineStr">
        <is>
          <t>Amazon Fire TV Cube, Hands-free streaming device with Alexa, Wi-Fi 6E, 4K Ultra HD</t>
        </is>
      </c>
      <c r="AO555" t="inlineStr">
        <is>
          <t>500</t>
        </is>
      </c>
      <c r="AP555" t="inlineStr">
        <is>
          <t>TAKE ALL</t>
        </is>
      </c>
    </row>
    <row r="556">
      <c r="A556" t="inlineStr">
        <is>
          <t>B09CFP6J6D</t>
        </is>
      </c>
      <c r="B556" t="inlineStr">
        <is>
          <t>False</t>
        </is>
      </c>
      <c r="C556" t="inlineStr">
        <is>
          <t>B09CFP6J6D</t>
        </is>
      </c>
      <c r="D556" t="inlineStr">
        <is>
          <t>Sony</t>
        </is>
      </c>
      <c r="E556" t="inlineStr">
        <is>
          <t>False</t>
        </is>
      </c>
      <c r="F556" t="inlineStr">
        <is>
          <t>Sony WF-C500 Truly Wireless In-Ear Bluetooth Earbud Headphones with Mic and IPX4 water resistance, Black</t>
        </is>
      </c>
      <c r="G556">
        <v>1</v>
      </c>
      <c r="H556" s="2" t="str">
        <f>HYPERLINK("https://www.amazon.com/dp/B09CFP6J6D", "https://www.amazon.com/dp/B09CFP6J6D")</f>
      </c>
      <c r="I556" s="3">
        <v>264</v>
      </c>
      <c r="J556" s="4">
        <v>8.27</v>
      </c>
      <c r="K556" s="5">
        <v>0.094</v>
      </c>
      <c r="L556" s="5">
        <v>0.1323</v>
      </c>
      <c r="M556" t="inlineStr">
        <is>
          <t>True</t>
        </is>
      </c>
      <c r="N556" t="inlineStr">
        <is>
          <t>Electronics</t>
        </is>
      </c>
      <c r="O556" s="6">
        <v>15164</v>
      </c>
      <c r="P556" s="6">
        <v>8920</v>
      </c>
      <c r="Q556" s="6">
        <v>3015</v>
      </c>
      <c r="R556" s="6">
        <v>277</v>
      </c>
      <c r="S556" s="7">
        <v>62.5</v>
      </c>
      <c r="T556" s="7">
        <v>88</v>
      </c>
      <c r="U556">
        <v>86.84</v>
      </c>
      <c r="V556" s="8">
        <v>0</v>
      </c>
      <c r="W556" s="7">
        <v>0</v>
      </c>
      <c r="X556" s="7">
        <v>0</v>
      </c>
      <c r="Y556">
        <v>0.31</v>
      </c>
      <c r="Z556" s="9">
        <v>0.06</v>
      </c>
      <c r="AB556">
        <v>0</v>
      </c>
      <c r="AC556">
        <v>0</v>
      </c>
      <c r="AD556">
        <v>26</v>
      </c>
      <c r="AE556">
        <v>2</v>
      </c>
      <c r="AF556">
        <v>0</v>
      </c>
      <c r="AG556">
        <v>0</v>
      </c>
      <c r="AH556">
        <v>2</v>
      </c>
      <c r="AI556" t="inlineStr">
        <is>
          <t>True</t>
        </is>
      </c>
      <c r="AJ556" s="2" t="str">
        <f>HYPERLINK("https://keepa.com/#!product/1-B09CFP6J6D", "https://keepa.com/#!product/1-B09CFP6J6D")</f>
      </c>
      <c r="AK556" s="2" t="str">
        <f>HYPERLINK("https://camelcamelcamel.com/search?sq=B09CFP6J6D", "https://camelcamelcamel.com/search?sq=B09CFP6J6D")</f>
      </c>
      <c r="AL556" t="inlineStr">
        <is>
          <t/>
        </is>
      </c>
      <c r="AM556" s="10">
        <v>45417.11111111111</v>
      </c>
      <c r="AN556" t="inlineStr">
        <is>
          <t>Sony WF-C500 Truly Wireless In-Ear Bluetooth Earbud Headphones with Mic and IPX4 water resistance, Black</t>
        </is>
      </c>
      <c r="AO556" t="inlineStr">
        <is>
          <t>350</t>
        </is>
      </c>
      <c r="AP556" t="inlineStr">
        <is>
          <t>TAKE ALL</t>
        </is>
      </c>
    </row>
    <row r="557">
      <c r="A557" t="inlineStr">
        <is>
          <t>B09CZFYGF5</t>
        </is>
      </c>
      <c r="B557" t="inlineStr">
        <is>
          <t>False</t>
        </is>
      </c>
      <c r="C557" t="inlineStr">
        <is>
          <t>B09CZFYGF5</t>
        </is>
      </c>
      <c r="D557" t="inlineStr">
        <is>
          <t>Mueller Austria</t>
        </is>
      </c>
      <c r="E557" t="inlineStr">
        <is>
          <t>False</t>
        </is>
      </c>
      <c r="F557" t="inlineStr">
        <is>
          <t>Mueller Countertop Nugget Ice Maker – Quiet, Heavy-Duty Ice Machine, 30 lbs Daily, 3 QT Tank, Compact &amp; Portable, Includes Basket - Self-Cleaning Feature</t>
        </is>
      </c>
      <c r="G557">
        <v>1</v>
      </c>
      <c r="H557" s="2" t="str">
        <f>HYPERLINK("https://www.amazon.com/dp/B09CZFYGF5", "https://www.amazon.com/dp/B09CZFYGF5")</f>
      </c>
      <c r="I557" s="3">
        <v>1049</v>
      </c>
      <c r="J557" s="4">
        <v>48.82</v>
      </c>
      <c r="K557" s="5">
        <v>0.1812</v>
      </c>
      <c r="L557" s="5">
        <v>0.2822</v>
      </c>
      <c r="M557" t="inlineStr">
        <is>
          <t>True</t>
        </is>
      </c>
      <c r="N557" t="inlineStr">
        <is>
          <t>Appliances</t>
        </is>
      </c>
      <c r="O557" s="6">
        <v>60</v>
      </c>
      <c r="P557" s="6">
        <v>116</v>
      </c>
      <c r="Q557" s="6">
        <v>35</v>
      </c>
      <c r="R557" s="6">
        <v>261</v>
      </c>
      <c r="S557" s="7">
        <v>173</v>
      </c>
      <c r="T557" s="7">
        <v>269.5</v>
      </c>
      <c r="U557">
        <v>297.53</v>
      </c>
      <c r="V557" s="8">
        <v>0</v>
      </c>
      <c r="W557" s="7">
        <v>0</v>
      </c>
      <c r="X557" s="7">
        <v>0</v>
      </c>
      <c r="Y557">
        <v>39.6</v>
      </c>
      <c r="Z557" s="8">
        <v>0</v>
      </c>
      <c r="AB557">
        <v>0</v>
      </c>
      <c r="AC557">
        <v>0</v>
      </c>
      <c r="AD557">
        <v>7</v>
      </c>
      <c r="AE557">
        <v>4</v>
      </c>
      <c r="AF557">
        <v>0</v>
      </c>
      <c r="AG557">
        <v>1</v>
      </c>
      <c r="AH557">
        <v>0</v>
      </c>
      <c r="AI557" t="inlineStr">
        <is>
          <t>True</t>
        </is>
      </c>
      <c r="AJ557" s="2" t="str">
        <f>HYPERLINK("https://keepa.com/#!product/1-B09CZFYGF5", "https://keepa.com/#!product/1-B09CZFYGF5")</f>
      </c>
      <c r="AK557" s="2" t="str">
        <f>HYPERLINK("https://camelcamelcamel.com/search?sq=B09CZFYGF5", "https://camelcamelcamel.com/search?sq=B09CZFYGF5")</f>
      </c>
      <c r="AL557" t="inlineStr">
        <is>
          <t/>
        </is>
      </c>
      <c r="AM557" s="10">
        <v>45417.11111111111</v>
      </c>
      <c r="AN557" t="inlineStr">
        <is>
          <t>Mueller Nugget Ice Maker Machine, Quietest Heavy-Duty Countertop Ice Machine, 30 lbs of Ice per Day, Compact Portable Ice Cube Maker, 3 QT Water Reservoir, Self-Cleaning with Basket</t>
        </is>
      </c>
      <c r="AO557" t="inlineStr">
        <is>
          <t>252</t>
        </is>
      </c>
      <c r="AP557" t="inlineStr">
        <is>
          <t>125</t>
        </is>
      </c>
    </row>
    <row r="558">
      <c r="A558" t="inlineStr">
        <is>
          <t>B09DPMTHSR</t>
        </is>
      </c>
      <c r="B558" t="inlineStr">
        <is>
          <t>False</t>
        </is>
      </c>
      <c r="C558" t="inlineStr">
        <is>
          <t>B09DPMTHSR</t>
        </is>
      </c>
      <c r="D558" t="inlineStr">
        <is>
          <t>LASTAR</t>
        </is>
      </c>
      <c r="E558" t="inlineStr">
        <is>
          <t>False</t>
        </is>
      </c>
      <c r="F558" t="inlineStr">
        <is>
          <t>LASTAR Desk Lamp, Dimmable Eye-Protecting Table Lamps with Night Light, USB Charging Port, 4 Color Temperature Modes, 5 Brightness Levels, 1H Timer, Touch Control for Home Office Bedroom</t>
        </is>
      </c>
      <c r="G558">
        <v>1</v>
      </c>
      <c r="H558" s="2" t="str">
        <f>HYPERLINK("https://www.amazon.com/dp/B09DPMTHSR", "https://www.amazon.com/dp/B09DPMTHSR")</f>
      </c>
      <c r="I558" s="3">
        <v>178</v>
      </c>
      <c r="J558" s="12">
        <v>-2.77</v>
      </c>
      <c r="K558" s="13">
        <v>-0.126</v>
      </c>
      <c r="L558" s="13">
        <v>-0.17309999999999998</v>
      </c>
      <c r="M558" t="inlineStr">
        <is>
          <t>True</t>
        </is>
      </c>
      <c r="N558" t="inlineStr">
        <is>
          <t>Tools &amp; Home Improvement</t>
        </is>
      </c>
      <c r="O558" s="6">
        <v>53328</v>
      </c>
      <c r="P558" s="6">
        <v>32443</v>
      </c>
      <c r="Q558" s="6">
        <v>12856</v>
      </c>
      <c r="R558" s="6">
        <v>177</v>
      </c>
      <c r="S558" s="7">
        <v>16</v>
      </c>
      <c r="T558" s="7">
        <v>21.99</v>
      </c>
      <c r="U558">
        <v>22.02</v>
      </c>
      <c r="V558" s="8">
        <v>0</v>
      </c>
      <c r="W558" s="7">
        <v>0</v>
      </c>
      <c r="X558" s="7">
        <v>0</v>
      </c>
      <c r="Y558">
        <v>1.34</v>
      </c>
      <c r="Z558" s="8">
        <v>0</v>
      </c>
      <c r="AB558">
        <v>0</v>
      </c>
      <c r="AC558">
        <v>0</v>
      </c>
      <c r="AD558">
        <v>5</v>
      </c>
      <c r="AE558">
        <v>5</v>
      </c>
      <c r="AF558">
        <v>0</v>
      </c>
      <c r="AG558">
        <v>1</v>
      </c>
      <c r="AH558">
        <v>4</v>
      </c>
      <c r="AI558" t="inlineStr">
        <is>
          <t>False</t>
        </is>
      </c>
      <c r="AJ558" s="2" t="str">
        <f>HYPERLINK("https://keepa.com/#!product/1-B09DPMTHSR", "https://keepa.com/#!product/1-B09DPMTHSR")</f>
      </c>
      <c r="AK558" s="2" t="str">
        <f>HYPERLINK("https://camelcamelcamel.com/search?sq=B09DPMTHSR", "https://camelcamelcamel.com/search?sq=B09DPMTHSR")</f>
      </c>
      <c r="AL558" t="inlineStr">
        <is>
          <t/>
        </is>
      </c>
      <c r="AM558" s="10">
        <v>45417.11111111111</v>
      </c>
      <c r="AN558" t="inlineStr">
        <is>
          <t>LASTAR LED Desk Lamp, Dimmable Eye-Protecting Table Lamps with Night Light, USB Charging Port, 4 Color Temperature Modes, 5 Brightness Levels, 1H Timer, Touch Control for Home Office Bedroom</t>
        </is>
      </c>
      <c r="AO558" t="inlineStr">
        <is>
          <t>2000</t>
        </is>
      </c>
      <c r="AP558" t="inlineStr">
        <is>
          <t>500</t>
        </is>
      </c>
    </row>
    <row r="559">
      <c r="A559" t="inlineStr">
        <is>
          <t>B09DZ4WYNR</t>
        </is>
      </c>
      <c r="B559" t="inlineStr">
        <is>
          <t>False</t>
        </is>
      </c>
      <c r="C559" t="inlineStr">
        <is>
          <t>B09DZ4WYNR</t>
        </is>
      </c>
      <c r="D559" t="inlineStr">
        <is>
          <t>Homedics</t>
        </is>
      </c>
      <c r="E559" t="inlineStr">
        <is>
          <t>False</t>
        </is>
      </c>
      <c r="F559" t="inlineStr">
        <is>
          <t>Homedics Ultrasonic Humidifier - Large Deluxe Air Humidifiers for Bedroom, Plants, Office - Top-Fill 1.47-Gallon Tank, Cool Mist, Essential Oil Pads and Built-In Timer, 3 Speed Settings, White</t>
        </is>
      </c>
      <c r="G559">
        <v>1</v>
      </c>
      <c r="H559" s="2" t="str">
        <f>HYPERLINK("https://www.amazon.com/dp/B09DZ4WYNR", "https://www.amazon.com/dp/B09DZ4WYNR")</f>
      </c>
      <c r="I559" s="3">
        <v>759</v>
      </c>
      <c r="J559" s="4">
        <v>13.4</v>
      </c>
      <c r="K559" s="5">
        <v>0.1506</v>
      </c>
      <c r="L559" s="5">
        <v>0.2792</v>
      </c>
      <c r="M559" t="inlineStr">
        <is>
          <t>True</t>
        </is>
      </c>
      <c r="N559" t="inlineStr">
        <is>
          <t>Home &amp; Kitchen</t>
        </is>
      </c>
      <c r="O559" s="6">
        <v>35647</v>
      </c>
      <c r="P559" s="6">
        <v>27427</v>
      </c>
      <c r="Q559" s="6">
        <v>10680</v>
      </c>
      <c r="R559" s="6">
        <v>208</v>
      </c>
      <c r="S559" s="7">
        <v>48</v>
      </c>
      <c r="T559" s="7">
        <v>89</v>
      </c>
      <c r="U559">
        <v>86.23</v>
      </c>
      <c r="V559" s="8">
        <v>0</v>
      </c>
      <c r="W559" s="7">
        <v>0</v>
      </c>
      <c r="X559" s="7">
        <v>0</v>
      </c>
      <c r="Y559">
        <v>8.13</v>
      </c>
      <c r="Z559" s="9">
        <v>1</v>
      </c>
      <c r="AB559">
        <v>0</v>
      </c>
      <c r="AC559">
        <v>0</v>
      </c>
      <c r="AD559">
        <v>38</v>
      </c>
      <c r="AE559">
        <v>1</v>
      </c>
      <c r="AF559">
        <v>15</v>
      </c>
      <c r="AG559">
        <v>1</v>
      </c>
      <c r="AH559">
        <v>1</v>
      </c>
      <c r="AI559" t="inlineStr">
        <is>
          <t>False</t>
        </is>
      </c>
      <c r="AJ559" s="2" t="str">
        <f>HYPERLINK("https://keepa.com/#!product/1-B09DZ4WYNR", "https://keepa.com/#!product/1-B09DZ4WYNR")</f>
      </c>
      <c r="AK559" s="2" t="str">
        <f>HYPERLINK("https://camelcamelcamel.com/search?sq=B09DZ4WYNR", "https://camelcamelcamel.com/search?sq=B09DZ4WYNR")</f>
      </c>
      <c r="AL559" t="inlineStr">
        <is>
          <t/>
        </is>
      </c>
      <c r="AM559" s="10">
        <v>45417.11111111111</v>
      </c>
      <c r="AN559" t="inlineStr">
        <is>
          <t>Homedics Ultrasonic Humidifier - Large Deluxe Air Humidifiers for Bedroom, Plants, Office - Top-Fill 1.47-Gallon Tank, Cool Mist, Essential Oil Pads and Built-In Timer, 3 Speed Settings, White</t>
        </is>
      </c>
      <c r="AO559" t="inlineStr">
        <is>
          <t>700</t>
        </is>
      </c>
      <c r="AP559" t="inlineStr">
        <is>
          <t>TAKE ALL</t>
        </is>
      </c>
    </row>
    <row r="560">
      <c r="A560" t="inlineStr">
        <is>
          <t>B09FCMSJZG</t>
        </is>
      </c>
      <c r="B560" t="inlineStr">
        <is>
          <t>False</t>
        </is>
      </c>
      <c r="C560" t="inlineStr">
        <is>
          <t>B09FCMSJZG</t>
        </is>
      </c>
      <c r="D560" t="inlineStr">
        <is>
          <t>Google</t>
        </is>
      </c>
      <c r="E560" t="inlineStr">
        <is>
          <t>False</t>
        </is>
      </c>
      <c r="F560" t="inlineStr">
        <is>
          <t>Google Nest Cam Outdoor or Indoor, Battery - 2nd Generation - 1 Pack</t>
        </is>
      </c>
      <c r="G560">
        <v>1</v>
      </c>
      <c r="H560" s="2" t="str">
        <f>HYPERLINK("https://www.amazon.com/dp/B09FCMSJZG", "https://www.amazon.com/dp/B09FCMSJZG")</f>
      </c>
      <c r="I560" s="14">
        <v>5</v>
      </c>
      <c r="J560" s="4">
        <v>51.82</v>
      </c>
      <c r="K560" s="5">
        <v>0.2929</v>
      </c>
      <c r="L560" s="15">
        <v>0.4935</v>
      </c>
      <c r="M560" t="inlineStr">
        <is>
          <t>False</t>
        </is>
      </c>
      <c r="N560" t="inlineStr">
        <is>
          <t>Bullet Surveillance Cameras</t>
        </is>
      </c>
      <c r="O560" s="6">
        <v>12</v>
      </c>
      <c r="P560" s="6">
        <v>0</v>
      </c>
      <c r="Q560" s="6">
        <v>0</v>
      </c>
      <c r="R560" s="6">
        <v>0</v>
      </c>
      <c r="S560" s="7">
        <v>105</v>
      </c>
      <c r="T560" s="7">
        <v>176.9</v>
      </c>
      <c r="U560">
        <v>156.87</v>
      </c>
      <c r="V560" s="8">
        <v>0</v>
      </c>
      <c r="W560" s="7">
        <v>0</v>
      </c>
      <c r="X560" s="7">
        <v>0</v>
      </c>
      <c r="Y560">
        <v>1.85</v>
      </c>
      <c r="Z560" s="9">
        <v>1</v>
      </c>
      <c r="AB560">
        <v>0</v>
      </c>
      <c r="AC560">
        <v>0</v>
      </c>
      <c r="AD560">
        <v>32</v>
      </c>
      <c r="AE560">
        <v>12</v>
      </c>
      <c r="AF560">
        <v>3</v>
      </c>
      <c r="AG560">
        <v>10</v>
      </c>
      <c r="AH560">
        <v>3</v>
      </c>
      <c r="AI560" t="inlineStr">
        <is>
          <t>True</t>
        </is>
      </c>
      <c r="AJ560" s="2" t="str">
        <f>HYPERLINK("https://keepa.com/#!product/1-B09FCMSJZG", "https://keepa.com/#!product/1-B09FCMSJZG")</f>
      </c>
      <c r="AK560" s="2" t="str">
        <f>HYPERLINK("https://camelcamelcamel.com/search?sq=B09FCMSJZG", "https://camelcamelcamel.com/search?sq=B09FCMSJZG")</f>
      </c>
      <c r="AL560" t="inlineStr">
        <is>
          <t/>
        </is>
      </c>
      <c r="AM560" s="10">
        <v>45417.11111111111</v>
      </c>
      <c r="AN560" t="inlineStr">
        <is>
          <t>Google Nest Cam Outdoor or Indoor, Battery - 2nd Generation - 1 Pack</t>
        </is>
      </c>
      <c r="AO560" t="inlineStr">
        <is>
          <t>380</t>
        </is>
      </c>
      <c r="AP560" t="inlineStr">
        <is>
          <t>TAKE ALL</t>
        </is>
      </c>
    </row>
    <row r="561">
      <c r="A561" t="inlineStr">
        <is>
          <t>B09FWH6CQK</t>
        </is>
      </c>
      <c r="B561" t="inlineStr">
        <is>
          <t>False</t>
        </is>
      </c>
      <c r="C561" t="inlineStr">
        <is>
          <t>B09FWH6CQK</t>
        </is>
      </c>
      <c r="D561" t="inlineStr">
        <is>
          <t>Certified Brands</t>
        </is>
      </c>
      <c r="E561" t="inlineStr">
        <is>
          <t>False</t>
        </is>
      </c>
      <c r="F561" t="inlineStr">
        <is>
          <t>Garmin Dash Cam Mini 2, 1080p, 140-degree FOV, Incident Detection Recording and Signature Series Cloth</t>
        </is>
      </c>
      <c r="G561">
        <v>1</v>
      </c>
      <c r="H561" s="2" t="str">
        <f>HYPERLINK("https://www.amazon.com/dp/B09FWH6CQK", "https://www.amazon.com/dp/B09FWH6CQK")</f>
      </c>
      <c r="I561" s="3">
        <v>1001</v>
      </c>
      <c r="J561" s="4">
        <v>48.41</v>
      </c>
      <c r="K561" s="15">
        <v>0.3724</v>
      </c>
      <c r="L561" s="15">
        <v>0.7199</v>
      </c>
      <c r="M561" t="inlineStr">
        <is>
          <t>True</t>
        </is>
      </c>
      <c r="N561" t="inlineStr">
        <is>
          <t>Electronics</t>
        </is>
      </c>
      <c r="O561" s="6">
        <v>4184</v>
      </c>
      <c r="P561" s="6">
        <v>4175</v>
      </c>
      <c r="Q561" s="6">
        <v>1095</v>
      </c>
      <c r="R561" s="6">
        <v>275</v>
      </c>
      <c r="S561" s="7">
        <v>67.25</v>
      </c>
      <c r="T561" s="7">
        <v>129.99</v>
      </c>
      <c r="U561">
        <v>123.17</v>
      </c>
      <c r="V561" s="8">
        <v>0</v>
      </c>
      <c r="W561" s="7">
        <v>0</v>
      </c>
      <c r="X561" s="7">
        <v>0</v>
      </c>
      <c r="Y561">
        <v>0.49</v>
      </c>
      <c r="Z561" s="8">
        <v>0</v>
      </c>
      <c r="AB561">
        <v>0</v>
      </c>
      <c r="AC561">
        <v>0</v>
      </c>
      <c r="AD561">
        <v>4</v>
      </c>
      <c r="AE561">
        <v>1</v>
      </c>
      <c r="AF561">
        <v>3</v>
      </c>
      <c r="AG561">
        <v>1</v>
      </c>
      <c r="AH561">
        <v>2</v>
      </c>
      <c r="AI561" t="inlineStr">
        <is>
          <t>False</t>
        </is>
      </c>
      <c r="AJ561" s="2" t="str">
        <f>HYPERLINK("https://keepa.com/#!product/1-B09FWH6CQK", "https://keepa.com/#!product/1-B09FWH6CQK")</f>
      </c>
      <c r="AK561" s="2" t="str">
        <f>HYPERLINK("https://camelcamelcamel.com/search?sq=B09FWH6CQK", "https://camelcamelcamel.com/search?sq=B09FWH6CQK")</f>
      </c>
      <c r="AL561" t="inlineStr">
        <is>
          <t/>
        </is>
      </c>
      <c r="AM561" s="10">
        <v>45417.11111111111</v>
      </c>
      <c r="AN561" t="inlineStr">
        <is>
          <t>Garmin Dash Cam Mini 2, 1080p, 140-degree FOV, Incident Detection Recording and Signature Series Cloth</t>
        </is>
      </c>
      <c r="AO561" t="inlineStr">
        <is>
          <t>556</t>
        </is>
      </c>
      <c r="AP561" t="inlineStr">
        <is>
          <t>250</t>
        </is>
      </c>
    </row>
    <row r="562">
      <c r="A562" t="inlineStr">
        <is>
          <t>B09GCJDV83</t>
        </is>
      </c>
      <c r="B562" t="inlineStr">
        <is>
          <t>False</t>
        </is>
      </c>
      <c r="C562" t="inlineStr">
        <is>
          <t>B09GCJDV83</t>
        </is>
      </c>
      <c r="D562" t="inlineStr">
        <is>
          <t>King C. Gillette</t>
        </is>
      </c>
      <c r="E562" t="inlineStr">
        <is>
          <t>False</t>
        </is>
      </c>
      <c r="F562" t="inlineStr">
        <is>
          <t>King C. Gillette Beard Thickener formulated with Vitamin B complex and Caffeine, 1.7oz</t>
        </is>
      </c>
      <c r="G562">
        <v>1</v>
      </c>
      <c r="H562" s="2" t="str">
        <f>HYPERLINK("https://www.amazon.com/dp/B09GCJDV83", "https://www.amazon.com/dp/B09GCJDV83")</f>
      </c>
      <c r="I562" s="3">
        <v>450</v>
      </c>
      <c r="J562" s="12">
        <v>-1.65</v>
      </c>
      <c r="K562" s="13">
        <v>-0.18289999999999998</v>
      </c>
      <c r="L562" s="13">
        <v>-0.275</v>
      </c>
      <c r="M562" t="inlineStr">
        <is>
          <t>True</t>
        </is>
      </c>
      <c r="N562" t="inlineStr">
        <is>
          <t>Beauty &amp; Personal Care</t>
        </is>
      </c>
      <c r="O562" s="6">
        <v>33481</v>
      </c>
      <c r="P562" s="6">
        <v>25119</v>
      </c>
      <c r="Q562" s="6">
        <v>12463</v>
      </c>
      <c r="R562" s="6">
        <v>176</v>
      </c>
      <c r="S562" s="7">
        <v>6</v>
      </c>
      <c r="T562" s="7">
        <v>9.02</v>
      </c>
      <c r="U562">
        <v>9.25</v>
      </c>
      <c r="V562" s="8">
        <v>0</v>
      </c>
      <c r="W562" s="7">
        <v>0</v>
      </c>
      <c r="X562" s="7">
        <v>0</v>
      </c>
      <c r="Y562">
        <v>0.29</v>
      </c>
      <c r="Z562" s="9">
        <v>1</v>
      </c>
      <c r="AB562">
        <v>0</v>
      </c>
      <c r="AC562">
        <v>0</v>
      </c>
      <c r="AD562">
        <v>15</v>
      </c>
      <c r="AE562">
        <v>6</v>
      </c>
      <c r="AF562">
        <v>9</v>
      </c>
      <c r="AG562">
        <v>5</v>
      </c>
      <c r="AH562">
        <v>0</v>
      </c>
      <c r="AI562" t="inlineStr">
        <is>
          <t>True</t>
        </is>
      </c>
      <c r="AJ562" s="2" t="str">
        <f>HYPERLINK("https://keepa.com/#!product/1-B09GCJDV83", "https://keepa.com/#!product/1-B09GCJDV83")</f>
      </c>
      <c r="AK562" s="2" t="str">
        <f>HYPERLINK("https://camelcamelcamel.com/search?sq=B09GCJDV83", "https://camelcamelcamel.com/search?sq=B09GCJDV83")</f>
      </c>
      <c r="AL562" t="inlineStr">
        <is>
          <t/>
        </is>
      </c>
      <c r="AM562" s="10">
        <v>45417.11111111111</v>
      </c>
      <c r="AN562" t="inlineStr">
        <is>
          <t>King C. Gillette Beard Thickener formulated with Vitamin B complex and Caffeine, 1.7oz</t>
        </is>
      </c>
      <c r="AO562" t="inlineStr">
        <is>
          <t>360</t>
        </is>
      </c>
      <c r="AP562" t="inlineStr">
        <is>
          <t>180</t>
        </is>
      </c>
    </row>
    <row r="563">
      <c r="A563" t="inlineStr">
        <is>
          <t>B09GQZMZZ1</t>
        </is>
      </c>
      <c r="B563" t="inlineStr">
        <is>
          <t>False</t>
        </is>
      </c>
      <c r="C563" t="inlineStr">
        <is>
          <t>B09GQZMZZ1</t>
        </is>
      </c>
      <c r="D563" t="inlineStr">
        <is>
          <t>Banana Boat</t>
        </is>
      </c>
      <c r="E563" t="inlineStr">
        <is>
          <t>False</t>
        </is>
      </c>
      <c r="F563" t="inlineStr">
        <is>
          <t>Banana Boat Sport Ultra SPF 60 Roll On Sunscreen, 2.5oz | Sunscreen Roller, Travel Size Sunscreen, Oxybenzone Free Sunscreen, SPF 60 Sunscreen Roll On, Water Resistant Sunscreen, 2.5oz</t>
        </is>
      </c>
      <c r="G563">
        <v>1</v>
      </c>
      <c r="H563" s="2" t="str">
        <f>HYPERLINK("https://www.amazon.com/dp/B09GQZMZZ1", "https://www.amazon.com/dp/B09GQZMZZ1")</f>
      </c>
      <c r="I563" s="3">
        <v>7395</v>
      </c>
      <c r="J563" s="11">
        <v>0.43</v>
      </c>
      <c r="K563" s="5">
        <v>0.0538</v>
      </c>
      <c r="L563" s="5">
        <v>0.1075</v>
      </c>
      <c r="M563" t="inlineStr">
        <is>
          <t>True</t>
        </is>
      </c>
      <c r="N563" t="inlineStr">
        <is>
          <t>Beauty &amp; Personal Care</t>
        </is>
      </c>
      <c r="O563" s="6">
        <v>2201</v>
      </c>
      <c r="P563" s="6">
        <v>14265</v>
      </c>
      <c r="Q563" s="6">
        <v>1250</v>
      </c>
      <c r="R563" s="6">
        <v>202</v>
      </c>
      <c r="S563" s="7">
        <v>4</v>
      </c>
      <c r="T563" s="7">
        <v>7.99</v>
      </c>
      <c r="U563">
        <v>8.72</v>
      </c>
      <c r="V563" s="8">
        <v>0</v>
      </c>
      <c r="W563" s="7">
        <v>0</v>
      </c>
      <c r="X563" s="7">
        <v>0</v>
      </c>
      <c r="Y563">
        <v>0.24</v>
      </c>
      <c r="Z563" s="9">
        <v>1</v>
      </c>
      <c r="AB563">
        <v>0</v>
      </c>
      <c r="AC563">
        <v>0</v>
      </c>
      <c r="AD563">
        <v>14</v>
      </c>
      <c r="AE563">
        <v>5</v>
      </c>
      <c r="AF563">
        <v>9</v>
      </c>
      <c r="AG563">
        <v>2</v>
      </c>
      <c r="AH563">
        <v>2</v>
      </c>
      <c r="AI563" t="inlineStr">
        <is>
          <t>False</t>
        </is>
      </c>
      <c r="AJ563" s="2" t="str">
        <f>HYPERLINK("https://keepa.com/#!product/1-B09GQZMZZ1", "https://keepa.com/#!product/1-B09GQZMZZ1")</f>
      </c>
      <c r="AK563" s="2" t="str">
        <f>HYPERLINK("https://camelcamelcamel.com/search?sq=B09GQZMZZ1", "https://camelcamelcamel.com/search?sq=B09GQZMZZ1")</f>
      </c>
      <c r="AL563" t="inlineStr">
        <is>
          <t/>
        </is>
      </c>
      <c r="AM563" s="10">
        <v>45417.11111111111</v>
      </c>
      <c r="AN563" t="inlineStr">
        <is>
          <t>Banana Hot Deal</t>
        </is>
      </c>
      <c r="AO563" t="inlineStr">
        <is>
          <t>440</t>
        </is>
      </c>
      <c r="AP563" t="inlineStr">
        <is>
          <t>220</t>
        </is>
      </c>
    </row>
    <row r="564">
      <c r="A564" t="inlineStr">
        <is>
          <t>B09H2N7N1B</t>
        </is>
      </c>
      <c r="B564" t="inlineStr">
        <is>
          <t>False</t>
        </is>
      </c>
      <c r="C564" t="inlineStr">
        <is>
          <t>B09H2N7N1B</t>
        </is>
      </c>
      <c r="D564" t="inlineStr">
        <is>
          <t>DDSNTY</t>
        </is>
      </c>
      <c r="E564" t="inlineStr">
        <is>
          <t>False</t>
        </is>
      </c>
      <c r="F564" t="inlineStr">
        <is>
          <t>DDSNTY 27”Snow Brush and Detachable Ice Scraper, 2 PC Snow Brush and Ice Scraper Set,Comfortable Foam Grip,Detachable Scraper,Suitable for car SUV and Truck</t>
        </is>
      </c>
      <c r="G564">
        <v>1</v>
      </c>
      <c r="H564" s="2" t="str">
        <f>HYPERLINK("https://www.amazon.com/dp/B09H2N7N1B", "https://www.amazon.com/dp/B09H2N7N1B")</f>
      </c>
      <c r="I564" s="16">
        <v>20</v>
      </c>
      <c r="M564" t="inlineStr">
        <is>
          <t>True</t>
        </is>
      </c>
      <c r="N564" t="inlineStr">
        <is>
          <t>Automotive</t>
        </is>
      </c>
      <c r="O564" s="6">
        <v>267872</v>
      </c>
      <c r="P564" s="6">
        <v>189152</v>
      </c>
      <c r="Q564" s="6">
        <v>17695</v>
      </c>
      <c r="R564" s="6">
        <v>39</v>
      </c>
      <c r="S564" s="7">
        <v>9.5</v>
      </c>
      <c r="U564">
        <v>25.99</v>
      </c>
      <c r="X564" s="7">
        <v>0</v>
      </c>
      <c r="Y564">
        <v>1.72</v>
      </c>
      <c r="Z564" s="8">
        <v>0</v>
      </c>
      <c r="AB564">
        <v>0</v>
      </c>
      <c r="AC564">
        <v>0</v>
      </c>
      <c r="AD564">
        <v>0</v>
      </c>
      <c r="AE564">
        <v>0</v>
      </c>
      <c r="AF564">
        <v>0</v>
      </c>
      <c r="AG564">
        <v>0</v>
      </c>
      <c r="AH564">
        <v>1</v>
      </c>
      <c r="AI564" t="inlineStr">
        <is>
          <t>False</t>
        </is>
      </c>
      <c r="AJ564" s="2" t="str">
        <f>HYPERLINK("https://keepa.com/#!product/1-B09H2N7N1B", "https://keepa.com/#!product/1-B09H2N7N1B")</f>
      </c>
      <c r="AK564" s="2" t="str">
        <f>HYPERLINK("https://camelcamelcamel.com/search?sq=B09H2N7N1B", "https://camelcamelcamel.com/search?sq=B09H2N7N1B")</f>
      </c>
      <c r="AL564" t="inlineStr">
        <is>
          <t/>
        </is>
      </c>
      <c r="AM564" s="10">
        <v>45417.11111111111</v>
      </c>
      <c r="AN564" t="inlineStr">
        <is>
          <t>DDSNTY 27â€Snow Brush and Detachable Ice Scraper</t>
        </is>
      </c>
      <c r="AO564" t="inlineStr">
        <is>
          <t>855</t>
        </is>
      </c>
      <c r="AP564" t="inlineStr">
        <is>
          <t>400</t>
        </is>
      </c>
    </row>
    <row r="565">
      <c r="A565" t="inlineStr">
        <is>
          <t>B09H3SFPKX</t>
        </is>
      </c>
      <c r="B565" t="inlineStr">
        <is>
          <t>False</t>
        </is>
      </c>
      <c r="C565" t="inlineStr">
        <is>
          <t>B09H3SFPKX</t>
        </is>
      </c>
      <c r="D565" t="inlineStr">
        <is>
          <t>KAUAI COFFEE</t>
        </is>
      </c>
      <c r="E565" t="inlineStr">
        <is>
          <t>False</t>
        </is>
      </c>
      <c r="F565" t="inlineStr">
        <is>
          <t>Kauai Coffee Koloa Estate Medium Roast - Coconut Caramel Crunch, 24 oz Package</t>
        </is>
      </c>
      <c r="G565">
        <v>1</v>
      </c>
      <c r="H565" s="2" t="str">
        <f>HYPERLINK("https://www.amazon.com/dp/B09H3SFPKX", "https://www.amazon.com/dp/B09H3SFPKX")</f>
      </c>
      <c r="I565" s="3">
        <v>3909</v>
      </c>
      <c r="J565" s="12">
        <v>-2.13</v>
      </c>
      <c r="K565" s="13">
        <v>-0.1066</v>
      </c>
      <c r="L565" s="13">
        <v>-0.1578</v>
      </c>
      <c r="M565" t="inlineStr">
        <is>
          <t>True</t>
        </is>
      </c>
      <c r="N565" t="inlineStr">
        <is>
          <t>Grocery &amp; Gourmet Food</t>
        </is>
      </c>
      <c r="O565" s="6">
        <v>1614</v>
      </c>
      <c r="P565" s="6">
        <v>1490</v>
      </c>
      <c r="Q565" s="6">
        <v>1021</v>
      </c>
      <c r="R565" s="6">
        <v>229</v>
      </c>
      <c r="S565" s="7">
        <v>13.5</v>
      </c>
      <c r="T565" s="7">
        <v>19.99</v>
      </c>
      <c r="U565">
        <v>22.33</v>
      </c>
      <c r="V565" s="8">
        <v>0</v>
      </c>
      <c r="W565" s="7">
        <v>0</v>
      </c>
      <c r="X565" s="7">
        <v>0</v>
      </c>
      <c r="Y565">
        <v>1.54</v>
      </c>
      <c r="Z565" s="9">
        <v>1</v>
      </c>
      <c r="AB565">
        <v>0</v>
      </c>
      <c r="AC565">
        <v>0</v>
      </c>
      <c r="AD565">
        <v>3</v>
      </c>
      <c r="AE565">
        <v>2</v>
      </c>
      <c r="AF565">
        <v>1</v>
      </c>
      <c r="AG565">
        <v>2</v>
      </c>
      <c r="AH565">
        <v>11</v>
      </c>
      <c r="AI565" t="inlineStr">
        <is>
          <t>False</t>
        </is>
      </c>
      <c r="AJ565" s="2" t="str">
        <f>HYPERLINK("https://keepa.com/#!product/1-B09H3SFPKX", "https://keepa.com/#!product/1-B09H3SFPKX")</f>
      </c>
      <c r="AK565" s="2" t="str">
        <f>HYPERLINK("https://camelcamelcamel.com/search?sq=B09H3SFPKX", "https://camelcamelcamel.com/search?sq=B09H3SFPKX")</f>
      </c>
      <c r="AL565" t="inlineStr">
        <is>
          <t/>
        </is>
      </c>
      <c r="AM565" s="10">
        <v>45417.11111111111</v>
      </c>
      <c r="AN565" t="inlineStr">
        <is>
          <t>Kauai Coffee Koloa Estate Medium Roast - Coconut Caramel Crunch, 24 oz Package</t>
        </is>
      </c>
      <c r="AO565" t="inlineStr">
        <is>
          <t>360</t>
        </is>
      </c>
      <c r="AP565" t="inlineStr">
        <is>
          <t>TAKE ALL</t>
        </is>
      </c>
    </row>
    <row r="566">
      <c r="A566" t="inlineStr">
        <is>
          <t>B09HN657JB</t>
        </is>
      </c>
      <c r="B566" t="inlineStr">
        <is>
          <t>False</t>
        </is>
      </c>
      <c r="C566" t="inlineStr">
        <is>
          <t>B09HN657JB</t>
        </is>
      </c>
      <c r="D566" t="inlineStr">
        <is>
          <t>L’Oréal Paris</t>
        </is>
      </c>
      <c r="E566" t="inlineStr">
        <is>
          <t>False</t>
        </is>
      </c>
      <c r="F566" t="inlineStr">
        <is>
          <t>L’Oréal Paris Elvive Dream Lengths Curls No Build-Up Micellar Shampoo, Sulfate-Free, Silicone-Free, Paraben-Free with Hyaluronic Acid and Castor Oil. Best for curly hair to coily hair, 16.9 fl oz</t>
        </is>
      </c>
      <c r="G566">
        <v>1</v>
      </c>
      <c r="H566" s="2" t="str">
        <f>HYPERLINK("https://www.amazon.com/dp/B09HN657JB", "https://www.amazon.com/dp/B09HN657JB")</f>
      </c>
      <c r="I566" s="3">
        <v>531</v>
      </c>
      <c r="J566" s="12">
        <v>-4.16</v>
      </c>
      <c r="K566" s="13">
        <v>-0.6562</v>
      </c>
      <c r="L566" s="13">
        <v>-0.7234999999999999</v>
      </c>
      <c r="M566" t="inlineStr">
        <is>
          <t>True</t>
        </is>
      </c>
      <c r="N566" t="inlineStr">
        <is>
          <t>Beauty &amp; Personal Care</t>
        </is>
      </c>
      <c r="O566" s="6">
        <v>29617</v>
      </c>
      <c r="P566" s="6">
        <v>36461</v>
      </c>
      <c r="Q566" s="6">
        <v>22204</v>
      </c>
      <c r="R566" s="6">
        <v>196</v>
      </c>
      <c r="S566" s="7">
        <v>5.75</v>
      </c>
      <c r="T566" s="7">
        <v>6.34</v>
      </c>
      <c r="U566">
        <v>10.98</v>
      </c>
      <c r="V566" s="8">
        <v>0</v>
      </c>
      <c r="W566" s="7">
        <v>0</v>
      </c>
      <c r="X566" s="7">
        <v>0</v>
      </c>
      <c r="Y566">
        <v>1.08</v>
      </c>
      <c r="Z566" s="9">
        <v>0.21</v>
      </c>
      <c r="AB566">
        <v>0</v>
      </c>
      <c r="AC566">
        <v>0</v>
      </c>
      <c r="AD566">
        <v>38</v>
      </c>
      <c r="AE566">
        <v>23</v>
      </c>
      <c r="AF566">
        <v>15</v>
      </c>
      <c r="AG566">
        <v>3</v>
      </c>
      <c r="AH566">
        <v>2</v>
      </c>
      <c r="AI566" t="inlineStr">
        <is>
          <t>False</t>
        </is>
      </c>
      <c r="AJ566" s="2" t="str">
        <f>HYPERLINK("https://keepa.com/#!product/1-B09HN657JB", "https://keepa.com/#!product/1-B09HN657JB")</f>
      </c>
      <c r="AK566" s="2" t="str">
        <f>HYPERLINK("https://camelcamelcamel.com/search?sq=B09HN657JB", "https://camelcamelcamel.com/search?sq=B09HN657JB")</f>
      </c>
      <c r="AL566" t="inlineStr">
        <is>
          <t/>
        </is>
      </c>
      <c r="AM566" s="10">
        <v>45417.11111111111</v>
      </c>
      <c r="AN566" t="inlineStr">
        <is>
          <t>Lâ€™OrÃ©al Paris Elvive Dream Lengths Curls No Build-Up Micellar Shampoo, Sulfate-Free, Silicone-Free, Paraben-Free with Hyaluronic Acid and Castor Oil. Best for curly hair to coily hair, 16.9 fl oz</t>
        </is>
      </c>
      <c r="AO566" t="inlineStr">
        <is>
          <t>1200</t>
        </is>
      </c>
      <c r="AP566" t="inlineStr">
        <is>
          <t>TAKE ALL</t>
        </is>
      </c>
    </row>
    <row r="567">
      <c r="A567" t="inlineStr">
        <is>
          <t>B09HYZRNC7</t>
        </is>
      </c>
      <c r="B567" t="inlineStr">
        <is>
          <t>False</t>
        </is>
      </c>
      <c r="C567" t="inlineStr">
        <is>
          <t>B09HYZRNC7</t>
        </is>
      </c>
      <c r="D567" t="inlineStr">
        <is>
          <t>Beekeeper's Naturals</t>
        </is>
      </c>
      <c r="E567" t="inlineStr">
        <is>
          <t>False</t>
        </is>
      </c>
      <c r="F567" t="inlineStr">
        <is>
          <t>Beekeeper's Naturals Soothing Honey Elderberry Cough Drops Immune Support with Vitamin D, Zinc and Propolis Throat Soothing Lozenges, 14 Ct</t>
        </is>
      </c>
      <c r="G567">
        <v>1</v>
      </c>
      <c r="H567" s="2" t="str">
        <f>HYPERLINK("https://www.amazon.com/dp/B09HYZRNC7", "https://www.amazon.com/dp/B09HYZRNC7")</f>
      </c>
      <c r="I567" s="3">
        <v>4656</v>
      </c>
      <c r="J567" s="11">
        <v>0.85</v>
      </c>
      <c r="K567" s="5">
        <v>0.09449999999999999</v>
      </c>
      <c r="L567" s="5">
        <v>0.2125</v>
      </c>
      <c r="M567" t="inlineStr">
        <is>
          <t>True</t>
        </is>
      </c>
      <c r="N567" t="inlineStr">
        <is>
          <t>Health &amp; Household</t>
        </is>
      </c>
      <c r="O567" s="6">
        <v>5719</v>
      </c>
      <c r="P567" s="6">
        <v>4021</v>
      </c>
      <c r="Q567" s="6">
        <v>2180</v>
      </c>
      <c r="R567" s="6">
        <v>307</v>
      </c>
      <c r="S567" s="7">
        <v>4</v>
      </c>
      <c r="T567" s="7">
        <v>8.99</v>
      </c>
      <c r="U567">
        <v>7.68</v>
      </c>
      <c r="V567" s="8">
        <v>0</v>
      </c>
      <c r="W567" s="7">
        <v>0</v>
      </c>
      <c r="X567" s="7">
        <v>0</v>
      </c>
      <c r="Y567">
        <v>0.13</v>
      </c>
      <c r="Z567" s="8">
        <v>0</v>
      </c>
      <c r="AB567">
        <v>0</v>
      </c>
      <c r="AC567">
        <v>0</v>
      </c>
      <c r="AD567">
        <v>6</v>
      </c>
      <c r="AE567">
        <v>3</v>
      </c>
      <c r="AF567">
        <v>3</v>
      </c>
      <c r="AG567">
        <v>3</v>
      </c>
      <c r="AH567">
        <v>5</v>
      </c>
      <c r="AI567" t="inlineStr">
        <is>
          <t>False</t>
        </is>
      </c>
      <c r="AJ567" s="2" t="str">
        <f>HYPERLINK("https://keepa.com/#!product/1-B09HYZRNC7", "https://keepa.com/#!product/1-B09HYZRNC7")</f>
      </c>
      <c r="AK567" s="2" t="str">
        <f>HYPERLINK("https://camelcamelcamel.com/search?sq=B09HYZRNC7", "https://camelcamelcamel.com/search?sq=B09HYZRNC7")</f>
      </c>
      <c r="AL567" t="inlineStr">
        <is>
          <t/>
        </is>
      </c>
      <c r="AM567" s="10">
        <v>45417.11111111111</v>
      </c>
      <c r="AN567" t="inlineStr">
        <is>
          <t>Beekeeper's Naturals Soothing Honey Elderberry Cough Drops Immune Support with Vitamin D, Zinc and Propolis Throat Soothing Lozenges, 14 Ct</t>
        </is>
      </c>
      <c r="AO567" t="inlineStr">
        <is>
          <t>2000</t>
        </is>
      </c>
      <c r="AP567" t="inlineStr">
        <is>
          <t>1000</t>
        </is>
      </c>
    </row>
    <row r="568">
      <c r="A568" t="inlineStr">
        <is>
          <t>B09J8V5X79</t>
        </is>
      </c>
      <c r="B568" t="inlineStr">
        <is>
          <t>False</t>
        </is>
      </c>
      <c r="C568" t="inlineStr">
        <is>
          <t>B09J8V5X79</t>
        </is>
      </c>
      <c r="D568" t="inlineStr">
        <is>
          <t>GHome Smart</t>
        </is>
      </c>
      <c r="E568" t="inlineStr">
        <is>
          <t>False</t>
        </is>
      </c>
      <c r="F568" t="inlineStr">
        <is>
          <t>GHome Smart Light Bulbs, E26 A19 LED Bulb Compatible with Alexa &amp; Google Home, App Remote Control, 8W Dimmable 2700K Warm White 800 Lumens, 2.4GHz WiFi, No Hub Required, Set of 2 + Set of 4</t>
        </is>
      </c>
      <c r="G568">
        <v>1</v>
      </c>
      <c r="H568" s="2" t="str">
        <f>HYPERLINK("https://www.amazon.com/dp/B09J8V5X79", "https://www.amazon.com/dp/B09J8V5X79")</f>
      </c>
      <c r="I568" s="3">
        <v>103</v>
      </c>
      <c r="M568" t="inlineStr">
        <is>
          <t>True</t>
        </is>
      </c>
      <c r="N568" t="inlineStr">
        <is>
          <t>Industrial &amp; Scientific</t>
        </is>
      </c>
      <c r="O568" s="6">
        <v>33195</v>
      </c>
      <c r="P568" s="6">
        <v>17208</v>
      </c>
      <c r="Q568" s="6">
        <v>5787</v>
      </c>
      <c r="R568" s="6">
        <v>102</v>
      </c>
      <c r="S568" s="7">
        <v>15</v>
      </c>
      <c r="U568">
        <v>28.89</v>
      </c>
      <c r="X568" s="7">
        <v>0</v>
      </c>
      <c r="Y568">
        <v>0.75</v>
      </c>
      <c r="Z568" s="9">
        <v>0.75</v>
      </c>
      <c r="AB568">
        <v>0</v>
      </c>
      <c r="AC568">
        <v>0</v>
      </c>
      <c r="AD568">
        <v>0</v>
      </c>
      <c r="AE568">
        <v>0</v>
      </c>
      <c r="AF568">
        <v>0</v>
      </c>
      <c r="AG568">
        <v>0</v>
      </c>
      <c r="AH568">
        <v>1</v>
      </c>
      <c r="AI568" t="inlineStr">
        <is>
          <t>False</t>
        </is>
      </c>
      <c r="AJ568" s="2" t="str">
        <f>HYPERLINK("https://keepa.com/#!product/1-B09J8V5X79", "https://keepa.com/#!product/1-B09J8V5X79")</f>
      </c>
      <c r="AK568" s="2" t="str">
        <f>HYPERLINK("https://camelcamelcamel.com/search?sq=B09J8V5X79", "https://camelcamelcamel.com/search?sq=B09J8V5X79")</f>
      </c>
      <c r="AL568" t="inlineStr">
        <is>
          <t/>
        </is>
      </c>
      <c r="AM568" s="10">
        <v>45417.11111111111</v>
      </c>
      <c r="AN568" t="inlineStr">
        <is>
          <t>GHome Smart Light Bulbs, E26 A19 LED Bulb Compatible with Alexa &amp; Google Home, App Remote Control, 8W Dimmable 2700K Warm White 800 Lumens, 2.4GHz WiFi, No Hub Required, Set of 2 + Set of 4</t>
        </is>
      </c>
      <c r="AO568" t="inlineStr">
        <is>
          <t>500</t>
        </is>
      </c>
      <c r="AP568" t="inlineStr">
        <is>
          <t>TAKE ALL</t>
        </is>
      </c>
    </row>
    <row r="569">
      <c r="A569" t="inlineStr">
        <is>
          <t>B09JC32W8W</t>
        </is>
      </c>
      <c r="B569" t="inlineStr">
        <is>
          <t>False</t>
        </is>
      </c>
      <c r="C569" t="inlineStr">
        <is>
          <t>B09JC32W8W</t>
        </is>
      </c>
      <c r="D569" t="inlineStr">
        <is>
          <t>Sense-U</t>
        </is>
      </c>
      <c r="E569" t="inlineStr">
        <is>
          <t>False</t>
        </is>
      </c>
      <c r="F569" t="inlineStr">
        <is>
          <t>Sense-U Smart Baby Monitor 3 (Long Range &amp; FSA/HSA Approved) - Tracks Abdominal Movement, Rollover, Sleeping Position, Temperature with Real-time Alerts from Anywhere (Green)</t>
        </is>
      </c>
      <c r="G569">
        <v>1</v>
      </c>
      <c r="H569" s="2" t="str">
        <f>HYPERLINK("https://www.amazon.com/dp/B09JC32W8W", "https://www.amazon.com/dp/B09JC32W8W")</f>
      </c>
      <c r="I569" s="3">
        <v>92</v>
      </c>
      <c r="J569" s="4">
        <v>103.1</v>
      </c>
      <c r="K569" s="15">
        <v>0.5426</v>
      </c>
      <c r="L569" s="15">
        <v>1.5388</v>
      </c>
      <c r="M569" t="inlineStr">
        <is>
          <t>True</t>
        </is>
      </c>
      <c r="N569" t="inlineStr">
        <is>
          <t>Baby</t>
        </is>
      </c>
      <c r="O569" s="6">
        <v>22634</v>
      </c>
      <c r="P569" s="6">
        <v>17286</v>
      </c>
      <c r="Q569" s="6">
        <v>12135</v>
      </c>
      <c r="R569" s="6">
        <v>108</v>
      </c>
      <c r="S569" s="7">
        <v>67</v>
      </c>
      <c r="T569" s="7">
        <v>190</v>
      </c>
      <c r="U569">
        <v>195.76</v>
      </c>
      <c r="V569" s="8">
        <v>0</v>
      </c>
      <c r="W569" s="7">
        <v>0</v>
      </c>
      <c r="X569" s="7">
        <v>0</v>
      </c>
      <c r="Y569">
        <v>0.77</v>
      </c>
      <c r="Z569" s="9">
        <v>0.34</v>
      </c>
      <c r="AB569">
        <v>0</v>
      </c>
      <c r="AC569">
        <v>0</v>
      </c>
      <c r="AD569">
        <v>5</v>
      </c>
      <c r="AE569">
        <v>1</v>
      </c>
      <c r="AF569">
        <v>2</v>
      </c>
      <c r="AG569">
        <v>1</v>
      </c>
      <c r="AH569">
        <v>2</v>
      </c>
      <c r="AI569" t="inlineStr">
        <is>
          <t>True</t>
        </is>
      </c>
      <c r="AJ569" s="2" t="str">
        <f>HYPERLINK("https://keepa.com/#!product/1-B09JC32W8W", "https://keepa.com/#!product/1-B09JC32W8W")</f>
      </c>
      <c r="AK569" s="2" t="str">
        <f>HYPERLINK("https://camelcamelcamel.com/search?sq=B09JC32W8W", "https://camelcamelcamel.com/search?sq=B09JC32W8W")</f>
      </c>
      <c r="AL569" t="inlineStr">
        <is>
          <t/>
        </is>
      </c>
      <c r="AM569" s="10">
        <v>45417.11111111111</v>
      </c>
      <c r="AN569" t="inlineStr">
        <is>
          <t>Sense-U Smart Baby Monitor 3 (Long Range &amp; FSA)</t>
        </is>
      </c>
      <c r="AO569" t="inlineStr">
        <is>
          <t>500</t>
        </is>
      </c>
      <c r="AP569" t="inlineStr">
        <is>
          <t>100</t>
        </is>
      </c>
    </row>
    <row r="570">
      <c r="A570" t="inlineStr">
        <is>
          <t>B09JT6S2M9</t>
        </is>
      </c>
      <c r="B570" t="inlineStr">
        <is>
          <t>False</t>
        </is>
      </c>
      <c r="C570" t="inlineStr">
        <is>
          <t>B09JT6S2M9</t>
        </is>
      </c>
      <c r="D570" t="inlineStr">
        <is>
          <t>Boiron</t>
        </is>
      </c>
      <c r="E570" t="inlineStr">
        <is>
          <t>False</t>
        </is>
      </c>
      <c r="F570" t="inlineStr">
        <is>
          <t>Boiron ColdCalm Tablets for Cold Symptoms of Sneezing, Runny Nose, and Sore Throat - 120 Count</t>
        </is>
      </c>
      <c r="G570">
        <v>1</v>
      </c>
      <c r="H570" s="2" t="str">
        <f>HYPERLINK("https://www.amazon.com/dp/B09JT6S2M9", "https://www.amazon.com/dp/B09JT6S2M9")</f>
      </c>
      <c r="I570" s="3">
        <v>1203</v>
      </c>
      <c r="J570" s="11">
        <v>2.96</v>
      </c>
      <c r="K570" s="5">
        <v>0.1467</v>
      </c>
      <c r="L570" s="5">
        <v>0.28190000000000004</v>
      </c>
      <c r="M570" t="inlineStr">
        <is>
          <t>True</t>
        </is>
      </c>
      <c r="N570" t="inlineStr">
        <is>
          <t>Health &amp; Household</t>
        </is>
      </c>
      <c r="O570" s="6">
        <v>19444</v>
      </c>
      <c r="P570" s="6">
        <v>18212</v>
      </c>
      <c r="Q570" s="6">
        <v>9402</v>
      </c>
      <c r="R570" s="6">
        <v>118</v>
      </c>
      <c r="S570" s="7">
        <v>10.5</v>
      </c>
      <c r="T570" s="7">
        <v>20.18</v>
      </c>
      <c r="U570">
        <v>22.78</v>
      </c>
      <c r="V570" s="8">
        <v>0</v>
      </c>
      <c r="W570" s="7">
        <v>0</v>
      </c>
      <c r="X570" s="7">
        <v>0</v>
      </c>
      <c r="Y570">
        <v>0.11</v>
      </c>
      <c r="Z570" s="9">
        <v>1</v>
      </c>
      <c r="AB570">
        <v>0</v>
      </c>
      <c r="AC570">
        <v>0</v>
      </c>
      <c r="AD570">
        <v>3</v>
      </c>
      <c r="AE570">
        <v>2</v>
      </c>
      <c r="AF570">
        <v>1</v>
      </c>
      <c r="AG570">
        <v>2</v>
      </c>
      <c r="AH570">
        <v>0</v>
      </c>
      <c r="AI570" t="inlineStr">
        <is>
          <t>False</t>
        </is>
      </c>
      <c r="AJ570" s="2" t="str">
        <f>HYPERLINK("https://keepa.com/#!product/1-B09JT6S2M9", "https://keepa.com/#!product/1-B09JT6S2M9")</f>
      </c>
      <c r="AK570" s="2" t="str">
        <f>HYPERLINK("https://camelcamelcamel.com/search?sq=B09JT6S2M9", "https://camelcamelcamel.com/search?sq=B09JT6S2M9")</f>
      </c>
      <c r="AL570" t="inlineStr">
        <is>
          <t/>
        </is>
      </c>
      <c r="AM570" s="10">
        <v>45417.11111111111</v>
      </c>
      <c r="AN570" t="inlineStr">
        <is>
          <t>Boiron ColdCalm Tablets for Cold Symptoms of Sneezing, Runny Nose, and Sore Throat - 120 Count</t>
        </is>
      </c>
      <c r="AO570" t="inlineStr">
        <is>
          <t>500</t>
        </is>
      </c>
      <c r="AP570" t="inlineStr">
        <is>
          <t>TAKE ALL</t>
        </is>
      </c>
    </row>
    <row r="571">
      <c r="A571" t="inlineStr">
        <is>
          <t>B09K4GDHY9</t>
        </is>
      </c>
      <c r="B571" t="inlineStr">
        <is>
          <t>False</t>
        </is>
      </c>
      <c r="C571" t="inlineStr">
        <is>
          <t>B09K4GDHY9</t>
        </is>
      </c>
      <c r="D571" t="inlineStr">
        <is>
          <t>Evajoy</t>
        </is>
      </c>
      <c r="E571" t="inlineStr">
        <is>
          <t>False</t>
        </is>
      </c>
      <c r="F571" t="inlineStr">
        <is>
          <t>Swimming Pool, EVAJOY 10ft ×30in Above Ground Pool Easy Set, Blow Up Pool Kiddie Pool Inflatable Top Ring Swimming Pools for Adults Family Backyard Outdoor with Pool Cover</t>
        </is>
      </c>
      <c r="G571">
        <v>1</v>
      </c>
      <c r="H571" s="2" t="str">
        <f>HYPERLINK("https://www.amazon.com/dp/B09K4GDHY9", "https://www.amazon.com/dp/B09K4GDHY9")</f>
      </c>
      <c r="I571" s="14">
        <v>5</v>
      </c>
      <c r="J571" s="12">
        <v>-8.68</v>
      </c>
      <c r="K571" s="13">
        <v>-0.1318</v>
      </c>
      <c r="L571" s="13">
        <v>-0.1929</v>
      </c>
      <c r="M571" t="inlineStr">
        <is>
          <t>True</t>
        </is>
      </c>
      <c r="N571" t="inlineStr">
        <is>
          <t>Patio, Lawn &amp; Garden</t>
        </is>
      </c>
      <c r="O571" s="6">
        <v>359235</v>
      </c>
      <c r="P571" s="6">
        <v>309490</v>
      </c>
      <c r="Q571" s="6">
        <v>117831</v>
      </c>
      <c r="R571" s="6">
        <v>12</v>
      </c>
      <c r="S571" s="7">
        <v>45</v>
      </c>
      <c r="T571" s="7">
        <v>65.88</v>
      </c>
      <c r="U571">
        <v>84.01</v>
      </c>
      <c r="V571" s="8">
        <v>0</v>
      </c>
      <c r="W571" s="7">
        <v>0</v>
      </c>
      <c r="X571" s="7">
        <v>0</v>
      </c>
      <c r="Y571">
        <v>27.35</v>
      </c>
      <c r="Z571" s="9">
        <v>0.46</v>
      </c>
      <c r="AB571">
        <v>0</v>
      </c>
      <c r="AC571">
        <v>0</v>
      </c>
      <c r="AD571">
        <v>7</v>
      </c>
      <c r="AE571">
        <v>1</v>
      </c>
      <c r="AF571">
        <v>6</v>
      </c>
      <c r="AG571">
        <v>2</v>
      </c>
      <c r="AH571">
        <v>0</v>
      </c>
      <c r="AI571" t="inlineStr">
        <is>
          <t>False</t>
        </is>
      </c>
      <c r="AJ571" s="2" t="str">
        <f>HYPERLINK("https://keepa.com/#!product/1-B09K4GDHY9", "https://keepa.com/#!product/1-B09K4GDHY9")</f>
      </c>
      <c r="AK571" s="2" t="str">
        <f>HYPERLINK("https://camelcamelcamel.com/search?sq=B09K4GDHY9", "https://camelcamelcamel.com/search?sq=B09K4GDHY9")</f>
      </c>
      <c r="AL571" t="inlineStr">
        <is>
          <t/>
        </is>
      </c>
      <c r="AM571" s="10">
        <v>45417.11111111111</v>
      </c>
      <c r="AN571" t="inlineStr">
        <is>
          <t>Swimming Pool, EVAJOY 10ft Ã—30in Above Ground Pool Easy Set, Blow Up Pool Kiddie Pool Inflatable Top Ring Swimming Pools for Adults Family Backyard Outdoor with Pool Cover</t>
        </is>
      </c>
      <c r="AO571" t="inlineStr">
        <is>
          <t>96</t>
        </is>
      </c>
      <c r="AP571" t="inlineStr">
        <is>
          <t>TAKE ALL</t>
        </is>
      </c>
    </row>
    <row r="572">
      <c r="A572" t="inlineStr">
        <is>
          <t>B09KTMG4GQ</t>
        </is>
      </c>
      <c r="B572" t="inlineStr">
        <is>
          <t>False</t>
        </is>
      </c>
      <c r="C572" t="inlineStr">
        <is>
          <t>B09KTMG4GQ</t>
        </is>
      </c>
      <c r="D572" t="inlineStr">
        <is>
          <t>Carhartt</t>
        </is>
      </c>
      <c r="E572" t="inlineStr">
        <is>
          <t>False</t>
        </is>
      </c>
      <c r="F572" t="inlineStr">
        <is>
          <t>Carhartt Men's Knit Cuffed Beanie, BlackBerry, One Size</t>
        </is>
      </c>
      <c r="G572">
        <v>1</v>
      </c>
      <c r="H572" s="2" t="str">
        <f>HYPERLINK("https://www.amazon.com/dp/B09KTMG4GQ", "https://www.amazon.com/dp/B09KTMG4GQ")</f>
      </c>
      <c r="I572" s="3">
        <v>9646</v>
      </c>
      <c r="J572" s="11">
        <v>3.78</v>
      </c>
      <c r="K572" s="5">
        <v>0.1891</v>
      </c>
      <c r="L572" s="15">
        <v>0.3979</v>
      </c>
      <c r="M572" t="inlineStr">
        <is>
          <t>True</t>
        </is>
      </c>
      <c r="N572" t="inlineStr">
        <is>
          <t>Clothing, Shoes &amp; Jewelry</t>
        </is>
      </c>
      <c r="O572" s="6">
        <v>1144</v>
      </c>
      <c r="P572" s="6">
        <v>511</v>
      </c>
      <c r="Q572" s="6">
        <v>4</v>
      </c>
      <c r="R572" s="6">
        <v>193</v>
      </c>
      <c r="S572" s="7">
        <v>9.5</v>
      </c>
      <c r="T572" s="7">
        <v>19.99</v>
      </c>
      <c r="U572">
        <v>19.98</v>
      </c>
      <c r="V572" s="8">
        <v>0</v>
      </c>
      <c r="W572" s="7">
        <v>0</v>
      </c>
      <c r="X572" s="7">
        <v>0</v>
      </c>
      <c r="Y572">
        <v>0.18</v>
      </c>
      <c r="Z572" s="9">
        <v>1</v>
      </c>
      <c r="AB572">
        <v>0</v>
      </c>
      <c r="AC572">
        <v>0</v>
      </c>
      <c r="AD572">
        <v>9</v>
      </c>
      <c r="AE572">
        <v>3</v>
      </c>
      <c r="AF572">
        <v>6</v>
      </c>
      <c r="AG572">
        <v>3</v>
      </c>
      <c r="AH572">
        <v>40</v>
      </c>
      <c r="AI572" t="inlineStr">
        <is>
          <t>False</t>
        </is>
      </c>
      <c r="AJ572" s="2" t="str">
        <f>HYPERLINK("https://keepa.com/#!product/1-B09KTMG4GQ", "https://keepa.com/#!product/1-B09KTMG4GQ")</f>
      </c>
      <c r="AK572" s="2" t="str">
        <f>HYPERLINK("https://camelcamelcamel.com/search?sq=B09KTMG4GQ", "https://camelcamelcamel.com/search?sq=B09KTMG4GQ")</f>
      </c>
      <c r="AL572" t="inlineStr">
        <is>
          <t/>
        </is>
      </c>
      <c r="AM572" s="10">
        <v>45417.11111111111</v>
      </c>
      <c r="AN572" t="inlineStr">
        <is>
          <t>Carhartt Men's Knit Cuffed Beanie</t>
        </is>
      </c>
      <c r="AO572" t="inlineStr">
        <is>
          <t>1000</t>
        </is>
      </c>
      <c r="AP572" t="inlineStr">
        <is>
          <t>TAKE ALL</t>
        </is>
      </c>
    </row>
    <row r="573">
      <c r="A573" t="inlineStr">
        <is>
          <t>B09LFRK7H4</t>
        </is>
      </c>
      <c r="B573" t="inlineStr">
        <is>
          <t>False</t>
        </is>
      </c>
      <c r="C573" t="inlineStr">
        <is>
          <t>B09LFRK7H4</t>
        </is>
      </c>
      <c r="D573" t="inlineStr">
        <is>
          <t>L’Oréal Paris</t>
        </is>
      </c>
      <c r="E573" t="inlineStr">
        <is>
          <t>False</t>
        </is>
      </c>
      <c r="F573" t="inlineStr">
        <is>
          <t>L'Oreal Paris Elvive Dream Lengths Curls No Build-Up Micellar Shampoo, Sulfate,Silicone and Paraben-Free, with Hyaluronic Acid and Castor Oil. Best for Curly to Coily type 3b+ curls 2 Pack, 33.8 fl oz</t>
        </is>
      </c>
      <c r="G573">
        <v>1</v>
      </c>
      <c r="H573" s="2" t="str">
        <f>HYPERLINK("https://www.amazon.com/dp/B09LFRK7H4", "https://www.amazon.com/dp/B09LFRK7H4")</f>
      </c>
      <c r="I573" s="3">
        <v>531</v>
      </c>
      <c r="J573" s="12">
        <v>-1.37</v>
      </c>
      <c r="K573" s="13">
        <v>-0.09140000000000001</v>
      </c>
      <c r="L573" s="13">
        <v>-0.17120000000000002</v>
      </c>
      <c r="M573" t="inlineStr">
        <is>
          <t>True</t>
        </is>
      </c>
      <c r="N573" t="inlineStr">
        <is>
          <t>Beauty &amp; Personal Care</t>
        </is>
      </c>
      <c r="O573" s="6">
        <v>29617</v>
      </c>
      <c r="P573" s="6">
        <v>36714</v>
      </c>
      <c r="Q573" s="6">
        <v>22204</v>
      </c>
      <c r="R573" s="6">
        <v>156</v>
      </c>
      <c r="S573" s="7">
        <v>8</v>
      </c>
      <c r="T573" s="7">
        <v>14.99</v>
      </c>
      <c r="U573">
        <v>19.17</v>
      </c>
      <c r="V573" s="8">
        <v>0</v>
      </c>
      <c r="W573" s="7">
        <v>0</v>
      </c>
      <c r="X573" s="7">
        <v>0</v>
      </c>
      <c r="Y573">
        <v>2.43</v>
      </c>
      <c r="Z573" s="9">
        <v>1</v>
      </c>
      <c r="AB573">
        <v>0</v>
      </c>
      <c r="AC573">
        <v>0</v>
      </c>
      <c r="AD573">
        <v>12</v>
      </c>
      <c r="AE573">
        <v>6</v>
      </c>
      <c r="AF573">
        <v>6</v>
      </c>
      <c r="AG573">
        <v>1</v>
      </c>
      <c r="AH573">
        <v>2</v>
      </c>
      <c r="AI573" t="inlineStr">
        <is>
          <t>False</t>
        </is>
      </c>
      <c r="AJ573" s="2" t="str">
        <f>HYPERLINK("https://keepa.com/#!product/1-B09LFRK7H4", "https://keepa.com/#!product/1-B09LFRK7H4")</f>
      </c>
      <c r="AK573" s="2" t="str">
        <f>HYPERLINK("https://camelcamelcamel.com/search?sq=B09LFRK7H4", "https://camelcamelcamel.com/search?sq=B09LFRK7H4")</f>
      </c>
      <c r="AL573" t="inlineStr">
        <is>
          <t/>
        </is>
      </c>
      <c r="AM573" s="10">
        <v>45417.11111111111</v>
      </c>
      <c r="AN573" t="inlineStr">
        <is>
          <t>L'Oreal Paris Elvive Dream Lengths Curls No Build-Up Micellar Shampoo, Sulfate,Silicone and Paraben-Free, with Hyaluronic Acid and Castor Oil. Best for Curly to Coily type 3b+ curls 2 Pack, 33.8 fl oz</t>
        </is>
      </c>
      <c r="AO573" t="inlineStr">
        <is>
          <t>300</t>
        </is>
      </c>
      <c r="AP573" t="inlineStr">
        <is>
          <t>TAKE ALL</t>
        </is>
      </c>
    </row>
    <row r="574">
      <c r="A574" t="inlineStr">
        <is>
          <t>B09LP6169S</t>
        </is>
      </c>
      <c r="B574" t="inlineStr">
        <is>
          <t>False</t>
        </is>
      </c>
      <c r="C574" t="inlineStr">
        <is>
          <t>B09LP6169S</t>
        </is>
      </c>
      <c r="D574" t="inlineStr">
        <is>
          <t>Zampa</t>
        </is>
      </c>
      <c r="E574" t="inlineStr">
        <is>
          <t>False</t>
        </is>
      </c>
      <c r="F574" t="inlineStr">
        <is>
          <t>Zampa Dog Playpen Extra Large 80"x80"x36" Pop Up Portable Playpen for Dogs and Cat, Foldable | Indoor/Outdoor Pen &amp; Travel Pet Carrier + Carrying Case.</t>
        </is>
      </c>
      <c r="G574">
        <v>1</v>
      </c>
      <c r="H574" s="2" t="str">
        <f>HYPERLINK("https://www.amazon.com/dp/B09LP6169S", "https://www.amazon.com/dp/B09LP6169S")</f>
      </c>
      <c r="I574" s="3">
        <v>167</v>
      </c>
      <c r="M574" t="inlineStr">
        <is>
          <t>True</t>
        </is>
      </c>
      <c r="N574" t="inlineStr">
        <is>
          <t>Pet Supplies</t>
        </is>
      </c>
      <c r="O574" s="6">
        <v>28039</v>
      </c>
      <c r="P574" s="6">
        <v>38534</v>
      </c>
      <c r="Q574" s="6">
        <v>23672</v>
      </c>
      <c r="R574" s="6">
        <v>57</v>
      </c>
      <c r="S574" s="7">
        <v>65</v>
      </c>
      <c r="U574">
        <v>0</v>
      </c>
      <c r="X574" s="7">
        <v>0</v>
      </c>
      <c r="Y574">
        <v>12.5</v>
      </c>
      <c r="Z574" s="8">
        <v>0</v>
      </c>
      <c r="AB574">
        <v>0</v>
      </c>
      <c r="AC574">
        <v>0</v>
      </c>
      <c r="AD574">
        <v>0</v>
      </c>
      <c r="AE574">
        <v>0</v>
      </c>
      <c r="AF574">
        <v>0</v>
      </c>
      <c r="AG574">
        <v>0</v>
      </c>
      <c r="AH574">
        <v>15</v>
      </c>
      <c r="AI574" t="inlineStr">
        <is>
          <t>False</t>
        </is>
      </c>
      <c r="AJ574" s="2" t="str">
        <f>HYPERLINK("https://keepa.com/#!product/1-B09LP6169S", "https://keepa.com/#!product/1-B09LP6169S")</f>
      </c>
      <c r="AK574" s="2" t="str">
        <f>HYPERLINK("https://camelcamelcamel.com/search?sq=B09LP6169S", "https://camelcamelcamel.com/search?sq=B09LP6169S")</f>
      </c>
      <c r="AL574" t="inlineStr">
        <is>
          <t/>
        </is>
      </c>
      <c r="AM574" s="10">
        <v>45417.11111111111</v>
      </c>
      <c r="AN574" t="inlineStr">
        <is>
          <t>Zampa Dog Playpen Extra Large 80"x80"x36" Pop Up Portable Playpen for Dogs and Cat, Foldable | Indoor/Outdoor Pen &amp; Travel Pet Carrier + Carrying Case.</t>
        </is>
      </c>
      <c r="AO574" t="inlineStr">
        <is>
          <t>216</t>
        </is>
      </c>
      <c r="AP574" t="inlineStr">
        <is>
          <t>TAKE ALL</t>
        </is>
      </c>
    </row>
    <row r="575">
      <c r="A575" t="inlineStr">
        <is>
          <t>B09LYL5Q3T</t>
        </is>
      </c>
      <c r="B575" t="inlineStr">
        <is>
          <t>False</t>
        </is>
      </c>
      <c r="C575" t="inlineStr">
        <is>
          <t>B09LYL5Q3T</t>
        </is>
      </c>
      <c r="D575" t="inlineStr">
        <is>
          <t>Sevenat</t>
        </is>
      </c>
      <c r="E575" t="inlineStr">
        <is>
          <t>False</t>
        </is>
      </c>
      <c r="F575" t="inlineStr">
        <is>
          <t>Digital Camera for Kids Boys and Girls - 2.7K 48MP Children's Camera with 32GB SD Card, Rechargeable Electronic Mini Camera for Students, Teens, Kids (Green)</t>
        </is>
      </c>
      <c r="G575">
        <v>1</v>
      </c>
      <c r="H575" s="2" t="str">
        <f>HYPERLINK("https://www.amazon.com/dp/B09LYL5Q3T", "https://www.amazon.com/dp/B09LYL5Q3T")</f>
      </c>
      <c r="I575" s="14">
        <v>5</v>
      </c>
      <c r="J575" s="4">
        <v>9.57</v>
      </c>
      <c r="K575" s="5">
        <v>0.2901</v>
      </c>
      <c r="L575" s="15">
        <v>0.58</v>
      </c>
      <c r="M575" t="inlineStr">
        <is>
          <t>True</t>
        </is>
      </c>
      <c r="N575" t="inlineStr">
        <is>
          <t>Electronics</t>
        </is>
      </c>
      <c r="O575" s="6">
        <v>344011</v>
      </c>
      <c r="P575" s="6">
        <v>306128</v>
      </c>
      <c r="Q575" s="6">
        <v>109569</v>
      </c>
      <c r="R575" s="6">
        <v>2</v>
      </c>
      <c r="S575" s="7">
        <v>16.5</v>
      </c>
      <c r="T575" s="7">
        <v>32.99</v>
      </c>
      <c r="U575">
        <v>49.13</v>
      </c>
      <c r="V575" s="8">
        <v>0</v>
      </c>
      <c r="W575" s="7">
        <v>0</v>
      </c>
      <c r="X575" s="7">
        <v>0</v>
      </c>
      <c r="Y575">
        <v>0.6</v>
      </c>
      <c r="Z575" s="8">
        <v>0</v>
      </c>
      <c r="AB575">
        <v>0</v>
      </c>
      <c r="AC575">
        <v>0</v>
      </c>
      <c r="AD575">
        <v>1</v>
      </c>
      <c r="AE575">
        <v>1</v>
      </c>
      <c r="AF575">
        <v>0</v>
      </c>
      <c r="AG575">
        <v>1</v>
      </c>
      <c r="AH575">
        <v>0</v>
      </c>
      <c r="AI575" t="inlineStr">
        <is>
          <t>True</t>
        </is>
      </c>
      <c r="AJ575" s="2" t="str">
        <f>HYPERLINK("https://keepa.com/#!product/1-B09LYL5Q3T", "https://keepa.com/#!product/1-B09LYL5Q3T")</f>
      </c>
      <c r="AK575" s="2" t="str">
        <f>HYPERLINK("https://camelcamelcamel.com/search?sq=B09LYL5Q3T", "https://camelcamelcamel.com/search?sq=B09LYL5Q3T")</f>
      </c>
      <c r="AL575" t="inlineStr">
        <is>
          <t/>
        </is>
      </c>
      <c r="AM575" s="10">
        <v>45417.11111111111</v>
      </c>
      <c r="AN575" t="inlineStr">
        <is>
          <t>Digital Camera for Kids Boys and Girls - 2.7K 48MP Children's Camera with 32GB SD Card, Rechargeable Electronic Mini Camera for Students, Teens, Kids (Green)</t>
        </is>
      </c>
      <c r="AO575" t="inlineStr">
        <is>
          <t>2000</t>
        </is>
      </c>
      <c r="AP575" t="inlineStr">
        <is>
          <t>TAKE ALL</t>
        </is>
      </c>
    </row>
    <row r="576">
      <c r="A576" t="inlineStr">
        <is>
          <t>B09LZ95NPR</t>
        </is>
      </c>
      <c r="B576" t="inlineStr">
        <is>
          <t>False</t>
        </is>
      </c>
      <c r="C576" t="inlineStr">
        <is>
          <t>B09LZ95NPR</t>
        </is>
      </c>
      <c r="D576" t="inlineStr">
        <is>
          <t>Home Basics</t>
        </is>
      </c>
      <c r="E576" t="inlineStr">
        <is>
          <t>False</t>
        </is>
      </c>
      <c r="F576" t="inlineStr">
        <is>
          <t>Home Basics Bread Box for Kitchen Counter Dry Food Storage Container, Bread Bin, Store Bread Loaf, Dinner Rolls, Pastries, Baked Goods &amp; More, Home Kitchen Decor (SOHO BLACK)</t>
        </is>
      </c>
      <c r="G576">
        <v>1</v>
      </c>
      <c r="H576" s="2" t="str">
        <f>HYPERLINK("https://www.amazon.com/dp/B09LZ95NPR", "https://www.amazon.com/dp/B09LZ95NPR")</f>
      </c>
      <c r="I576" s="3">
        <v>372</v>
      </c>
      <c r="J576" s="4">
        <v>9.7</v>
      </c>
      <c r="K576" s="5">
        <v>0.21719999999999998</v>
      </c>
      <c r="L576" s="15">
        <v>0.5243</v>
      </c>
      <c r="M576" t="inlineStr">
        <is>
          <t>True</t>
        </is>
      </c>
      <c r="N576" t="inlineStr">
        <is>
          <t>Kitchen &amp; Dining</t>
        </is>
      </c>
      <c r="O576" s="6">
        <v>19955</v>
      </c>
      <c r="P576" s="6">
        <v>40112</v>
      </c>
      <c r="Q576" s="6">
        <v>8708</v>
      </c>
      <c r="R576" s="6">
        <v>115</v>
      </c>
      <c r="S576" s="7">
        <v>18.5</v>
      </c>
      <c r="T576" s="7">
        <v>44.66</v>
      </c>
      <c r="U576">
        <v>38.86</v>
      </c>
      <c r="V576" s="8">
        <v>0</v>
      </c>
      <c r="W576" s="7">
        <v>0</v>
      </c>
      <c r="X576" s="7">
        <v>0</v>
      </c>
      <c r="Y576">
        <v>3.62</v>
      </c>
      <c r="Z576" s="9">
        <v>1</v>
      </c>
      <c r="AB576">
        <v>0</v>
      </c>
      <c r="AC576">
        <v>0</v>
      </c>
      <c r="AD576">
        <v>2</v>
      </c>
      <c r="AE576">
        <v>1</v>
      </c>
      <c r="AF576">
        <v>0</v>
      </c>
      <c r="AG576">
        <v>1</v>
      </c>
      <c r="AH576">
        <v>8</v>
      </c>
      <c r="AI576" t="inlineStr">
        <is>
          <t>False</t>
        </is>
      </c>
      <c r="AJ576" s="2" t="str">
        <f>HYPERLINK("https://keepa.com/#!product/1-B09LZ95NPR", "https://keepa.com/#!product/1-B09LZ95NPR")</f>
      </c>
      <c r="AK576" s="2" t="str">
        <f>HYPERLINK("https://camelcamelcamel.com/search?sq=B09LZ95NPR", "https://camelcamelcamel.com/search?sq=B09LZ95NPR")</f>
      </c>
      <c r="AL576" t="inlineStr">
        <is>
          <t/>
        </is>
      </c>
      <c r="AM576" s="10">
        <v>45417.11111111111</v>
      </c>
      <c r="AN576" t="inlineStr">
        <is>
          <t>Home Basics Bread Box for Kitchen Counter Dry Food Storage Container, Bread Bin, Store Bread Loaf, Dinner Rolls, Pastries, Baked Goods &amp; More, Home Kitchen Decor (SOHO BLACK)</t>
        </is>
      </c>
      <c r="AO576" t="inlineStr">
        <is>
          <t>300</t>
        </is>
      </c>
      <c r="AP576" t="inlineStr">
        <is>
          <t>TAKE ALL</t>
        </is>
      </c>
    </row>
    <row r="577">
      <c r="A577" t="inlineStr">
        <is>
          <t>B09MCSJ4R6</t>
        </is>
      </c>
      <c r="B577" t="inlineStr">
        <is>
          <t>False</t>
        </is>
      </c>
      <c r="C577" t="inlineStr">
        <is>
          <t>B09MCSJ4R6</t>
        </is>
      </c>
      <c r="D577" t="inlineStr">
        <is>
          <t>Syeh</t>
        </is>
      </c>
      <c r="E577" t="inlineStr">
        <is>
          <t>False</t>
        </is>
      </c>
      <c r="F577" t="inlineStr">
        <is>
          <t>Syeh Security Camera Pet WiFi Camera Indoor Wireless 1536P IP Camera Full BlackP</t>
        </is>
      </c>
      <c r="G577">
        <v>1</v>
      </c>
      <c r="H577" s="2" t="str">
        <f>HYPERLINK("https://www.amazon.com/dp/B09MCSJ4R6", "https://www.amazon.com/dp/B09MCSJ4R6")</f>
      </c>
      <c r="I577" s="14">
        <v>5</v>
      </c>
      <c r="J577" s="4">
        <v>8.41</v>
      </c>
      <c r="K577" s="5">
        <v>0.2214</v>
      </c>
      <c r="L577" s="15">
        <v>0.3912</v>
      </c>
      <c r="M577" t="inlineStr">
        <is>
          <t>False</t>
        </is>
      </c>
      <c r="N577" t="inlineStr">
        <is>
          <t>Dome Surveillance Cameras</t>
        </is>
      </c>
      <c r="O577" s="6">
        <v>737</v>
      </c>
      <c r="P577" s="6">
        <v>0</v>
      </c>
      <c r="Q577" s="6">
        <v>0</v>
      </c>
      <c r="R577" s="6">
        <v>0</v>
      </c>
      <c r="S577" s="7">
        <v>21.5</v>
      </c>
      <c r="T577" s="7">
        <v>37.99</v>
      </c>
      <c r="U577">
        <v>36.74</v>
      </c>
      <c r="V577" s="8">
        <v>0</v>
      </c>
      <c r="W577" s="7">
        <v>0</v>
      </c>
      <c r="X577" s="7">
        <v>0</v>
      </c>
      <c r="Y577">
        <v>1.08</v>
      </c>
      <c r="Z577" s="8">
        <v>0</v>
      </c>
      <c r="AB577">
        <v>0</v>
      </c>
      <c r="AC577">
        <v>0</v>
      </c>
      <c r="AD577">
        <v>1</v>
      </c>
      <c r="AE577">
        <v>1</v>
      </c>
      <c r="AF577">
        <v>0</v>
      </c>
      <c r="AG577">
        <v>1</v>
      </c>
      <c r="AH577">
        <v>3</v>
      </c>
      <c r="AI577" t="inlineStr">
        <is>
          <t>False</t>
        </is>
      </c>
      <c r="AJ577" s="2" t="str">
        <f>HYPERLINK("https://keepa.com/#!product/1-B09MCSJ4R6", "https://keepa.com/#!product/1-B09MCSJ4R6")</f>
      </c>
      <c r="AK577" s="2" t="str">
        <f>HYPERLINK("https://camelcamelcamel.com/search?sq=B09MCSJ4R6", "https://camelcamelcamel.com/search?sq=B09MCSJ4R6")</f>
      </c>
      <c r="AL577" t="inlineStr">
        <is>
          <t/>
        </is>
      </c>
      <c r="AM577" s="10">
        <v>45417.11111111111</v>
      </c>
      <c r="AN577" t="inlineStr">
        <is>
          <t>Syeh Security Camera Pet WiFi Camera Indoor Wireless 1536P IP Camera Full BlackP</t>
        </is>
      </c>
      <c r="AO577" t="inlineStr">
        <is>
          <t>3000</t>
        </is>
      </c>
      <c r="AP577" t="inlineStr">
        <is>
          <t>500</t>
        </is>
      </c>
    </row>
    <row r="578">
      <c r="A578" t="inlineStr">
        <is>
          <t>B09MR55TF3</t>
        </is>
      </c>
      <c r="B578" t="inlineStr">
        <is>
          <t>False</t>
        </is>
      </c>
      <c r="C578" t="inlineStr">
        <is>
          <t>B09MR55TF3</t>
        </is>
      </c>
      <c r="D578" t="inlineStr">
        <is>
          <t>U Brands</t>
        </is>
      </c>
      <c r="E578" t="inlineStr">
        <is>
          <t>False</t>
        </is>
      </c>
      <c r="F578" t="inlineStr">
        <is>
          <t>U Brands Magnetic Chalk Calendar Board, 20"x16", Whitewashed Wood Style Frame, Includes Chalk Pencils and Magnets</t>
        </is>
      </c>
      <c r="G578">
        <v>1</v>
      </c>
      <c r="H578" s="2" t="str">
        <f>HYPERLINK("https://www.amazon.com/dp/B09MR55TF3", "https://www.amazon.com/dp/B09MR55TF3")</f>
      </c>
      <c r="I578" s="3">
        <v>165</v>
      </c>
      <c r="J578" s="4">
        <v>8.17</v>
      </c>
      <c r="K578" s="5">
        <v>0.21789999999999998</v>
      </c>
      <c r="L578" s="15">
        <v>0.6536</v>
      </c>
      <c r="M578" t="inlineStr">
        <is>
          <t>True</t>
        </is>
      </c>
      <c r="N578" t="inlineStr">
        <is>
          <t>Office Products</t>
        </is>
      </c>
      <c r="O578" s="6">
        <v>31162</v>
      </c>
      <c r="P578" s="6">
        <v>52550</v>
      </c>
      <c r="Q578" s="6">
        <v>3450</v>
      </c>
      <c r="R578" s="6">
        <v>157</v>
      </c>
      <c r="S578" s="7">
        <v>12.5</v>
      </c>
      <c r="T578" s="7">
        <v>37.5</v>
      </c>
      <c r="U578">
        <v>30.58</v>
      </c>
      <c r="V578" s="8">
        <v>0</v>
      </c>
      <c r="W578" s="7">
        <v>0</v>
      </c>
      <c r="X578" s="7">
        <v>0</v>
      </c>
      <c r="Y578">
        <v>1.95</v>
      </c>
      <c r="Z578" s="9">
        <v>0.02</v>
      </c>
      <c r="AB578">
        <v>0</v>
      </c>
      <c r="AC578">
        <v>0</v>
      </c>
      <c r="AD578">
        <v>4</v>
      </c>
      <c r="AE578">
        <v>3</v>
      </c>
      <c r="AF578">
        <v>1</v>
      </c>
      <c r="AG578">
        <v>3</v>
      </c>
      <c r="AH578">
        <v>0</v>
      </c>
      <c r="AI578" t="inlineStr">
        <is>
          <t>False</t>
        </is>
      </c>
      <c r="AJ578" s="2" t="str">
        <f>HYPERLINK("https://keepa.com/#!product/1-B09MR55TF3", "https://keepa.com/#!product/1-B09MR55TF3")</f>
      </c>
      <c r="AK578" s="2" t="str">
        <f>HYPERLINK("https://camelcamelcamel.com/search?sq=B09MR55TF3", "https://camelcamelcamel.com/search?sq=B09MR55TF3")</f>
      </c>
      <c r="AL578" t="inlineStr">
        <is>
          <t/>
        </is>
      </c>
      <c r="AM578" s="10">
        <v>45417.11111111111</v>
      </c>
      <c r="AN578" t="inlineStr">
        <is>
          <t>U Brands Magnetic Chalk Calendar Board, 20"x16", Whitewashed Wood Style Frame, Includes Chalk Pencils and Magnets</t>
        </is>
      </c>
      <c r="AO578" t="inlineStr">
        <is>
          <t>1500</t>
        </is>
      </c>
      <c r="AP578" t="inlineStr">
        <is>
          <t>300</t>
        </is>
      </c>
    </row>
    <row r="579">
      <c r="A579" t="inlineStr">
        <is>
          <t>B09NNBXZMW</t>
        </is>
      </c>
      <c r="B579" t="inlineStr">
        <is>
          <t>False</t>
        </is>
      </c>
      <c r="C579" t="inlineStr">
        <is>
          <t>B09NNBXZMW</t>
        </is>
      </c>
      <c r="D579" t="inlineStr">
        <is>
          <t>Rossetta</t>
        </is>
      </c>
      <c r="E579" t="inlineStr">
        <is>
          <t>False</t>
        </is>
      </c>
      <c r="F579" t="inlineStr">
        <is>
          <t>Rossetta Star Projector, Galaxy Projector for Bedroom, Bluetooth Speaker and White Noise Aurora Projector, Night Light Projector for Kids Adults Gaming Room, Home Theater, Ceiling, Room Decor</t>
        </is>
      </c>
      <c r="G579">
        <v>1</v>
      </c>
      <c r="H579" s="2" t="str">
        <f>HYPERLINK("https://www.amazon.com/dp/B09NNBXZMW", "https://www.amazon.com/dp/B09NNBXZMW")</f>
      </c>
      <c r="I579" s="3">
        <v>10112</v>
      </c>
      <c r="J579" s="4">
        <v>6.32</v>
      </c>
      <c r="K579" s="5">
        <v>0.1264</v>
      </c>
      <c r="L579" s="5">
        <v>0.2039</v>
      </c>
      <c r="M579" t="inlineStr">
        <is>
          <t>True</t>
        </is>
      </c>
      <c r="N579" t="inlineStr">
        <is>
          <t>Tools &amp; Home Improvement</t>
        </is>
      </c>
      <c r="O579" s="6">
        <v>274</v>
      </c>
      <c r="P579" s="6">
        <v>265</v>
      </c>
      <c r="Q579" s="6">
        <v>46</v>
      </c>
      <c r="R579" s="6">
        <v>252</v>
      </c>
      <c r="S579" s="7">
        <v>31</v>
      </c>
      <c r="T579" s="7">
        <v>49.99</v>
      </c>
      <c r="U579">
        <v>47.64</v>
      </c>
      <c r="V579" s="8">
        <v>0</v>
      </c>
      <c r="W579" s="7">
        <v>0</v>
      </c>
      <c r="X579" s="7">
        <v>0</v>
      </c>
      <c r="Y579">
        <v>1.1</v>
      </c>
      <c r="Z579" s="8">
        <v>0</v>
      </c>
      <c r="AB579">
        <v>0</v>
      </c>
      <c r="AC579">
        <v>0</v>
      </c>
      <c r="AD579">
        <v>4</v>
      </c>
      <c r="AE579">
        <v>2</v>
      </c>
      <c r="AF579">
        <v>0</v>
      </c>
      <c r="AG579">
        <v>1</v>
      </c>
      <c r="AH579">
        <v>6</v>
      </c>
      <c r="AI579" t="inlineStr">
        <is>
          <t>True</t>
        </is>
      </c>
      <c r="AJ579" s="2" t="str">
        <f>HYPERLINK("https://keepa.com/#!product/1-B09NNBXZMW", "https://keepa.com/#!product/1-B09NNBXZMW")</f>
      </c>
      <c r="AK579" s="2" t="str">
        <f>HYPERLINK("https://camelcamelcamel.com/search?sq=B09NNBXZMW", "https://camelcamelcamel.com/search?sq=B09NNBXZMW")</f>
      </c>
      <c r="AL579" t="inlineStr">
        <is>
          <t/>
        </is>
      </c>
      <c r="AM579" s="10">
        <v>45417.11111111111</v>
      </c>
      <c r="AN579" t="inlineStr">
        <is>
          <t>Rossetta Star Projector, Galaxy Projector for Bedroom, Bluetooth Speaker and White Noise Aurora Projector, Night Light Projector for Kids Adults Gaming Room, Home Theater, Ceiling, Room Decor</t>
        </is>
      </c>
      <c r="AO579" t="inlineStr">
        <is>
          <t>64</t>
        </is>
      </c>
      <c r="AP579" t="inlineStr">
        <is>
          <t>TAKE ALL</t>
        </is>
      </c>
    </row>
    <row r="580">
      <c r="A580" t="inlineStr">
        <is>
          <t>B09PD77G6S</t>
        </is>
      </c>
      <c r="B580" t="inlineStr">
        <is>
          <t>False</t>
        </is>
      </c>
      <c r="C580" t="inlineStr">
        <is>
          <t>B09PD77G6S</t>
        </is>
      </c>
      <c r="D580" t="inlineStr">
        <is>
          <t>Versed</t>
        </is>
      </c>
      <c r="E580" t="inlineStr">
        <is>
          <t>False</t>
        </is>
      </c>
      <c r="F580" t="inlineStr">
        <is>
          <t>Versed Keep The Peace Calming Cream Cleanser - Gentle, Non-Drying Foaming Cleanser with Salicylic Acid - Daily Face Wash Helps Reduce Blemishes Without Stripping Skin - Vegan (4 fl oz)</t>
        </is>
      </c>
      <c r="G580">
        <v>1</v>
      </c>
      <c r="H580" s="2" t="str">
        <f>HYPERLINK("https://www.amazon.com/dp/B09PD77G6S", "https://www.amazon.com/dp/B09PD77G6S")</f>
      </c>
      <c r="I580" s="3">
        <v>878</v>
      </c>
      <c r="J580" s="12">
        <v>-7.6</v>
      </c>
      <c r="K580" s="13">
        <v>-1.5385</v>
      </c>
      <c r="L580" s="13">
        <v>-0.8443999999999999</v>
      </c>
      <c r="M580" t="inlineStr">
        <is>
          <t>True</t>
        </is>
      </c>
      <c r="N580" t="inlineStr">
        <is>
          <t>Beauty &amp; Personal Care</t>
        </is>
      </c>
      <c r="O580" s="6">
        <v>19714</v>
      </c>
      <c r="P580" s="6">
        <v>18220</v>
      </c>
      <c r="Q580" s="6">
        <v>11016</v>
      </c>
      <c r="R580" s="6">
        <v>180</v>
      </c>
      <c r="S580" s="7">
        <v>9</v>
      </c>
      <c r="T580" s="7">
        <v>4.94</v>
      </c>
      <c r="U580">
        <v>7.42</v>
      </c>
      <c r="V580" s="8">
        <v>0</v>
      </c>
      <c r="W580" s="7">
        <v>0</v>
      </c>
      <c r="X580" s="7">
        <v>0</v>
      </c>
      <c r="Y580">
        <v>0.33</v>
      </c>
      <c r="Z580" s="8">
        <v>0</v>
      </c>
      <c r="AB580">
        <v>0</v>
      </c>
      <c r="AC580">
        <v>0</v>
      </c>
      <c r="AD580">
        <v>76</v>
      </c>
      <c r="AE580">
        <v>61</v>
      </c>
      <c r="AF580">
        <v>15</v>
      </c>
      <c r="AG580">
        <v>5</v>
      </c>
      <c r="AH580">
        <v>0</v>
      </c>
      <c r="AI580" t="inlineStr">
        <is>
          <t>False</t>
        </is>
      </c>
      <c r="AJ580" s="2" t="str">
        <f>HYPERLINK("https://keepa.com/#!product/1-B09PD77G6S", "https://keepa.com/#!product/1-B09PD77G6S")</f>
      </c>
      <c r="AK580" s="2" t="str">
        <f>HYPERLINK("https://camelcamelcamel.com/search?sq=B09PD77G6S", "https://camelcamelcamel.com/search?sq=B09PD77G6S")</f>
      </c>
      <c r="AL580" t="inlineStr">
        <is>
          <t/>
        </is>
      </c>
      <c r="AM580" s="10">
        <v>45417.11111111111</v>
      </c>
      <c r="AN580" t="inlineStr">
        <is>
          <t>Versed Keep The Peace Acne-Calming Cream Cleanser - Gentle, Non-Drying Foaming Cleanser with Salicylic Acid - Daily Face Wash Helps Reduce Blemishes Without Stripping Skin - Vegan (4 fl oz)</t>
        </is>
      </c>
      <c r="AO580" t="inlineStr">
        <is>
          <t>5000</t>
        </is>
      </c>
      <c r="AP580" t="inlineStr">
        <is>
          <t>750</t>
        </is>
      </c>
    </row>
    <row r="581">
      <c r="A581" t="inlineStr">
        <is>
          <t>B09PNFPMDC</t>
        </is>
      </c>
      <c r="B581" t="inlineStr">
        <is>
          <t>False</t>
        </is>
      </c>
      <c r="C581" t="inlineStr">
        <is>
          <t>B09PNFPMDC</t>
        </is>
      </c>
      <c r="D581" t="inlineStr">
        <is>
          <t>Living Enrichment</t>
        </is>
      </c>
      <c r="E581" t="inlineStr">
        <is>
          <t>False</t>
        </is>
      </c>
      <c r="F581" t="inlineStr">
        <is>
          <t>Living Enrichment Air Purifiers for Bedroom Home with True HEPA Filter, for Pet Hair Dander Allergies Odors Remover, Ozone-Free, Ultra Quiet, CARB/EPA Certified</t>
        </is>
      </c>
      <c r="G581">
        <v>1</v>
      </c>
      <c r="H581" s="2" t="str">
        <f>HYPERLINK("https://www.amazon.com/dp/B09PNFPMDC", "https://www.amazon.com/dp/B09PNFPMDC")</f>
      </c>
      <c r="I581" s="14">
        <v>5</v>
      </c>
      <c r="J581" s="4">
        <v>19.7</v>
      </c>
      <c r="K581" s="15">
        <v>0.3887</v>
      </c>
      <c r="L581" s="15">
        <v>1.3133000000000001</v>
      </c>
      <c r="M581" t="inlineStr">
        <is>
          <t>False</t>
        </is>
      </c>
      <c r="N581" t="inlineStr">
        <is>
          <t>Our Brands</t>
        </is>
      </c>
      <c r="O581" s="6">
        <v>15977</v>
      </c>
      <c r="P581" s="6">
        <v>14206</v>
      </c>
      <c r="Q581" s="6">
        <v>5465</v>
      </c>
      <c r="R581" s="6">
        <v>17</v>
      </c>
      <c r="S581" s="7">
        <v>15</v>
      </c>
      <c r="T581" s="7">
        <v>50.68</v>
      </c>
      <c r="U581">
        <v>51.02</v>
      </c>
      <c r="V581" s="8">
        <v>0</v>
      </c>
      <c r="W581" s="7">
        <v>0</v>
      </c>
      <c r="X581" s="7">
        <v>0</v>
      </c>
      <c r="Y581">
        <v>5.82</v>
      </c>
      <c r="Z581" s="9">
        <v>1</v>
      </c>
      <c r="AB581">
        <v>0</v>
      </c>
      <c r="AC581">
        <v>0</v>
      </c>
      <c r="AD581">
        <v>2</v>
      </c>
      <c r="AE581">
        <v>2</v>
      </c>
      <c r="AF581">
        <v>0</v>
      </c>
      <c r="AG581">
        <v>1</v>
      </c>
      <c r="AH581">
        <v>0</v>
      </c>
      <c r="AI581" t="inlineStr">
        <is>
          <t>False</t>
        </is>
      </c>
      <c r="AJ581" s="2" t="str">
        <f>HYPERLINK("https://keepa.com/#!product/1-B09PNFPMDC", "https://keepa.com/#!product/1-B09PNFPMDC")</f>
      </c>
      <c r="AK581" s="2" t="str">
        <f>HYPERLINK("https://camelcamelcamel.com/search?sq=B09PNFPMDC", "https://camelcamelcamel.com/search?sq=B09PNFPMDC")</f>
      </c>
      <c r="AL581" t="inlineStr">
        <is>
          <t/>
        </is>
      </c>
      <c r="AM581" s="10">
        <v>45417.11111111111</v>
      </c>
      <c r="AN581" t="inlineStr">
        <is>
          <t>Living Enrichment Air Purifiers for Bedroom</t>
        </is>
      </c>
      <c r="AO581" t="inlineStr">
        <is>
          <t>1000</t>
        </is>
      </c>
      <c r="AP581" t="inlineStr">
        <is>
          <t>250</t>
        </is>
      </c>
    </row>
    <row r="582">
      <c r="A582" t="inlineStr">
        <is>
          <t>B09Q2WL7C6</t>
        </is>
      </c>
      <c r="B582" t="inlineStr">
        <is>
          <t>False</t>
        </is>
      </c>
      <c r="C582" t="inlineStr">
        <is>
          <t>B09Q2WL7C6</t>
        </is>
      </c>
      <c r="D582" t="inlineStr">
        <is>
          <t>SFOUR</t>
        </is>
      </c>
      <c r="E582" t="inlineStr">
        <is>
          <t>False</t>
        </is>
      </c>
      <c r="F582" t="inlineStr">
        <is>
          <t>SFOUR Star Projector,Galaxy Night Light,Astronaut Starry Nebula Ceiling LED Lamp with Timer and Remote, Gift for Kids Adults for Bedroom, Birthdays,Christmas, Valentine's Day.(White)</t>
        </is>
      </c>
      <c r="G582">
        <v>1</v>
      </c>
      <c r="H582" s="2" t="str">
        <f>HYPERLINK("https://www.amazon.com/dp/B09Q2WL7C6", "https://www.amazon.com/dp/B09Q2WL7C6")</f>
      </c>
      <c r="I582" s="3">
        <v>3878</v>
      </c>
      <c r="J582" s="4">
        <v>10.36</v>
      </c>
      <c r="K582" s="5">
        <v>0.2961</v>
      </c>
      <c r="L582" s="15">
        <v>0.7535</v>
      </c>
      <c r="M582" t="inlineStr">
        <is>
          <t>True</t>
        </is>
      </c>
      <c r="N582" t="inlineStr">
        <is>
          <t>Tools &amp; Home Improvement</t>
        </is>
      </c>
      <c r="O582" s="6">
        <v>1505</v>
      </c>
      <c r="P582" s="6">
        <v>1143</v>
      </c>
      <c r="Q582" s="6">
        <v>291</v>
      </c>
      <c r="R582" s="6">
        <v>278</v>
      </c>
      <c r="S582" s="7">
        <v>13.75</v>
      </c>
      <c r="T582" s="7">
        <v>34.99</v>
      </c>
      <c r="U582">
        <v>33.76</v>
      </c>
      <c r="V582" s="8">
        <v>0</v>
      </c>
      <c r="W582" s="7">
        <v>0</v>
      </c>
      <c r="X582" s="7">
        <v>0</v>
      </c>
      <c r="Y582">
        <v>1.28</v>
      </c>
      <c r="Z582" s="8">
        <v>0</v>
      </c>
      <c r="AB582">
        <v>0</v>
      </c>
      <c r="AC582">
        <v>0</v>
      </c>
      <c r="AD582">
        <v>2</v>
      </c>
      <c r="AE582">
        <v>2</v>
      </c>
      <c r="AF582">
        <v>0</v>
      </c>
      <c r="AG582">
        <v>1</v>
      </c>
      <c r="AH582">
        <v>3</v>
      </c>
      <c r="AI582" t="inlineStr">
        <is>
          <t>False</t>
        </is>
      </c>
      <c r="AJ582" s="2" t="str">
        <f>HYPERLINK("https://keepa.com/#!product/1-B09Q2WL7C6", "https://keepa.com/#!product/1-B09Q2WL7C6")</f>
      </c>
      <c r="AK582" s="2" t="str">
        <f>HYPERLINK("https://camelcamelcamel.com/search?sq=B09Q2WL7C6", "https://camelcamelcamel.com/search?sq=B09Q2WL7C6")</f>
      </c>
      <c r="AL582" t="inlineStr">
        <is>
          <t/>
        </is>
      </c>
      <c r="AM582" s="10">
        <v>45417.11111111111</v>
      </c>
      <c r="AN582" t="inlineStr">
        <is>
          <t>SFOUR Star Projector,Galaxy Night Light,Astronaut Starry Nebula Ceiling LED Lamp with Timer and Remote, Gift for Kids Adults for Bedroom, Birthdays,Christmas, Valentine's Day.(White)</t>
        </is>
      </c>
      <c r="AO582" t="inlineStr">
        <is>
          <t>1000</t>
        </is>
      </c>
      <c r="AP582" t="inlineStr">
        <is>
          <t>TAKE ALL</t>
        </is>
      </c>
    </row>
    <row r="583">
      <c r="A583" t="inlineStr">
        <is>
          <t>B09QB7GXX4</t>
        </is>
      </c>
      <c r="B583" t="inlineStr">
        <is>
          <t>False</t>
        </is>
      </c>
      <c r="C583" t="inlineStr">
        <is>
          <t>B09QB7GXX4</t>
        </is>
      </c>
      <c r="D583" t="inlineStr">
        <is>
          <t>ONE A DAY</t>
        </is>
      </c>
      <c r="E583" t="inlineStr">
        <is>
          <t>False</t>
        </is>
      </c>
      <c r="F583" t="inlineStr">
        <is>
          <t>ONE A DAY Multi+ Brain Support Gummies, Multivitamin Gummies for Men &amp; Women with Boost of Brain Support with Super 8 B Vitamin Complex, 100 Count</t>
        </is>
      </c>
      <c r="G583">
        <v>1</v>
      </c>
      <c r="H583" s="2" t="str">
        <f>HYPERLINK("https://www.amazon.com/dp/B09QB7GXX4", "https://www.amazon.com/dp/B09QB7GXX4")</f>
      </c>
      <c r="I583" s="3">
        <v>755</v>
      </c>
      <c r="J583" s="12">
        <v>-2.47</v>
      </c>
      <c r="K583" s="13">
        <v>-0.2279</v>
      </c>
      <c r="L583" s="13">
        <v>-0.3293</v>
      </c>
      <c r="M583" t="inlineStr">
        <is>
          <t>True</t>
        </is>
      </c>
      <c r="N583" t="inlineStr">
        <is>
          <t>Health &amp; Household</t>
        </is>
      </c>
      <c r="O583" s="6">
        <v>27696</v>
      </c>
      <c r="P583" s="6">
        <v>38369</v>
      </c>
      <c r="Q583" s="6">
        <v>22848</v>
      </c>
      <c r="R583" s="6">
        <v>182</v>
      </c>
      <c r="S583" s="7">
        <v>7.5</v>
      </c>
      <c r="T583" s="7">
        <v>10.84</v>
      </c>
      <c r="U583">
        <v>14.61</v>
      </c>
      <c r="V583" s="8">
        <v>0</v>
      </c>
      <c r="W583" s="7">
        <v>0</v>
      </c>
      <c r="X583" s="7">
        <v>0</v>
      </c>
      <c r="Y583">
        <v>0.64</v>
      </c>
      <c r="Z583" s="9">
        <v>1</v>
      </c>
      <c r="AB583">
        <v>0</v>
      </c>
      <c r="AC583">
        <v>0</v>
      </c>
      <c r="AD583">
        <v>4</v>
      </c>
      <c r="AE583">
        <v>2</v>
      </c>
      <c r="AF583">
        <v>2</v>
      </c>
      <c r="AG583">
        <v>1</v>
      </c>
      <c r="AH583">
        <v>0</v>
      </c>
      <c r="AI583" t="inlineStr">
        <is>
          <t>False</t>
        </is>
      </c>
      <c r="AJ583" s="2" t="str">
        <f>HYPERLINK("https://keepa.com/#!product/1-B09QB7GXX4", "https://keepa.com/#!product/1-B09QB7GXX4")</f>
      </c>
      <c r="AK583" s="2" t="str">
        <f>HYPERLINK("https://camelcamelcamel.com/search?sq=B09QB7GXX4", "https://camelcamelcamel.com/search?sq=B09QB7GXX4")</f>
      </c>
      <c r="AL583" t="inlineStr">
        <is>
          <t/>
        </is>
      </c>
      <c r="AM583" s="10">
        <v>45417.11111111111</v>
      </c>
      <c r="AN583" t="inlineStr">
        <is>
          <t>ONE A DAY Multi+ Brain Support Gummies, Multivitamin Gummies for Men &amp; Women with Boost of Brain Support with Super 8 B Vitamin Complex, 100 Count</t>
        </is>
      </c>
      <c r="AO583" t="inlineStr">
        <is>
          <t>500</t>
        </is>
      </c>
      <c r="AP583" t="inlineStr">
        <is>
          <t>TAKE ALL</t>
        </is>
      </c>
    </row>
    <row r="584">
      <c r="A584" t="inlineStr">
        <is>
          <t>B09QV9Y63K</t>
        </is>
      </c>
      <c r="B584" t="inlineStr">
        <is>
          <t>False</t>
        </is>
      </c>
      <c r="C584" t="inlineStr">
        <is>
          <t>B09QV9Y63K</t>
        </is>
      </c>
      <c r="D584" t="inlineStr">
        <is>
          <t>Nature's Way</t>
        </is>
      </c>
      <c r="E584" t="inlineStr">
        <is>
          <t>False</t>
        </is>
      </c>
      <c r="F584" t="inlineStr">
        <is>
          <t>Nature’s Way Sleep Well Gummies, Sleep Support for Adults*, with Melatonin, Ashwagandha and Magnesium, Berry Flavored, 90 Gummies (Packaging May Vary)</t>
        </is>
      </c>
      <c r="G584">
        <v>1</v>
      </c>
      <c r="H584" s="2" t="str">
        <f>HYPERLINK("https://www.amazon.com/dp/B09QV9Y63K", "https://www.amazon.com/dp/B09QV9Y63K")</f>
      </c>
      <c r="I584" s="3">
        <v>464</v>
      </c>
      <c r="J584" s="11">
        <v>3.41</v>
      </c>
      <c r="K584" s="5">
        <v>0.237</v>
      </c>
      <c r="L584" s="15">
        <v>0.8024</v>
      </c>
      <c r="M584" t="inlineStr">
        <is>
          <t>True</t>
        </is>
      </c>
      <c r="N584" t="inlineStr">
        <is>
          <t>Health &amp; Household</t>
        </is>
      </c>
      <c r="O584" s="6">
        <v>39340</v>
      </c>
      <c r="P584" s="6">
        <v>48878</v>
      </c>
      <c r="Q584" s="6">
        <v>33863</v>
      </c>
      <c r="R584" s="6">
        <v>129</v>
      </c>
      <c r="S584" s="7">
        <v>4.25</v>
      </c>
      <c r="T584" s="7">
        <v>14.39</v>
      </c>
      <c r="U584">
        <v>14.38</v>
      </c>
      <c r="V584" s="8">
        <v>0</v>
      </c>
      <c r="W584" s="7">
        <v>0</v>
      </c>
      <c r="X584" s="7">
        <v>0</v>
      </c>
      <c r="Y584">
        <v>0.85</v>
      </c>
      <c r="Z584" s="9">
        <v>1</v>
      </c>
      <c r="AB584">
        <v>0</v>
      </c>
      <c r="AC584">
        <v>0</v>
      </c>
      <c r="AD584">
        <v>3</v>
      </c>
      <c r="AE584">
        <v>1</v>
      </c>
      <c r="AF584">
        <v>2</v>
      </c>
      <c r="AG584">
        <v>1</v>
      </c>
      <c r="AH584">
        <v>0</v>
      </c>
      <c r="AI584" t="inlineStr">
        <is>
          <t>False</t>
        </is>
      </c>
      <c r="AJ584" s="2" t="str">
        <f>HYPERLINK("https://keepa.com/#!product/1-B09QV9Y63K", "https://keepa.com/#!product/1-B09QV9Y63K")</f>
      </c>
      <c r="AK584" s="2" t="str">
        <f>HYPERLINK("https://camelcamelcamel.com/search?sq=B09QV9Y63K", "https://camelcamelcamel.com/search?sq=B09QV9Y63K")</f>
      </c>
      <c r="AL584" t="inlineStr">
        <is>
          <t/>
        </is>
      </c>
      <c r="AM584" s="10">
        <v>45417.11111111111</v>
      </c>
      <c r="AN584" t="inlineStr">
        <is>
          <t>Nature's Way Sleep Well Gummies for Adults with Melatonin, Ashwagandha and Magnesium, Berry Flavored, 90 Gummies</t>
        </is>
      </c>
      <c r="AO584" t="inlineStr">
        <is>
          <t>850</t>
        </is>
      </c>
      <c r="AP584" t="inlineStr">
        <is>
          <t>425</t>
        </is>
      </c>
    </row>
    <row r="585">
      <c r="A585" t="inlineStr">
        <is>
          <t>B09QVFLMRN</t>
        </is>
      </c>
      <c r="B585" t="inlineStr">
        <is>
          <t>False</t>
        </is>
      </c>
      <c r="C585" t="inlineStr">
        <is>
          <t>B09QVFLMRN</t>
        </is>
      </c>
      <c r="D585" t="inlineStr">
        <is>
          <t>Nature's Way</t>
        </is>
      </c>
      <c r="E585" t="inlineStr">
        <is>
          <t>False</t>
        </is>
      </c>
      <c r="F585" t="inlineStr">
        <is>
          <t>Nature's Way Stress Defense Gummies, Stress Support*, Supports Balanced Cortisol Response*, with Sensoril Ashwagandha, Vitamins B6, C, and D3, Raspberry Flavored, 90 Gummies (Packaging May Vary)</t>
        </is>
      </c>
      <c r="G585">
        <v>1</v>
      </c>
      <c r="H585" s="2" t="str">
        <f>HYPERLINK("https://www.amazon.com/dp/B09QVFLMRN", "https://www.amazon.com/dp/B09QVFLMRN")</f>
      </c>
      <c r="I585" s="3">
        <v>131</v>
      </c>
      <c r="J585" s="11">
        <v>3.41</v>
      </c>
      <c r="K585" s="5">
        <v>0.237</v>
      </c>
      <c r="L585" s="15">
        <v>0.8024</v>
      </c>
      <c r="M585" t="inlineStr">
        <is>
          <t>True</t>
        </is>
      </c>
      <c r="N585" t="inlineStr">
        <is>
          <t>Health &amp; Household</t>
        </is>
      </c>
      <c r="O585" s="6">
        <v>87066</v>
      </c>
      <c r="P585" s="6">
        <v>69382</v>
      </c>
      <c r="Q585" s="6">
        <v>40107</v>
      </c>
      <c r="R585" s="6">
        <v>104</v>
      </c>
      <c r="S585" s="7">
        <v>4.25</v>
      </c>
      <c r="T585" s="7">
        <v>14.39</v>
      </c>
      <c r="U585">
        <v>11.77</v>
      </c>
      <c r="V585" s="8">
        <v>0</v>
      </c>
      <c r="W585" s="7">
        <v>0</v>
      </c>
      <c r="X585" s="7">
        <v>0</v>
      </c>
      <c r="Y585">
        <v>0.86</v>
      </c>
      <c r="Z585" s="9">
        <v>0.81</v>
      </c>
      <c r="AB585">
        <v>0</v>
      </c>
      <c r="AC585">
        <v>0</v>
      </c>
      <c r="AD585">
        <v>3</v>
      </c>
      <c r="AE585">
        <v>1</v>
      </c>
      <c r="AF585">
        <v>2</v>
      </c>
      <c r="AG585">
        <v>1</v>
      </c>
      <c r="AH585">
        <v>0</v>
      </c>
      <c r="AI585" t="inlineStr">
        <is>
          <t>False</t>
        </is>
      </c>
      <c r="AJ585" s="2" t="str">
        <f>HYPERLINK("https://keepa.com/#!product/1-B09QVFLMRN", "https://keepa.com/#!product/1-B09QVFLMRN")</f>
      </c>
      <c r="AK585" s="2" t="str">
        <f>HYPERLINK("https://camelcamelcamel.com/search?sq=B09QVFLMRN", "https://camelcamelcamel.com/search?sq=B09QVFLMRN")</f>
      </c>
      <c r="AL585" t="inlineStr">
        <is>
          <t/>
        </is>
      </c>
      <c r="AM585" s="10">
        <v>45417.11111111111</v>
      </c>
      <c r="AN585" t="inlineStr">
        <is>
          <t>Nature's Way Stress Defense Stress Reducing Supplement Gummies with Ashwagandha*, Vitamin B6, Supports Balanced Cortisol Response*, Raspberry Flavored, 90 Gummies</t>
        </is>
      </c>
      <c r="AO585" t="inlineStr">
        <is>
          <t>850</t>
        </is>
      </c>
      <c r="AP585" t="inlineStr">
        <is>
          <t>425</t>
        </is>
      </c>
    </row>
    <row r="586">
      <c r="A586" t="inlineStr">
        <is>
          <t>B09SKHWNG7</t>
        </is>
      </c>
      <c r="B586" t="inlineStr">
        <is>
          <t>False</t>
        </is>
      </c>
      <c r="C586" t="inlineStr">
        <is>
          <t>B09SKHWNG7</t>
        </is>
      </c>
      <c r="D586" t="inlineStr">
        <is>
          <t>Ring</t>
        </is>
      </c>
      <c r="E586" t="inlineStr">
        <is>
          <t>False</t>
        </is>
      </c>
      <c r="F586" t="inlineStr">
        <is>
          <t>Ring Alarm Panic Button (2nd gen) 2-pack</t>
        </is>
      </c>
      <c r="G586">
        <v>1</v>
      </c>
      <c r="H586" s="2" t="str">
        <f>HYPERLINK("https://www.amazon.com/dp/B09SKHWNG7", "https://www.amazon.com/dp/B09SKHWNG7")</f>
      </c>
      <c r="I586" s="14">
        <v>5</v>
      </c>
      <c r="J586" s="11">
        <v>3.47</v>
      </c>
      <c r="K586" s="5">
        <v>0.0694</v>
      </c>
      <c r="L586" s="5">
        <v>0.17350000000000002</v>
      </c>
      <c r="M586" t="inlineStr">
        <is>
          <t>True</t>
        </is>
      </c>
      <c r="N586" t="inlineStr">
        <is>
          <t>Climate Pledge Friendly</t>
        </is>
      </c>
      <c r="O586" s="6">
        <v>10747</v>
      </c>
      <c r="P586" s="6">
        <v>9866</v>
      </c>
      <c r="Q586" s="6">
        <v>7789</v>
      </c>
      <c r="R586" s="6">
        <v>39</v>
      </c>
      <c r="S586" s="7">
        <v>20</v>
      </c>
      <c r="T586" s="7">
        <v>49.99</v>
      </c>
      <c r="U586">
        <v>49.99</v>
      </c>
      <c r="V586" s="8">
        <v>0</v>
      </c>
      <c r="W586" s="7">
        <v>0</v>
      </c>
      <c r="X586" s="7">
        <v>0</v>
      </c>
      <c r="Y586">
        <v>0.26</v>
      </c>
      <c r="Z586" s="9">
        <v>0.25</v>
      </c>
      <c r="AB586">
        <v>0</v>
      </c>
      <c r="AC586">
        <v>0</v>
      </c>
      <c r="AD586">
        <v>1</v>
      </c>
      <c r="AE586">
        <v>1</v>
      </c>
      <c r="AF586">
        <v>0</v>
      </c>
      <c r="AG586">
        <v>1</v>
      </c>
      <c r="AH586">
        <v>2</v>
      </c>
      <c r="AI586" t="inlineStr">
        <is>
          <t>True</t>
        </is>
      </c>
      <c r="AJ586" s="2" t="str">
        <f>HYPERLINK("https://keepa.com/#!product/1-B09SKHWNG7", "https://keepa.com/#!product/1-B09SKHWNG7")</f>
      </c>
      <c r="AK586" s="2" t="str">
        <f>HYPERLINK("https://camelcamelcamel.com/search?sq=B09SKHWNG7", "https://camelcamelcamel.com/search?sq=B09SKHWNG7")</f>
      </c>
      <c r="AL586" t="inlineStr">
        <is>
          <t/>
        </is>
      </c>
      <c r="AM586" s="10">
        <v>45417.11111111111</v>
      </c>
      <c r="AN586" t="inlineStr">
        <is>
          <t>Ring Alarm Panic Button (2nd gen) 2-pack</t>
        </is>
      </c>
      <c r="AO586" t="inlineStr">
        <is>
          <t>2688</t>
        </is>
      </c>
      <c r="AP586" t="inlineStr">
        <is>
          <t>TAKE ALL</t>
        </is>
      </c>
    </row>
    <row r="587">
      <c r="A587" t="inlineStr">
        <is>
          <t>B09SLPT8FY</t>
        </is>
      </c>
      <c r="B587" t="inlineStr">
        <is>
          <t>False</t>
        </is>
      </c>
      <c r="C587" t="inlineStr">
        <is>
          <t>B09SLPT8FY</t>
        </is>
      </c>
      <c r="D587" t="inlineStr">
        <is>
          <t>Flonase</t>
        </is>
      </c>
      <c r="E587" t="inlineStr">
        <is>
          <t>False</t>
        </is>
      </c>
      <c r="F587" t="inlineStr">
        <is>
          <t>Flonase Headache and Allergy Relief Caplets with Acetaminophen 325 mg, Chlorpheniramine Maleate 4 mg and Phenylephrine HCl 10 mg Per 2 Caplet Dose - 96 Caplets</t>
        </is>
      </c>
      <c r="G587">
        <v>1</v>
      </c>
      <c r="H587" s="2" t="str">
        <f>HYPERLINK("https://www.amazon.com/dp/B09SLPT8FY", "https://www.amazon.com/dp/B09SLPT8FY")</f>
      </c>
      <c r="I587" s="3">
        <v>4341</v>
      </c>
      <c r="J587" s="11">
        <v>0.96</v>
      </c>
      <c r="K587" s="5">
        <v>0.09699999999999999</v>
      </c>
      <c r="L587" s="5">
        <v>0.192</v>
      </c>
      <c r="M587" t="inlineStr">
        <is>
          <t>True</t>
        </is>
      </c>
      <c r="N587" t="inlineStr">
        <is>
          <t>Health &amp; Household</t>
        </is>
      </c>
      <c r="O587" s="6">
        <v>6148</v>
      </c>
      <c r="P587" s="6">
        <v>7941</v>
      </c>
      <c r="Q587" s="6">
        <v>2437</v>
      </c>
      <c r="R587" s="6">
        <v>209</v>
      </c>
      <c r="S587" s="7">
        <v>5</v>
      </c>
      <c r="T587" s="7">
        <v>9.9</v>
      </c>
      <c r="U587">
        <v>11.12</v>
      </c>
      <c r="V587" s="8">
        <v>0</v>
      </c>
      <c r="W587" s="7">
        <v>0</v>
      </c>
      <c r="X587" s="7">
        <v>0</v>
      </c>
      <c r="Y587">
        <v>0.15</v>
      </c>
      <c r="Z587" s="9">
        <v>1</v>
      </c>
      <c r="AB587">
        <v>0</v>
      </c>
      <c r="AC587">
        <v>0</v>
      </c>
      <c r="AD587">
        <v>27</v>
      </c>
      <c r="AE587">
        <v>19</v>
      </c>
      <c r="AF587">
        <v>8</v>
      </c>
      <c r="AG587">
        <v>6</v>
      </c>
      <c r="AH587">
        <v>2</v>
      </c>
      <c r="AI587" t="inlineStr">
        <is>
          <t>False</t>
        </is>
      </c>
      <c r="AJ587" s="2" t="str">
        <f>HYPERLINK("https://keepa.com/#!product/1-B09SLPT8FY", "https://keepa.com/#!product/1-B09SLPT8FY")</f>
      </c>
      <c r="AK587" s="2" t="str">
        <f>HYPERLINK("https://camelcamelcamel.com/search?sq=B09SLPT8FY", "https://camelcamelcamel.com/search?sq=B09SLPT8FY")</f>
      </c>
      <c r="AL587" t="inlineStr">
        <is>
          <t/>
        </is>
      </c>
      <c r="AM587" s="10">
        <v>45417.11111111111</v>
      </c>
      <c r="AN587" t="inlineStr">
        <is>
          <t>Flonase Headache and Allergy Relief Caplets with Acetaminophen 325 mg, Chlorpheniramine Maleate 4 mg and Phenylephrine HCl 10 mg Per 2 Caplet Dose - 96 Caplets</t>
        </is>
      </c>
      <c r="AO587" t="inlineStr">
        <is>
          <t>2184</t>
        </is>
      </c>
      <c r="AP587" t="inlineStr">
        <is>
          <t>TAKE ALL</t>
        </is>
      </c>
    </row>
    <row r="588">
      <c r="A588" t="inlineStr">
        <is>
          <t>B09SR8HMQT</t>
        </is>
      </c>
      <c r="B588" t="inlineStr">
        <is>
          <t>False</t>
        </is>
      </c>
      <c r="C588" t="inlineStr">
        <is>
          <t>B09SR8HMQT</t>
        </is>
      </c>
      <c r="D588" t="inlineStr">
        <is>
          <t>Betancourt Nutrition</t>
        </is>
      </c>
      <c r="E588" t="inlineStr">
        <is>
          <t>False</t>
        </is>
      </c>
      <c r="F588" t="inlineStr">
        <is>
          <t>Betancourt Nutrition B-Nox Androrush Pre Workout with Creatine Blend | BCAAs &amp; Beta Alanine | Nitric Oxide &amp; Energy Boost | 35 Servings (SNO Cone)</t>
        </is>
      </c>
      <c r="G588">
        <v>1</v>
      </c>
      <c r="H588" s="2" t="str">
        <f>HYPERLINK("https://www.amazon.com/dp/B09SR8HMQT", "https://www.amazon.com/dp/B09SR8HMQT")</f>
      </c>
      <c r="I588" s="3">
        <v>1415</v>
      </c>
      <c r="J588" s="4">
        <v>6.14</v>
      </c>
      <c r="K588" s="5">
        <v>0.17550000000000002</v>
      </c>
      <c r="L588" s="15">
        <v>0.3411</v>
      </c>
      <c r="M588" t="inlineStr">
        <is>
          <t>True</t>
        </is>
      </c>
      <c r="N588" t="inlineStr">
        <is>
          <t>Health &amp; Household</t>
        </is>
      </c>
      <c r="O588" s="6">
        <v>17072</v>
      </c>
      <c r="P588" s="6">
        <v>18289</v>
      </c>
      <c r="Q588" s="6">
        <v>14553</v>
      </c>
      <c r="R588" s="6">
        <v>121</v>
      </c>
      <c r="S588" s="7">
        <v>18</v>
      </c>
      <c r="T588" s="7">
        <v>34.99</v>
      </c>
      <c r="U588">
        <v>34.98</v>
      </c>
      <c r="V588" s="8">
        <v>0</v>
      </c>
      <c r="W588" s="7">
        <v>0</v>
      </c>
      <c r="X588" s="7">
        <v>0</v>
      </c>
      <c r="Y588">
        <v>1.65</v>
      </c>
      <c r="Z588" s="8">
        <v>0</v>
      </c>
      <c r="AB588">
        <v>0</v>
      </c>
      <c r="AC588">
        <v>0</v>
      </c>
      <c r="AD588">
        <v>4</v>
      </c>
      <c r="AE588">
        <v>4</v>
      </c>
      <c r="AF588">
        <v>0</v>
      </c>
      <c r="AG588">
        <v>4</v>
      </c>
      <c r="AH588">
        <v>4</v>
      </c>
      <c r="AI588" t="inlineStr">
        <is>
          <t>False</t>
        </is>
      </c>
      <c r="AJ588" s="2" t="str">
        <f>HYPERLINK("https://keepa.com/#!product/1-B09SR8HMQT", "https://keepa.com/#!product/1-B09SR8HMQT")</f>
      </c>
      <c r="AK588" s="2" t="str">
        <f>HYPERLINK("https://camelcamelcamel.com/search?sq=B09SR8HMQT", "https://camelcamelcamel.com/search?sq=B09SR8HMQT")</f>
      </c>
      <c r="AL588" t="inlineStr">
        <is>
          <t/>
        </is>
      </c>
      <c r="AM588" s="10">
        <v>45417.11111111111</v>
      </c>
      <c r="AN588" t="inlineStr">
        <is>
          <t>Betancourt Nutrition B-Nox Androrush Pre Workout with Creatine Blend | BCAAs &amp; Beta Alanine | Nitric Oxide &amp; Energy Boost | 35 Servings (SNO Cone)</t>
        </is>
      </c>
      <c r="AO588" t="inlineStr">
        <is>
          <t>1200</t>
        </is>
      </c>
      <c r="AP588" t="inlineStr">
        <is>
          <t>600</t>
        </is>
      </c>
    </row>
    <row r="589">
      <c r="A589" t="inlineStr">
        <is>
          <t>B09TC8N3SH</t>
        </is>
      </c>
      <c r="B589" t="inlineStr">
        <is>
          <t>False</t>
        </is>
      </c>
      <c r="C589" t="inlineStr">
        <is>
          <t>B09TC8N3SH</t>
        </is>
      </c>
      <c r="D589" t="inlineStr">
        <is>
          <t>Spin Master Games</t>
        </is>
      </c>
      <c r="E589" t="inlineStr">
        <is>
          <t>False</t>
        </is>
      </c>
      <c r="F589" t="inlineStr">
        <is>
          <t>The Game of Life, Giant Edition Family Board Game Indoor/Outdoor Fun Game with Big Oversized Gameboard Cards Spinner, for Adults and Kids Ages 8 and up</t>
        </is>
      </c>
      <c r="G589">
        <v>1</v>
      </c>
      <c r="H589" s="2" t="str">
        <f>HYPERLINK("https://www.amazon.com/dp/B09TC8N3SH", "https://www.amazon.com/dp/B09TC8N3SH")</f>
      </c>
      <c r="I589" s="3">
        <v>4416</v>
      </c>
      <c r="J589" s="12">
        <v>-4.38</v>
      </c>
      <c r="K589" s="13">
        <v>-0.2223</v>
      </c>
      <c r="L589" s="13">
        <v>-0.32439999999999997</v>
      </c>
      <c r="M589" t="inlineStr">
        <is>
          <t>True</t>
        </is>
      </c>
      <c r="N589" t="inlineStr">
        <is>
          <t>Toys &amp; Games</t>
        </is>
      </c>
      <c r="O589" s="6">
        <v>1258</v>
      </c>
      <c r="P589" s="6">
        <v>795</v>
      </c>
      <c r="Q589" s="6">
        <v>60</v>
      </c>
      <c r="R589" s="6">
        <v>259</v>
      </c>
      <c r="S589" s="7">
        <v>13.5</v>
      </c>
      <c r="T589" s="7">
        <v>19.7</v>
      </c>
      <c r="U589">
        <v>15.51</v>
      </c>
      <c r="V589" s="8">
        <v>0</v>
      </c>
      <c r="W589" s="7">
        <v>0</v>
      </c>
      <c r="X589" s="7">
        <v>0</v>
      </c>
      <c r="Y589">
        <v>1.8</v>
      </c>
      <c r="Z589" s="9">
        <v>0.72</v>
      </c>
      <c r="AB589">
        <v>0</v>
      </c>
      <c r="AC589">
        <v>0</v>
      </c>
      <c r="AD589">
        <v>24</v>
      </c>
      <c r="AE589">
        <v>5</v>
      </c>
      <c r="AF589">
        <v>18</v>
      </c>
      <c r="AG589">
        <v>0</v>
      </c>
      <c r="AH589">
        <v>8</v>
      </c>
      <c r="AI589" t="inlineStr">
        <is>
          <t>False</t>
        </is>
      </c>
      <c r="AJ589" s="2" t="str">
        <f>HYPERLINK("https://keepa.com/#!product/1-B09TC8N3SH", "https://keepa.com/#!product/1-B09TC8N3SH")</f>
      </c>
      <c r="AK589" s="2" t="str">
        <f>HYPERLINK("https://camelcamelcamel.com/search?sq=B09TC8N3SH", "https://camelcamelcamel.com/search?sq=B09TC8N3SH")</f>
      </c>
      <c r="AL589" t="inlineStr">
        <is>
          <t/>
        </is>
      </c>
      <c r="AM589" s="10">
        <v>45417.11111111111</v>
      </c>
      <c r="AN589" t="inlineStr">
        <is>
          <t>The Game of Life, Giant Edition Family Board Game Indoor/Outdoor Fun Game with Big Oversized Gameboard Cards Spinner, for Adults and Kids Ages 8 and up</t>
        </is>
      </c>
      <c r="AO589" t="inlineStr">
        <is>
          <t>1000</t>
        </is>
      </c>
      <c r="AP589" t="inlineStr">
        <is>
          <t>500</t>
        </is>
      </c>
    </row>
    <row r="590">
      <c r="A590" t="inlineStr">
        <is>
          <t>B09TRNTH7V</t>
        </is>
      </c>
      <c r="B590" t="inlineStr">
        <is>
          <t>False</t>
        </is>
      </c>
      <c r="C590" t="inlineStr">
        <is>
          <t>B09TRNTH7V</t>
        </is>
      </c>
      <c r="D590" t="inlineStr">
        <is>
          <t>Flamingo</t>
        </is>
      </c>
      <c r="E590" t="inlineStr">
        <is>
          <t>False</t>
        </is>
      </c>
      <c r="F590" t="inlineStr">
        <is>
          <t>FLAMINGO 5-Blade Razors for Women - 1 Razor Handle + 4 5-Blade Refills + 1 Shower Holder - Lilac</t>
        </is>
      </c>
      <c r="G590">
        <v>1</v>
      </c>
      <c r="H590" s="2" t="str">
        <f>HYPERLINK("https://www.amazon.com/dp/B09TRNTH7V", "https://www.amazon.com/dp/B09TRNTH7V")</f>
      </c>
      <c r="I590" s="3">
        <v>10462</v>
      </c>
      <c r="J590" s="11">
        <v>0.77</v>
      </c>
      <c r="K590" s="5">
        <v>0.051399999999999994</v>
      </c>
      <c r="L590" s="5">
        <v>0.1185</v>
      </c>
      <c r="M590" t="inlineStr">
        <is>
          <t>True</t>
        </is>
      </c>
      <c r="N590" t="inlineStr">
        <is>
          <t>Beauty &amp; Personal Care</t>
        </is>
      </c>
      <c r="O590" s="6">
        <v>1377</v>
      </c>
      <c r="P590" s="6">
        <v>1769</v>
      </c>
      <c r="Q590" s="6">
        <v>1082</v>
      </c>
      <c r="R590" s="6">
        <v>217</v>
      </c>
      <c r="S590" s="7">
        <v>6.5</v>
      </c>
      <c r="T590" s="7">
        <v>14.99</v>
      </c>
      <c r="U590">
        <v>14.97</v>
      </c>
      <c r="V590" s="8">
        <v>0</v>
      </c>
      <c r="W590" s="7">
        <v>0</v>
      </c>
      <c r="X590" s="7">
        <v>0</v>
      </c>
      <c r="Y590">
        <v>0.53</v>
      </c>
      <c r="Z590" s="9">
        <v>1</v>
      </c>
      <c r="AB590">
        <v>0</v>
      </c>
      <c r="AC590">
        <v>0</v>
      </c>
      <c r="AD590">
        <v>4</v>
      </c>
      <c r="AE590">
        <v>1</v>
      </c>
      <c r="AF590">
        <v>2</v>
      </c>
      <c r="AG590">
        <v>1</v>
      </c>
      <c r="AH590">
        <v>5</v>
      </c>
      <c r="AI590" t="inlineStr">
        <is>
          <t>False</t>
        </is>
      </c>
      <c r="AJ590" s="2" t="str">
        <f>HYPERLINK("https://keepa.com/#!product/1-B09TRNTH7V", "https://keepa.com/#!product/1-B09TRNTH7V")</f>
      </c>
      <c r="AK590" s="2" t="str">
        <f>HYPERLINK("https://camelcamelcamel.com/search?sq=B09TRNTH7V", "https://camelcamelcamel.com/search?sq=B09TRNTH7V")</f>
      </c>
      <c r="AL590" t="inlineStr">
        <is>
          <t/>
        </is>
      </c>
      <c r="AM590" s="10">
        <v>45417.11111111111</v>
      </c>
      <c r="AN590" t="inlineStr">
        <is>
          <t>FLAMINGO 5-Blade Razors for Women - 1 Razor Handle + 4 5-Blade Refills + 1 Shower Holder - Lilac</t>
        </is>
      </c>
      <c r="AO590" t="inlineStr">
        <is>
          <t>4000</t>
        </is>
      </c>
      <c r="AP590" t="inlineStr">
        <is>
          <t>2000</t>
        </is>
      </c>
    </row>
    <row r="591">
      <c r="A591" t="inlineStr">
        <is>
          <t>B09TRRW56H</t>
        </is>
      </c>
      <c r="B591" t="inlineStr">
        <is>
          <t>False</t>
        </is>
      </c>
      <c r="C591" t="inlineStr">
        <is>
          <t>B09TRRW56H</t>
        </is>
      </c>
      <c r="D591" t="inlineStr">
        <is>
          <t>Flamingo</t>
        </is>
      </c>
      <c r="E591" t="inlineStr">
        <is>
          <t>False</t>
        </is>
      </c>
      <c r="F591" t="inlineStr">
        <is>
          <t>Flamingo Women’s Face Waxing Kit, 40 Wax Strips</t>
        </is>
      </c>
      <c r="G591">
        <v>1</v>
      </c>
      <c r="H591" s="2" t="str">
        <f>HYPERLINK("https://www.amazon.com/dp/B09TRRW56H", "https://www.amazon.com/dp/B09TRRW56H")</f>
      </c>
      <c r="I591" s="3">
        <v>1974</v>
      </c>
      <c r="J591" s="12">
        <v>-3.19</v>
      </c>
      <c r="K591" s="13">
        <v>-0.20309999999999997</v>
      </c>
      <c r="L591" s="13">
        <v>-0.2658</v>
      </c>
      <c r="M591" t="inlineStr">
        <is>
          <t>True</t>
        </is>
      </c>
      <c r="N591" t="inlineStr">
        <is>
          <t>Beauty &amp; Personal Care</t>
        </is>
      </c>
      <c r="O591" s="6">
        <v>9489</v>
      </c>
      <c r="P591" s="6">
        <v>7141</v>
      </c>
      <c r="Q591" s="6">
        <v>3846</v>
      </c>
      <c r="R591" s="6">
        <v>246</v>
      </c>
      <c r="S591" s="7">
        <v>12</v>
      </c>
      <c r="T591" s="7">
        <v>15.71</v>
      </c>
      <c r="U591">
        <v>21.48</v>
      </c>
      <c r="V591" s="8">
        <v>0</v>
      </c>
      <c r="W591" s="7">
        <v>0</v>
      </c>
      <c r="X591" s="7">
        <v>0</v>
      </c>
      <c r="Y591">
        <v>0.44</v>
      </c>
      <c r="Z591" s="9">
        <v>1</v>
      </c>
      <c r="AB591">
        <v>0</v>
      </c>
      <c r="AC591">
        <v>0</v>
      </c>
      <c r="AD591">
        <v>8</v>
      </c>
      <c r="AE591">
        <v>6</v>
      </c>
      <c r="AF591">
        <v>2</v>
      </c>
      <c r="AG591">
        <v>2</v>
      </c>
      <c r="AH591">
        <v>3</v>
      </c>
      <c r="AI591" t="inlineStr">
        <is>
          <t>False</t>
        </is>
      </c>
      <c r="AJ591" s="2" t="str">
        <f>HYPERLINK("https://keepa.com/#!product/1-B09TRRW56H", "https://keepa.com/#!product/1-B09TRRW56H")</f>
      </c>
      <c r="AK591" s="2" t="str">
        <f>HYPERLINK("https://camelcamelcamel.com/search?sq=B09TRRW56H", "https://camelcamelcamel.com/search?sq=B09TRRW56H")</f>
      </c>
      <c r="AL591" t="inlineStr">
        <is>
          <t/>
        </is>
      </c>
      <c r="AM591" s="10">
        <v>45417.11111111111</v>
      </c>
      <c r="AN591" t="inlineStr">
        <is>
          <t>Flamingo Womenâ€™s Face Waxing Kit, 40 Wax Strips</t>
        </is>
      </c>
      <c r="AO591" t="inlineStr">
        <is>
          <t>1200</t>
        </is>
      </c>
      <c r="AP591" t="inlineStr">
        <is>
          <t>TAKE ALL</t>
        </is>
      </c>
    </row>
    <row r="592">
      <c r="A592" t="inlineStr">
        <is>
          <t>B09TV1Z3W2</t>
        </is>
      </c>
      <c r="B592" t="inlineStr">
        <is>
          <t>False</t>
        </is>
      </c>
      <c r="C592" t="inlineStr">
        <is>
          <t>B09TV1Z3W2</t>
        </is>
      </c>
      <c r="D592" t="inlineStr">
        <is>
          <t>Magic Mill</t>
        </is>
      </c>
      <c r="E592" t="inlineStr">
        <is>
          <t>False</t>
        </is>
      </c>
      <c r="F592" t="inlineStr">
        <is>
          <t>Magic Mill Slow Cooker 10 Quart | Extra Large Non-Stick Metal Searing Pot &amp; Transparent Tempered Glass Lid Multipurpose Lightweight Slow Cookers, Pot is Safe to Put the On the Flame, Dishwasher Safe</t>
        </is>
      </c>
      <c r="G592">
        <v>1</v>
      </c>
      <c r="H592" s="2" t="str">
        <f>HYPERLINK("https://www.amazon.com/dp/B09TV1Z3W2", "https://www.amazon.com/dp/B09TV1Z3W2")</f>
      </c>
      <c r="I592" s="3">
        <v>282</v>
      </c>
      <c r="J592" s="4">
        <v>18.43</v>
      </c>
      <c r="K592" s="5">
        <v>0.2143</v>
      </c>
      <c r="L592" s="15">
        <v>0.49810000000000004</v>
      </c>
      <c r="M592" t="inlineStr">
        <is>
          <t>True</t>
        </is>
      </c>
      <c r="N592" t="inlineStr">
        <is>
          <t>Kitchen &amp; Dining</t>
        </is>
      </c>
      <c r="O592" s="6">
        <v>25773</v>
      </c>
      <c r="P592" s="6">
        <v>14719</v>
      </c>
      <c r="Q592" s="6">
        <v>7044</v>
      </c>
      <c r="R592" s="6">
        <v>150</v>
      </c>
      <c r="S592" s="7">
        <v>37</v>
      </c>
      <c r="T592" s="7">
        <v>85.99</v>
      </c>
      <c r="U592">
        <v>86.83</v>
      </c>
      <c r="V592" s="8">
        <v>0</v>
      </c>
      <c r="W592" s="7">
        <v>0</v>
      </c>
      <c r="X592" s="7">
        <v>0</v>
      </c>
      <c r="Y592">
        <v>12</v>
      </c>
      <c r="Z592" s="9">
        <v>0.07</v>
      </c>
      <c r="AB592">
        <v>0</v>
      </c>
      <c r="AC592">
        <v>0</v>
      </c>
      <c r="AD592">
        <v>7</v>
      </c>
      <c r="AE592">
        <v>2</v>
      </c>
      <c r="AF592">
        <v>0</v>
      </c>
      <c r="AG592">
        <v>1</v>
      </c>
      <c r="AH592">
        <v>0</v>
      </c>
      <c r="AI592" t="inlineStr">
        <is>
          <t>False</t>
        </is>
      </c>
      <c r="AJ592" s="2" t="str">
        <f>HYPERLINK("https://keepa.com/#!product/1-B09TV1Z3W2", "https://keepa.com/#!product/1-B09TV1Z3W2")</f>
      </c>
      <c r="AK592" s="2" t="str">
        <f>HYPERLINK("https://camelcamelcamel.com/search?sq=B09TV1Z3W2", "https://camelcamelcamel.com/search?sq=B09TV1Z3W2")</f>
      </c>
      <c r="AL592" t="inlineStr">
        <is>
          <t/>
        </is>
      </c>
      <c r="AM592" s="10">
        <v>45417.11111111111</v>
      </c>
      <c r="AN592" t="inlineStr">
        <is>
          <t>Magic Mill Extra Large 10 Quart Slow Cooker With Metal Searing Pot &amp; Transparent Tempered Glass Lid Multipurpose Lightweight Cookers, Pot is Safe to Put the On the Flame, Dishwasher Safe</t>
        </is>
      </c>
      <c r="AO592" t="inlineStr">
        <is>
          <t>1200</t>
        </is>
      </c>
      <c r="AP592" t="inlineStr">
        <is>
          <t>TAKE ALL</t>
        </is>
      </c>
    </row>
    <row r="593">
      <c r="A593" t="inlineStr">
        <is>
          <t>B09TV9V7DG</t>
        </is>
      </c>
      <c r="B593" t="inlineStr">
        <is>
          <t>False</t>
        </is>
      </c>
      <c r="C593" t="inlineStr">
        <is>
          <t>B09TV9V7DG</t>
        </is>
      </c>
      <c r="D593" t="inlineStr">
        <is>
          <t>Sambucol</t>
        </is>
      </c>
      <c r="E593" t="inlineStr">
        <is>
          <t>False</t>
        </is>
      </c>
      <c r="F593" t="inlineStr">
        <is>
          <t>Sambucol Black Elderberry Syrup - Advanced Immune Support Supplement, Sambucus Elderberry Syrup for Kids &amp; Adults, High Antioxidants, Gluten-Free, Vegan, Kosher, Naturally Flavored - 16.9 Fl Oz</t>
        </is>
      </c>
      <c r="G593">
        <v>1</v>
      </c>
      <c r="H593" s="2" t="str">
        <f>HYPERLINK("https://www.amazon.com/dp/B09TV9V7DG", "https://www.amazon.com/dp/B09TV9V7DG")</f>
      </c>
      <c r="I593" s="3">
        <v>2495</v>
      </c>
      <c r="J593" s="12">
        <v>-0.43</v>
      </c>
      <c r="K593" s="13">
        <v>-0.028900000000000002</v>
      </c>
      <c r="L593" s="13">
        <v>-0.0506</v>
      </c>
      <c r="M593" t="inlineStr">
        <is>
          <t>True</t>
        </is>
      </c>
      <c r="N593" t="inlineStr">
        <is>
          <t>Health &amp; Household</t>
        </is>
      </c>
      <c r="O593" s="6">
        <v>10431</v>
      </c>
      <c r="P593" s="6">
        <v>9547</v>
      </c>
      <c r="Q593" s="6">
        <v>5851</v>
      </c>
      <c r="R593" s="6">
        <v>203</v>
      </c>
      <c r="S593" s="7">
        <v>8.5</v>
      </c>
      <c r="T593" s="7">
        <v>14.9</v>
      </c>
      <c r="U593">
        <v>15.57</v>
      </c>
      <c r="V593" s="8">
        <v>0</v>
      </c>
      <c r="W593" s="7">
        <v>0</v>
      </c>
      <c r="X593" s="7">
        <v>0</v>
      </c>
      <c r="Y593">
        <v>1.46</v>
      </c>
      <c r="Z593" s="8">
        <v>0</v>
      </c>
      <c r="AB593">
        <v>0</v>
      </c>
      <c r="AC593">
        <v>0</v>
      </c>
      <c r="AD593">
        <v>16</v>
      </c>
      <c r="AE593">
        <v>14</v>
      </c>
      <c r="AF593">
        <v>2</v>
      </c>
      <c r="AG593">
        <v>5</v>
      </c>
      <c r="AH593">
        <v>0</v>
      </c>
      <c r="AI593" t="inlineStr">
        <is>
          <t>False</t>
        </is>
      </c>
      <c r="AJ593" s="2" t="str">
        <f>HYPERLINK("https://keepa.com/#!product/1-B09TV9V7DG", "https://keepa.com/#!product/1-B09TV9V7DG")</f>
      </c>
      <c r="AK593" s="2" t="str">
        <f>HYPERLINK("https://camelcamelcamel.com/search?sq=B09TV9V7DG", "https://camelcamelcamel.com/search?sq=B09TV9V7DG")</f>
      </c>
      <c r="AL593" t="inlineStr">
        <is>
          <t/>
        </is>
      </c>
      <c r="AM593" s="10">
        <v>45417.11111111111</v>
      </c>
      <c r="AN593" t="inlineStr">
        <is>
          <t>Sambucol Black Elderberry Syrup - Advanced Immune Support Supplement, Sambucus Elderberry Syrup for Kids &amp; Adults, High Antioxidants, Gluten-Free, Vegan, Kosher, Naturally Flavored - 16.9 Fl Oz</t>
        </is>
      </c>
      <c r="AO593" t="inlineStr">
        <is>
          <t>2008</t>
        </is>
      </c>
      <c r="AP593" t="inlineStr">
        <is>
          <t>750</t>
        </is>
      </c>
    </row>
    <row r="594">
      <c r="A594" t="inlineStr">
        <is>
          <t>B09TVNMCS1</t>
        </is>
      </c>
      <c r="B594" t="inlineStr">
        <is>
          <t>False</t>
        </is>
      </c>
      <c r="C594" t="inlineStr">
        <is>
          <t>B09TVNMCS1</t>
        </is>
      </c>
      <c r="D594" t="inlineStr">
        <is>
          <t>Deserthome</t>
        </is>
      </c>
      <c r="E594" t="inlineStr">
        <is>
          <t>False</t>
        </is>
      </c>
      <c r="F594" t="inlineStr">
        <is>
          <t>Bubble Machine Guns, Bubble Guns with Light, Bubble Solution, 69 Holes Bubbles Machine for Kids Adults, Summer Toy Gift for Outdoor Indoor Birthday Wedding Party - Pink Bubble Makers</t>
        </is>
      </c>
      <c r="G594">
        <v>1</v>
      </c>
      <c r="H594" s="2" t="str">
        <f>HYPERLINK("https://www.amazon.com/dp/B09TVNMCS1", "https://www.amazon.com/dp/B09TVNMCS1")</f>
      </c>
      <c r="I594" s="3">
        <v>7603</v>
      </c>
      <c r="J594" s="12">
        <v>-0.96</v>
      </c>
      <c r="K594" s="13">
        <v>-0.0377</v>
      </c>
      <c r="L594" s="13">
        <v>-0.064</v>
      </c>
      <c r="M594" t="inlineStr">
        <is>
          <t>True</t>
        </is>
      </c>
      <c r="N594" t="inlineStr">
        <is>
          <t>Toys &amp; Games</t>
        </is>
      </c>
      <c r="O594" s="6">
        <v>466</v>
      </c>
      <c r="P594" s="6">
        <v>2575</v>
      </c>
      <c r="Q594" s="6">
        <v>313</v>
      </c>
      <c r="R594" s="6">
        <v>248</v>
      </c>
      <c r="S594" s="7">
        <v>15</v>
      </c>
      <c r="T594" s="7">
        <v>25.49</v>
      </c>
      <c r="U594">
        <v>34.22</v>
      </c>
      <c r="V594" s="8">
        <v>0</v>
      </c>
      <c r="W594" s="7">
        <v>0</v>
      </c>
      <c r="X594" s="7">
        <v>0</v>
      </c>
      <c r="Y594">
        <v>1.83</v>
      </c>
      <c r="Z594" s="8">
        <v>0</v>
      </c>
      <c r="AB594">
        <v>0</v>
      </c>
      <c r="AC594">
        <v>0</v>
      </c>
      <c r="AD594">
        <v>1</v>
      </c>
      <c r="AE594">
        <v>1</v>
      </c>
      <c r="AF594">
        <v>0</v>
      </c>
      <c r="AG594">
        <v>1</v>
      </c>
      <c r="AH594">
        <v>5</v>
      </c>
      <c r="AI594" t="inlineStr">
        <is>
          <t>True</t>
        </is>
      </c>
      <c r="AJ594" s="2" t="str">
        <f>HYPERLINK("https://keepa.com/#!product/1-B09TVNMCS1", "https://keepa.com/#!product/1-B09TVNMCS1")</f>
      </c>
      <c r="AK594" s="2" t="str">
        <f>HYPERLINK("https://camelcamelcamel.com/search?sq=B09TVNMCS1", "https://camelcamelcamel.com/search?sq=B09TVNMCS1")</f>
      </c>
      <c r="AL594" t="inlineStr">
        <is>
          <t/>
        </is>
      </c>
      <c r="AM594" s="10">
        <v>45417.11111111111</v>
      </c>
      <c r="AN594" t="inlineStr">
        <is>
          <t>Bubble Machine Guns, Bubble Guns with Light, Bubble Solution, 69 Holes Bubbles Machine for Kids Adults, Summer Toy Gift for Outdoor Indoor Birthday Wedding Party - Pink Bubble Makers</t>
        </is>
      </c>
      <c r="AO594" t="inlineStr">
        <is>
          <t>1300</t>
        </is>
      </c>
      <c r="AP594" t="inlineStr">
        <is>
          <t>TAKE ALL</t>
        </is>
      </c>
    </row>
    <row r="595">
      <c r="A595" t="inlineStr">
        <is>
          <t>B09V4FFPV8</t>
        </is>
      </c>
      <c r="B595" t="inlineStr">
        <is>
          <t>False</t>
        </is>
      </c>
      <c r="C595" t="inlineStr">
        <is>
          <t>B09V4FFPV8</t>
        </is>
      </c>
      <c r="D595" t="inlineStr">
        <is>
          <t>Aroma360</t>
        </is>
      </c>
      <c r="E595" t="inlineStr">
        <is>
          <t>False</t>
        </is>
      </c>
      <c r="F595" t="inlineStr">
        <is>
          <t>Hotel Collection - 24K Magic Essential Oil Scent - Luxury Hotel Inspired Aromatherapy Scent Diffuser Oil - Hints of Zesty Citrus, Floral Jasmine, &amp; Delicate Lily - for Essential Oil Diffusers - 500mL</t>
        </is>
      </c>
      <c r="G595">
        <v>1</v>
      </c>
      <c r="H595" s="2" t="str">
        <f>HYPERLINK("https://www.amazon.com/dp/B09V4FFPV8", "https://www.amazon.com/dp/B09V4FFPV8")</f>
      </c>
      <c r="I595" s="3">
        <v>7903</v>
      </c>
      <c r="J595" s="4">
        <v>33.53</v>
      </c>
      <c r="K595" s="5">
        <v>0.27940000000000004</v>
      </c>
      <c r="L595" s="15">
        <v>0.5322</v>
      </c>
      <c r="M595" t="inlineStr">
        <is>
          <t>True</t>
        </is>
      </c>
      <c r="N595" t="inlineStr">
        <is>
          <t>Home &amp; Kitchen</t>
        </is>
      </c>
      <c r="O595" s="6">
        <v>1405</v>
      </c>
      <c r="P595" s="6">
        <v>1076</v>
      </c>
      <c r="Q595" s="6">
        <v>593</v>
      </c>
      <c r="R595" s="6">
        <v>284</v>
      </c>
      <c r="S595" s="7">
        <v>63</v>
      </c>
      <c r="T595" s="7">
        <v>120</v>
      </c>
      <c r="U595">
        <v>110.62</v>
      </c>
      <c r="V595" s="8">
        <v>0</v>
      </c>
      <c r="W595" s="7">
        <v>0</v>
      </c>
      <c r="X595" s="7">
        <v>0</v>
      </c>
      <c r="Y595">
        <v>1.21</v>
      </c>
      <c r="Z595" s="8">
        <v>0</v>
      </c>
      <c r="AB595">
        <v>0</v>
      </c>
      <c r="AC595">
        <v>0</v>
      </c>
      <c r="AD595">
        <v>1</v>
      </c>
      <c r="AE595">
        <v>1</v>
      </c>
      <c r="AF595">
        <v>0</v>
      </c>
      <c r="AG595">
        <v>1</v>
      </c>
      <c r="AH595">
        <v>32</v>
      </c>
      <c r="AI595" t="inlineStr">
        <is>
          <t>False</t>
        </is>
      </c>
      <c r="AJ595" s="2" t="str">
        <f>HYPERLINK("https://keepa.com/#!product/1-B09V4FFPV8", "https://keepa.com/#!product/1-B09V4FFPV8")</f>
      </c>
      <c r="AK595" s="2" t="str">
        <f>HYPERLINK("https://camelcamelcamel.com/search?sq=B09V4FFPV8", "https://camelcamelcamel.com/search?sq=B09V4FFPV8")</f>
      </c>
      <c r="AL595" t="inlineStr">
        <is>
          <t/>
        </is>
      </c>
      <c r="AM595" s="10">
        <v>45417.11111111111</v>
      </c>
      <c r="AN595" t="inlineStr">
        <is>
          <t>Hotel Collection - 24K Magic Essential Oil Scent - Luxury Hotel Inspired Aromatherapy Scent Diffuser Oil - Hints of Zesty Citrus, Floral Jasmine, &amp; Delicate Lily - for Essential Oil Diffusers - 500mL</t>
        </is>
      </c>
      <c r="AO595" t="inlineStr">
        <is>
          <t>300</t>
        </is>
      </c>
      <c r="AP595" t="inlineStr">
        <is>
          <t>100</t>
        </is>
      </c>
    </row>
    <row r="596">
      <c r="A596" t="inlineStr">
        <is>
          <t>B09V872RZQ</t>
        </is>
      </c>
      <c r="B596" t="inlineStr">
        <is>
          <t>False</t>
        </is>
      </c>
      <c r="C596" t="inlineStr">
        <is>
          <t>B09V872RZQ</t>
        </is>
      </c>
      <c r="D596" t="inlineStr">
        <is>
          <t>Emergen-C</t>
        </is>
      </c>
      <c r="E596" t="inlineStr">
        <is>
          <t>False</t>
        </is>
      </c>
      <c r="F596" t="inlineStr">
        <is>
          <t>Emergen-C Vitamin C Ashwagandha Drink Mix, Dietary Supplement for Immune Support, Berry Blend - 18 Count</t>
        </is>
      </c>
      <c r="G596">
        <v>1</v>
      </c>
      <c r="H596" s="2" t="str">
        <f>HYPERLINK("https://www.amazon.com/dp/B09V872RZQ", "https://www.amazon.com/dp/B09V872RZQ")</f>
      </c>
      <c r="I596" s="3">
        <v>3458</v>
      </c>
      <c r="J596" s="11">
        <v>1.48</v>
      </c>
      <c r="K596" s="5">
        <v>0.11539999999999999</v>
      </c>
      <c r="L596" s="5">
        <v>0.2691</v>
      </c>
      <c r="M596" t="inlineStr">
        <is>
          <t>True</t>
        </is>
      </c>
      <c r="N596" t="inlineStr">
        <is>
          <t>Health &amp; Household</t>
        </is>
      </c>
      <c r="O596" s="6">
        <v>7712</v>
      </c>
      <c r="P596" s="6">
        <v>8117</v>
      </c>
      <c r="Q596" s="6">
        <v>4996</v>
      </c>
      <c r="R596" s="6">
        <v>226</v>
      </c>
      <c r="S596" s="7">
        <v>5.5</v>
      </c>
      <c r="T596" s="7">
        <v>12.82</v>
      </c>
      <c r="U596">
        <v>10.36</v>
      </c>
      <c r="V596" s="8">
        <v>0</v>
      </c>
      <c r="W596" s="7">
        <v>0</v>
      </c>
      <c r="X596" s="7">
        <v>0</v>
      </c>
      <c r="Y596">
        <v>0.46</v>
      </c>
      <c r="Z596" s="9">
        <v>1</v>
      </c>
      <c r="AB596">
        <v>0</v>
      </c>
      <c r="AC596">
        <v>0</v>
      </c>
      <c r="AD596">
        <v>7</v>
      </c>
      <c r="AE596">
        <v>2</v>
      </c>
      <c r="AF596">
        <v>5</v>
      </c>
      <c r="AG596">
        <v>2</v>
      </c>
      <c r="AH596">
        <v>4</v>
      </c>
      <c r="AI596" t="inlineStr">
        <is>
          <t>False</t>
        </is>
      </c>
      <c r="AJ596" s="2" t="str">
        <f>HYPERLINK("https://keepa.com/#!product/1-B09V872RZQ", "https://keepa.com/#!product/1-B09V872RZQ")</f>
      </c>
      <c r="AK596" s="2" t="str">
        <f>HYPERLINK("https://camelcamelcamel.com/search?sq=B09V872RZQ", "https://camelcamelcamel.com/search?sq=B09V872RZQ")</f>
      </c>
      <c r="AL596" t="inlineStr">
        <is>
          <t/>
        </is>
      </c>
      <c r="AM596" s="10">
        <v>45417.11111111111</v>
      </c>
      <c r="AN596" t="inlineStr">
        <is>
          <t>Emergen-C Vitamin C Ashwagandha Drink Mix, Dietary Supplement for Immune Support, Berry Blend - 18 Count</t>
        </is>
      </c>
      <c r="AO596" t="inlineStr">
        <is>
          <t>1080</t>
        </is>
      </c>
      <c r="AP596" t="inlineStr">
        <is>
          <t>TAKE ALL</t>
        </is>
      </c>
    </row>
    <row r="597">
      <c r="A597" t="inlineStr">
        <is>
          <t>B09V8BC9W3</t>
        </is>
      </c>
      <c r="B597" t="inlineStr">
        <is>
          <t>False</t>
        </is>
      </c>
      <c r="C597" t="inlineStr">
        <is>
          <t>B09V8BC9W3</t>
        </is>
      </c>
      <c r="D597" t="inlineStr">
        <is>
          <t>Flonase</t>
        </is>
      </c>
      <c r="E597" t="inlineStr">
        <is>
          <t>False</t>
        </is>
      </c>
      <c r="F597" t="inlineStr">
        <is>
          <t>Flonase Headache and Allergy Relief Caplets with Acetaminophen 650mg, Chlorpheniramine Maleate 4mg and Phenylephrine HCl 10mg Per 2 Caplet Dose, Powerful Multi-Symptom and Congestion Relief – 48 ct</t>
        </is>
      </c>
      <c r="G597">
        <v>1</v>
      </c>
      <c r="H597" s="2" t="str">
        <f>HYPERLINK("https://www.amazon.com/dp/B09V8BC9W3", "https://www.amazon.com/dp/B09V8BC9W3")</f>
      </c>
      <c r="I597" s="3">
        <v>4341</v>
      </c>
      <c r="J597" s="11">
        <v>0.01</v>
      </c>
      <c r="K597" s="5">
        <v>0.0011</v>
      </c>
      <c r="L597" s="5">
        <v>0.0019</v>
      </c>
      <c r="M597" t="inlineStr">
        <is>
          <t>True</t>
        </is>
      </c>
      <c r="N597" t="inlineStr">
        <is>
          <t>Health &amp; Household</t>
        </is>
      </c>
      <c r="O597" s="6">
        <v>6148</v>
      </c>
      <c r="P597" s="6">
        <v>8000</v>
      </c>
      <c r="Q597" s="6">
        <v>2437</v>
      </c>
      <c r="R597" s="6">
        <v>238</v>
      </c>
      <c r="S597" s="7">
        <v>5.25</v>
      </c>
      <c r="T597" s="7">
        <v>8.89</v>
      </c>
      <c r="U597">
        <v>7.79</v>
      </c>
      <c r="V597" s="8">
        <v>0</v>
      </c>
      <c r="W597" s="7">
        <v>0</v>
      </c>
      <c r="X597" s="7">
        <v>0</v>
      </c>
      <c r="Y597">
        <v>0.09</v>
      </c>
      <c r="Z597" s="9">
        <v>1</v>
      </c>
      <c r="AB597">
        <v>0</v>
      </c>
      <c r="AC597">
        <v>0</v>
      </c>
      <c r="AD597">
        <v>18</v>
      </c>
      <c r="AE597">
        <v>11</v>
      </c>
      <c r="AF597">
        <v>7</v>
      </c>
      <c r="AG597">
        <v>4</v>
      </c>
      <c r="AH597">
        <v>2</v>
      </c>
      <c r="AI597" t="inlineStr">
        <is>
          <t>False</t>
        </is>
      </c>
      <c r="AJ597" s="2" t="str">
        <f>HYPERLINK("https://keepa.com/#!product/1-B09V8BC9W3", "https://keepa.com/#!product/1-B09V8BC9W3")</f>
      </c>
      <c r="AK597" s="2" t="str">
        <f>HYPERLINK("https://camelcamelcamel.com/search?sq=B09V8BC9W3", "https://camelcamelcamel.com/search?sq=B09V8BC9W3")</f>
      </c>
      <c r="AL597" t="inlineStr">
        <is>
          <t/>
        </is>
      </c>
      <c r="AM597" s="10">
        <v>45417.11111111111</v>
      </c>
      <c r="AN597" t="inlineStr">
        <is>
          <t>Flonase Headache and Allergy Relief Caplets with Acetaminophen 650mg, Chlorpheniramine Maleate 4mg and Phenylephrine HCl 10mg Per 2 Caplet Dose, Powerful Multi-Symptom and Congestion Relief â€“ 48 ct</t>
        </is>
      </c>
      <c r="AO597" t="inlineStr">
        <is>
          <t>4368</t>
        </is>
      </c>
      <c r="AP597" t="inlineStr">
        <is>
          <t>TAKE ALL</t>
        </is>
      </c>
    </row>
    <row r="598">
      <c r="A598" t="inlineStr">
        <is>
          <t>B09VNTZ56S</t>
        </is>
      </c>
      <c r="B598" t="inlineStr">
        <is>
          <t>False</t>
        </is>
      </c>
      <c r="C598" t="inlineStr">
        <is>
          <t>B09VNTZ56S</t>
        </is>
      </c>
      <c r="D598" t="inlineStr">
        <is>
          <t>Emoin</t>
        </is>
      </c>
      <c r="E598" t="inlineStr">
        <is>
          <t>False</t>
        </is>
      </c>
      <c r="F598" t="inlineStr">
        <is>
          <t>Emoin Dancing Cactus Toy for Baby Toys Boys Girls, Talking Halloween Toy Talking Cactus Toy, Talking Halloween Decor Cactus Repeat What You Say, Cactus Baby Toy Mimicking Glowing Halloween Decor Toy</t>
        </is>
      </c>
      <c r="G598">
        <v>1</v>
      </c>
      <c r="H598" s="2" t="str">
        <f>HYPERLINK("https://www.amazon.com/dp/B09VNTZ56S", "https://www.amazon.com/dp/B09VNTZ56S")</f>
      </c>
      <c r="I598" s="3">
        <v>5111</v>
      </c>
      <c r="J598" s="11">
        <v>2.96</v>
      </c>
      <c r="K598" s="5">
        <v>0.18510000000000001</v>
      </c>
      <c r="L598" s="15">
        <v>0.5920000000000001</v>
      </c>
      <c r="M598" t="inlineStr">
        <is>
          <t>True</t>
        </is>
      </c>
      <c r="N598" t="inlineStr">
        <is>
          <t>Toys &amp; Games</t>
        </is>
      </c>
      <c r="O598" s="6">
        <v>983</v>
      </c>
      <c r="P598" s="6">
        <v>795</v>
      </c>
      <c r="Q598" s="6">
        <v>269</v>
      </c>
      <c r="R598" s="6">
        <v>151</v>
      </c>
      <c r="S598" s="7">
        <v>5</v>
      </c>
      <c r="T598" s="7">
        <v>15.99</v>
      </c>
      <c r="U598">
        <v>13.41</v>
      </c>
      <c r="V598" s="8">
        <v>0</v>
      </c>
      <c r="W598" s="7">
        <v>0</v>
      </c>
      <c r="X598" s="7">
        <v>0</v>
      </c>
      <c r="Y598">
        <v>0.66</v>
      </c>
      <c r="Z598" s="8">
        <v>0</v>
      </c>
      <c r="AB598">
        <v>0</v>
      </c>
      <c r="AC598">
        <v>0</v>
      </c>
      <c r="AD598">
        <v>1</v>
      </c>
      <c r="AE598">
        <v>1</v>
      </c>
      <c r="AF598">
        <v>0</v>
      </c>
      <c r="AG598">
        <v>1</v>
      </c>
      <c r="AH598">
        <v>9</v>
      </c>
      <c r="AI598" t="inlineStr">
        <is>
          <t>False</t>
        </is>
      </c>
      <c r="AJ598" s="2" t="str">
        <f>HYPERLINK("https://keepa.com/#!product/1-B09VNTZ56S", "https://keepa.com/#!product/1-B09VNTZ56S")</f>
      </c>
      <c r="AK598" s="2" t="str">
        <f>HYPERLINK("https://camelcamelcamel.com/search?sq=B09VNTZ56S", "https://camelcamelcamel.com/search?sq=B09VNTZ56S")</f>
      </c>
      <c r="AL598" t="inlineStr">
        <is>
          <t/>
        </is>
      </c>
      <c r="AM598" s="10">
        <v>45417.11111111111</v>
      </c>
      <c r="AN598" t="inlineStr">
        <is>
          <t>Emoin Dancing Cactus Toy for Baby Toys Boys Girls, Talking Halloween Toy Talking Cactus Toy, Talking Halloween Decor Cactus Repeat What You Say, Cactus Baby Toy Mimicking Glowing Halloween Decor Toy</t>
        </is>
      </c>
      <c r="AO598" t="inlineStr">
        <is>
          <t>800</t>
        </is>
      </c>
      <c r="AP598" t="inlineStr">
        <is>
          <t>TAKE ALL</t>
        </is>
      </c>
    </row>
    <row r="599">
      <c r="A599" t="inlineStr">
        <is>
          <t>B09WJFD87S</t>
        </is>
      </c>
      <c r="B599" t="inlineStr">
        <is>
          <t>False</t>
        </is>
      </c>
      <c r="C599" t="inlineStr">
        <is>
          <t>B09WJFD87S</t>
        </is>
      </c>
      <c r="D599" t="inlineStr">
        <is>
          <t>Oraimo</t>
        </is>
      </c>
      <c r="E599" t="inlineStr">
        <is>
          <t>False</t>
        </is>
      </c>
      <c r="F599" t="inlineStr">
        <is>
          <t>Oraimo Electric Spin Scrubber, Electric Bathroom Scrubber, 430RPM Cordless Shower Scrubber with Adjustable Extension Arm for Bathroom, 4 Replaceable Brushes for Bathtub, Grout, Tile, Wall, Floor, Sink</t>
        </is>
      </c>
      <c r="G599">
        <v>1</v>
      </c>
      <c r="H599" s="2" t="str">
        <f>HYPERLINK("https://www.amazon.com/dp/B09WJFD87S", "https://www.amazon.com/dp/B09WJFD87S")</f>
      </c>
      <c r="I599" s="3">
        <v>2047</v>
      </c>
      <c r="J599" s="4">
        <v>10.66</v>
      </c>
      <c r="K599" s="5">
        <v>0.2318</v>
      </c>
      <c r="L599" s="15">
        <v>0.5136999999999999</v>
      </c>
      <c r="M599" t="inlineStr">
        <is>
          <t>True</t>
        </is>
      </c>
      <c r="N599" t="inlineStr">
        <is>
          <t>Health &amp; Household</t>
        </is>
      </c>
      <c r="O599" s="6">
        <v>12484</v>
      </c>
      <c r="P599" s="6">
        <v>12527</v>
      </c>
      <c r="Q599" s="6">
        <v>2294</v>
      </c>
      <c r="R599" s="6">
        <v>157</v>
      </c>
      <c r="S599" s="7">
        <v>20.75</v>
      </c>
      <c r="T599" s="7">
        <v>45.99</v>
      </c>
      <c r="U599">
        <v>46.91</v>
      </c>
      <c r="V599" s="8">
        <v>0</v>
      </c>
      <c r="W599" s="7">
        <v>0</v>
      </c>
      <c r="X599" s="7">
        <v>0</v>
      </c>
      <c r="Y599">
        <v>3.57</v>
      </c>
      <c r="Z599" s="8">
        <v>0</v>
      </c>
      <c r="AB599">
        <v>0</v>
      </c>
      <c r="AC599">
        <v>0</v>
      </c>
      <c r="AD599">
        <v>10</v>
      </c>
      <c r="AE599">
        <v>4</v>
      </c>
      <c r="AF599">
        <v>0</v>
      </c>
      <c r="AG599">
        <v>1</v>
      </c>
      <c r="AH599">
        <v>2</v>
      </c>
      <c r="AI599" t="inlineStr">
        <is>
          <t>True</t>
        </is>
      </c>
      <c r="AJ599" s="2" t="str">
        <f>HYPERLINK("https://keepa.com/#!product/1-B09WJFD87S", "https://keepa.com/#!product/1-B09WJFD87S")</f>
      </c>
      <c r="AK599" s="2" t="str">
        <f>HYPERLINK("https://camelcamelcamel.com/search?sq=B09WJFD87S", "https://camelcamelcamel.com/search?sq=B09WJFD87S")</f>
      </c>
      <c r="AL599" t="inlineStr">
        <is>
          <t/>
        </is>
      </c>
      <c r="AM599" s="10">
        <v>45417.11111111111</v>
      </c>
      <c r="AN599" t="inlineStr">
        <is>
          <t>Oraimo Electric Spin Scrubber, Electric Bathroom Scrubber, 430RPM Cordless Shower Scrubber with Adjustable Extension Arm for Bathroom, 4 Replaceable Brushes for Bathtub, Grout, Tile, Wall, Floor, Sink</t>
        </is>
      </c>
      <c r="AO599" t="inlineStr">
        <is>
          <t>5000</t>
        </is>
      </c>
      <c r="AP599" t="inlineStr">
        <is>
          <t>TAKE ALL</t>
        </is>
      </c>
    </row>
    <row r="600">
      <c r="A600" t="inlineStr">
        <is>
          <t>B09WMT8HYB</t>
        </is>
      </c>
      <c r="B600" t="inlineStr">
        <is>
          <t>False</t>
        </is>
      </c>
      <c r="C600" t="inlineStr">
        <is>
          <t>B09WMT8HYB</t>
        </is>
      </c>
      <c r="D600" t="inlineStr">
        <is>
          <t>THE ORDINARY</t>
        </is>
      </c>
      <c r="E600" t="inlineStr">
        <is>
          <t>False</t>
        </is>
      </c>
      <c r="F600" t="inlineStr">
        <is>
          <t>Hair Growth Serum for Men and Women- Vegan Hair Growth Serum Designed for Thinning Hair &amp; Hair Loss- 1 Month-60ml</t>
        </is>
      </c>
      <c r="G600">
        <v>1</v>
      </c>
      <c r="H600" s="2" t="str">
        <f>HYPERLINK("https://www.amazon.com/dp/B09WMT8HYB", "https://www.amazon.com/dp/B09WMT8HYB")</f>
      </c>
      <c r="I600" s="3">
        <v>4767</v>
      </c>
      <c r="J600" s="4">
        <v>5.71</v>
      </c>
      <c r="K600" s="5">
        <v>0.25379999999999997</v>
      </c>
      <c r="L600" s="15">
        <v>0.6011</v>
      </c>
      <c r="M600" t="inlineStr">
        <is>
          <t>True</t>
        </is>
      </c>
      <c r="N600" t="inlineStr">
        <is>
          <t>Beauty &amp; Personal Care</t>
        </is>
      </c>
      <c r="O600" s="6">
        <v>3739</v>
      </c>
      <c r="P600" s="6">
        <v>3065</v>
      </c>
      <c r="Q600" s="6">
        <v>95</v>
      </c>
      <c r="R600" s="6">
        <v>300</v>
      </c>
      <c r="S600" s="7">
        <v>9.5</v>
      </c>
      <c r="T600" s="7">
        <v>22.5</v>
      </c>
      <c r="U600">
        <v>19.18</v>
      </c>
      <c r="V600" s="8">
        <v>0</v>
      </c>
      <c r="W600" s="7">
        <v>0</v>
      </c>
      <c r="X600" s="7">
        <v>0</v>
      </c>
      <c r="Y600">
        <v>0.31</v>
      </c>
      <c r="Z600" s="8">
        <v>0</v>
      </c>
      <c r="AB600">
        <v>0</v>
      </c>
      <c r="AC600">
        <v>0</v>
      </c>
      <c r="AD600">
        <v>12</v>
      </c>
      <c r="AE600">
        <v>6</v>
      </c>
      <c r="AF600">
        <v>6</v>
      </c>
      <c r="AG600">
        <v>4</v>
      </c>
      <c r="AH600">
        <v>0</v>
      </c>
      <c r="AI600" t="inlineStr">
        <is>
          <t>False</t>
        </is>
      </c>
      <c r="AJ600" s="2" t="str">
        <f>HYPERLINK("https://keepa.com/#!product/1-B09WMT8HYB", "https://keepa.com/#!product/1-B09WMT8HYB")</f>
      </c>
      <c r="AK600" s="2" t="str">
        <f>HYPERLINK("https://camelcamelcamel.com/search?sq=B09WMT8HYB", "https://camelcamelcamel.com/search?sq=B09WMT8HYB")</f>
      </c>
      <c r="AL600" t="inlineStr">
        <is>
          <t/>
        </is>
      </c>
      <c r="AM600" s="10">
        <v>45417.11111111111</v>
      </c>
      <c r="AN600" t="inlineStr">
        <is>
          <t>Hair Growth Serum for Men and Women- Vegan Hair Growth Serum Designed for Thinning Hair &amp; Hair Loss- 1 Month-60ml</t>
        </is>
      </c>
      <c r="AO600" t="inlineStr">
        <is>
          <t>1000</t>
        </is>
      </c>
      <c r="AP600" t="inlineStr">
        <is>
          <t>TAKE ALL</t>
        </is>
      </c>
    </row>
    <row r="601">
      <c r="A601" t="inlineStr">
        <is>
          <t>B09WXVHDXY</t>
        </is>
      </c>
      <c r="B601" t="inlineStr">
        <is>
          <t>False</t>
        </is>
      </c>
      <c r="C601" t="inlineStr">
        <is>
          <t>B09WXVHDXY</t>
        </is>
      </c>
      <c r="D601" t="inlineStr">
        <is>
          <t>SPICE BY TIA MOWRY</t>
        </is>
      </c>
      <c r="E601" t="inlineStr">
        <is>
          <t>False</t>
        </is>
      </c>
      <c r="F601" t="inlineStr">
        <is>
          <t>Spice by Tia Mowry Savory Saffron 6Qt Cast Iron Dutch Oven w/Embossed Lid - Aqua Blue, 6-Quart</t>
        </is>
      </c>
      <c r="G601">
        <v>1</v>
      </c>
      <c r="H601" s="2" t="str">
        <f>HYPERLINK("https://www.amazon.com/dp/B09WXVHDXY", "https://www.amazon.com/dp/B09WXVHDXY")</f>
      </c>
      <c r="I601" s="3">
        <v>266</v>
      </c>
      <c r="J601" s="4">
        <v>7.42</v>
      </c>
      <c r="K601" s="5">
        <v>0.1273</v>
      </c>
      <c r="L601" s="5">
        <v>0.2698</v>
      </c>
      <c r="M601" t="inlineStr">
        <is>
          <t>True</t>
        </is>
      </c>
      <c r="N601" t="inlineStr">
        <is>
          <t>Kitchen &amp; Dining</t>
        </is>
      </c>
      <c r="O601" s="6">
        <v>27383</v>
      </c>
      <c r="P601" s="6">
        <v>31857</v>
      </c>
      <c r="Q601" s="6">
        <v>17683</v>
      </c>
      <c r="R601" s="6">
        <v>95</v>
      </c>
      <c r="S601" s="7">
        <v>27.5</v>
      </c>
      <c r="T601" s="7">
        <v>58.3</v>
      </c>
      <c r="U601">
        <v>58.28</v>
      </c>
      <c r="V601" s="8">
        <v>0</v>
      </c>
      <c r="W601" s="7">
        <v>0</v>
      </c>
      <c r="X601" s="7">
        <v>0</v>
      </c>
      <c r="Y601">
        <v>16</v>
      </c>
      <c r="Z601" s="9">
        <v>1</v>
      </c>
      <c r="AB601">
        <v>0</v>
      </c>
      <c r="AC601">
        <v>0</v>
      </c>
      <c r="AD601">
        <v>7</v>
      </c>
      <c r="AE601">
        <v>1</v>
      </c>
      <c r="AF601">
        <v>1</v>
      </c>
      <c r="AG601">
        <v>1</v>
      </c>
      <c r="AH601">
        <v>6</v>
      </c>
      <c r="AI601" t="inlineStr">
        <is>
          <t>False</t>
        </is>
      </c>
      <c r="AJ601" s="2" t="str">
        <f>HYPERLINK("https://keepa.com/#!product/1-B09WXVHDXY", "https://keepa.com/#!product/1-B09WXVHDXY")</f>
      </c>
      <c r="AK601" s="2" t="str">
        <f>HYPERLINK("https://camelcamelcamel.com/search?sq=B09WXVHDXY", "https://camelcamelcamel.com/search?sq=B09WXVHDXY")</f>
      </c>
      <c r="AL601" t="inlineStr">
        <is>
          <t/>
        </is>
      </c>
      <c r="AM601" s="10">
        <v>45417.11111111111</v>
      </c>
      <c r="AN601" t="inlineStr">
        <is>
          <t>Spice by Tia Mowry Savory Saffron 6Qt Cast Iron Dutch Oven w/Embossed Lid - Aqua Blue, 6-Quart</t>
        </is>
      </c>
      <c r="AO601" t="inlineStr">
        <is>
          <t>392</t>
        </is>
      </c>
      <c r="AP601" t="inlineStr">
        <is>
          <t>TAKE ALL</t>
        </is>
      </c>
    </row>
    <row r="602">
      <c r="A602" t="inlineStr">
        <is>
          <t>B09X1SHMRK</t>
        </is>
      </c>
      <c r="B602" t="inlineStr">
        <is>
          <t>False</t>
        </is>
      </c>
      <c r="C602" t="inlineStr">
        <is>
          <t>B09X1SHMRK</t>
        </is>
      </c>
      <c r="D602" t="inlineStr">
        <is>
          <t>GuruNanda</t>
        </is>
      </c>
      <c r="E602" t="inlineStr">
        <is>
          <t>False</t>
        </is>
      </c>
      <c r="F602" t="inlineStr">
        <is>
          <t>GuruNanda Whitening Pulling Oil with Coconut Oil &amp; Peppermint Essential Oil for Oral Health, Natural Teeth Whitening, Helps with Fresh Breath, Healthy Gums, Alcohol Free Mouthwash (8 Fl.Oz. x 2)</t>
        </is>
      </c>
      <c r="G602">
        <v>1</v>
      </c>
      <c r="H602" s="2" t="str">
        <f>HYPERLINK("https://www.amazon.com/dp/B09X1SHMRK", "https://www.amazon.com/dp/B09X1SHMRK")</f>
      </c>
      <c r="I602" s="3">
        <v>25979</v>
      </c>
      <c r="J602" s="12">
        <v>-1.03</v>
      </c>
      <c r="K602" s="13">
        <v>-0.0368</v>
      </c>
      <c r="L602" s="13">
        <v>-0.053099999999999994</v>
      </c>
      <c r="M602" t="inlineStr">
        <is>
          <t>True</t>
        </is>
      </c>
      <c r="N602" t="inlineStr">
        <is>
          <t>Health &amp; Household</t>
        </is>
      </c>
      <c r="O602" s="6">
        <v>595</v>
      </c>
      <c r="P602" s="6">
        <v>416</v>
      </c>
      <c r="Q602" s="6">
        <v>87</v>
      </c>
      <c r="R602" s="6">
        <v>285</v>
      </c>
      <c r="S602" s="7">
        <v>19.4</v>
      </c>
      <c r="T602" s="7">
        <v>27.99</v>
      </c>
      <c r="U602">
        <v>29.01</v>
      </c>
      <c r="V602" s="8">
        <v>0</v>
      </c>
      <c r="W602" s="7">
        <v>0</v>
      </c>
      <c r="X602" s="7">
        <v>0</v>
      </c>
      <c r="Y602">
        <v>1.34</v>
      </c>
      <c r="Z602" s="8">
        <v>0</v>
      </c>
      <c r="AB602">
        <v>0</v>
      </c>
      <c r="AC602">
        <v>0</v>
      </c>
      <c r="AD602">
        <v>21</v>
      </c>
      <c r="AE602">
        <v>2</v>
      </c>
      <c r="AF602">
        <v>19</v>
      </c>
      <c r="AG602">
        <v>1</v>
      </c>
      <c r="AH602">
        <v>2</v>
      </c>
      <c r="AI602" t="inlineStr">
        <is>
          <t>False</t>
        </is>
      </c>
      <c r="AJ602" s="2" t="str">
        <f>HYPERLINK("https://keepa.com/#!product/1-B09X1SHMRK", "https://keepa.com/#!product/1-B09X1SHMRK")</f>
      </c>
      <c r="AK602" s="2" t="str">
        <f>HYPERLINK("https://camelcamelcamel.com/search?sq=B09X1SHMRK", "https://camelcamelcamel.com/search?sq=B09X1SHMRK")</f>
      </c>
      <c r="AL602" t="inlineStr">
        <is>
          <t/>
        </is>
      </c>
      <c r="AM602" s="10">
        <v>45417.11111111111</v>
      </c>
      <c r="AN602" t="inlineStr">
        <is>
          <t>GuruNanda Coconut &amp; Peppermint Oil Pulling (2x8 Fl Oz) with Tongue Scraper, Alcohol Free Mouthwash for Fresh Breath, White Teeth, Healthy Teeth &amp; Gums</t>
        </is>
      </c>
      <c r="AO602" t="inlineStr">
        <is>
          <t>700</t>
        </is>
      </c>
      <c r="AP602" t="inlineStr">
        <is>
          <t>TAKE ALL</t>
        </is>
      </c>
    </row>
    <row r="603">
      <c r="A603" t="inlineStr">
        <is>
          <t>B09XD8H1XK</t>
        </is>
      </c>
      <c r="B603" t="inlineStr">
        <is>
          <t>False</t>
        </is>
      </c>
      <c r="C603" t="inlineStr">
        <is>
          <t>B09XD8H1XK</t>
        </is>
      </c>
      <c r="D603" t="inlineStr">
        <is>
          <t>FABULETTA</t>
        </is>
      </c>
      <c r="E603" t="inlineStr">
        <is>
          <t>False</t>
        </is>
      </c>
      <c r="F603" t="inlineStr">
        <is>
          <t>Gooseneck Electric Kettle Fabuletta Electric Kettle Temperature Control 100% Stainless Steel Inner Lid &amp; Bottom Pour Over Coffee Kettle &amp; Tea Kettle 1200W Quick Heating 1L Tea Pot for Family</t>
        </is>
      </c>
      <c r="G603">
        <v>1</v>
      </c>
      <c r="H603" s="2" t="str">
        <f>HYPERLINK("https://www.amazon.com/dp/B09XD8H1XK", "https://www.amazon.com/dp/B09XD8H1XK")</f>
      </c>
      <c r="I603" s="3">
        <v>125</v>
      </c>
      <c r="J603" s="4">
        <v>22.34</v>
      </c>
      <c r="K603" s="5">
        <v>0.2793</v>
      </c>
      <c r="L603" s="15">
        <v>0.5957</v>
      </c>
      <c r="M603" t="inlineStr">
        <is>
          <t>True</t>
        </is>
      </c>
      <c r="N603" t="inlineStr">
        <is>
          <t>Home &amp; Kitchen</t>
        </is>
      </c>
      <c r="O603" s="6">
        <v>184557</v>
      </c>
      <c r="P603" s="6">
        <v>49917</v>
      </c>
      <c r="Q603" s="6">
        <v>6406</v>
      </c>
      <c r="R603" s="6">
        <v>208</v>
      </c>
      <c r="S603" s="7">
        <v>37.5</v>
      </c>
      <c r="T603" s="7">
        <v>79.99</v>
      </c>
      <c r="U603">
        <v>70.97</v>
      </c>
      <c r="V603" s="8">
        <v>0</v>
      </c>
      <c r="W603" s="7">
        <v>0</v>
      </c>
      <c r="X603" s="7">
        <v>0</v>
      </c>
      <c r="Y603">
        <v>3.13</v>
      </c>
      <c r="Z603" s="8">
        <v>0</v>
      </c>
      <c r="AB603">
        <v>0</v>
      </c>
      <c r="AC603">
        <v>0</v>
      </c>
      <c r="AD603">
        <v>5</v>
      </c>
      <c r="AE603">
        <v>2</v>
      </c>
      <c r="AF603">
        <v>0</v>
      </c>
      <c r="AG603">
        <v>2</v>
      </c>
      <c r="AH603">
        <v>2</v>
      </c>
      <c r="AI603" t="inlineStr">
        <is>
          <t>False</t>
        </is>
      </c>
      <c r="AJ603" s="2" t="str">
        <f>HYPERLINK("https://keepa.com/#!product/1-B09XD8H1XK", "https://keepa.com/#!product/1-B09XD8H1XK")</f>
      </c>
      <c r="AK603" s="2" t="str">
        <f>HYPERLINK("https://camelcamelcamel.com/search?sq=B09XD8H1XK", "https://camelcamelcamel.com/search?sq=B09XD8H1XK")</f>
      </c>
      <c r="AL603" t="inlineStr">
        <is>
          <t/>
        </is>
      </c>
      <c r="AM603" s="10">
        <v>45417.11111111111</v>
      </c>
      <c r="AN603" t="inlineStr">
        <is>
          <t>Gooseneck Electric Kettle Fabuletta Electric Kettle Temperature Control 100% Stainless Steel Inner Lid &amp; Bottom Pour Over Coffee Kettle &amp; Tea Kettle 1200W Quick Heating 1L Tea Pot for Family</t>
        </is>
      </c>
      <c r="AO603" t="inlineStr">
        <is>
          <t>400</t>
        </is>
      </c>
      <c r="AP603" t="inlineStr">
        <is>
          <t>TAKE ALL</t>
        </is>
      </c>
    </row>
    <row r="604">
      <c r="A604" t="inlineStr">
        <is>
          <t>B09XFD8Q2Z</t>
        </is>
      </c>
      <c r="B604" t="inlineStr">
        <is>
          <t>False</t>
        </is>
      </c>
      <c r="C604" t="inlineStr">
        <is>
          <t>B09XFD8Q2Z</t>
        </is>
      </c>
      <c r="D604" t="inlineStr">
        <is>
          <t>Hydroxycut</t>
        </is>
      </c>
      <c r="E604" t="inlineStr">
        <is>
          <t>False</t>
        </is>
      </c>
      <c r="F604" t="inlineStr">
        <is>
          <t>Hydroxycut Drink Mix, Lemonade - 21 Travel-Size Packets - Zero Calories or Sugar - Boost Metabolism, Burn Calories, Increase Energy - For Women &amp; Men</t>
        </is>
      </c>
      <c r="G604">
        <v>1</v>
      </c>
      <c r="H604" s="2" t="str">
        <f>HYPERLINK("https://www.amazon.com/dp/B09XFD8Q2Z", "https://www.amazon.com/dp/B09XFD8Q2Z")</f>
      </c>
      <c r="I604" s="3">
        <v>1905</v>
      </c>
      <c r="J604" s="11">
        <v>0.9</v>
      </c>
      <c r="K604" s="5">
        <v>0.0574</v>
      </c>
      <c r="L604" s="5">
        <v>0.1091</v>
      </c>
      <c r="M604" t="inlineStr">
        <is>
          <t>True</t>
        </is>
      </c>
      <c r="N604" t="inlineStr">
        <is>
          <t>Health &amp; Household</t>
        </is>
      </c>
      <c r="O604" s="6">
        <v>13274</v>
      </c>
      <c r="P604" s="6">
        <v>8803</v>
      </c>
      <c r="Q604" s="6">
        <v>5069</v>
      </c>
      <c r="R604" s="6">
        <v>307</v>
      </c>
      <c r="S604" s="7">
        <v>8.25</v>
      </c>
      <c r="T604" s="7">
        <v>15.68</v>
      </c>
      <c r="U604">
        <v>16.77</v>
      </c>
      <c r="V604" s="8">
        <v>0</v>
      </c>
      <c r="W604" s="7">
        <v>0</v>
      </c>
      <c r="X604" s="7">
        <v>0</v>
      </c>
      <c r="Y604">
        <v>0.64</v>
      </c>
      <c r="Z604" s="9">
        <v>1</v>
      </c>
      <c r="AB604">
        <v>0</v>
      </c>
      <c r="AC604">
        <v>0</v>
      </c>
      <c r="AD604">
        <v>5</v>
      </c>
      <c r="AE604">
        <v>2</v>
      </c>
      <c r="AF604">
        <v>3</v>
      </c>
      <c r="AG604">
        <v>2</v>
      </c>
      <c r="AH604">
        <v>2</v>
      </c>
      <c r="AI604" t="inlineStr">
        <is>
          <t>False</t>
        </is>
      </c>
      <c r="AJ604" s="2" t="str">
        <f>HYPERLINK("https://keepa.com/#!product/1-B09XFD8Q2Z", "https://keepa.com/#!product/1-B09XFD8Q2Z")</f>
      </c>
      <c r="AK604" s="2" t="str">
        <f>HYPERLINK("https://camelcamelcamel.com/search?sq=B09XFD8Q2Z", "https://camelcamelcamel.com/search?sq=B09XFD8Q2Z")</f>
      </c>
      <c r="AL604" t="inlineStr">
        <is>
          <t/>
        </is>
      </c>
      <c r="AM604" s="10">
        <v>45417.11111111111</v>
      </c>
      <c r="AN604" t="inlineStr">
        <is>
          <t>Hydroxycut Drink Mix Weight Loss Supplements, Lemonade, 21 Count (Pack of 1)</t>
        </is>
      </c>
      <c r="AO604" t="inlineStr">
        <is>
          <t>600</t>
        </is>
      </c>
      <c r="AP604" t="inlineStr">
        <is>
          <t>300</t>
        </is>
      </c>
    </row>
    <row r="605">
      <c r="A605" t="inlineStr">
        <is>
          <t>B09XJC2WPR</t>
        </is>
      </c>
      <c r="B605" t="inlineStr">
        <is>
          <t>False</t>
        </is>
      </c>
      <c r="C605" t="inlineStr">
        <is>
          <t>B09XJC2WPR</t>
        </is>
      </c>
      <c r="D605" t="inlineStr">
        <is>
          <t>Nutricost</t>
        </is>
      </c>
      <c r="E605" t="inlineStr">
        <is>
          <t>False</t>
        </is>
      </c>
      <c r="F605" t="inlineStr">
        <is>
          <t>Nutricost Creatine Monohydrate Powder for Women, Micronized, Strawberry Lemonade, 100 Servings - Vegetarian, Non-GMO, Gluten Free</t>
        </is>
      </c>
      <c r="G605">
        <v>1</v>
      </c>
      <c r="H605" s="2" t="str">
        <f>HYPERLINK("https://www.amazon.com/dp/B09XJC2WPR", "https://www.amazon.com/dp/B09XJC2WPR")</f>
      </c>
      <c r="I605" s="3">
        <v>934</v>
      </c>
      <c r="J605" s="11">
        <v>3.65</v>
      </c>
      <c r="K605" s="5">
        <v>0.1303</v>
      </c>
      <c r="L605" s="5">
        <v>0.2475</v>
      </c>
      <c r="M605" t="inlineStr">
        <is>
          <t>True</t>
        </is>
      </c>
      <c r="N605" t="inlineStr">
        <is>
          <t>Health &amp; Household</t>
        </is>
      </c>
      <c r="O605" s="6">
        <v>23585</v>
      </c>
      <c r="P605" s="6">
        <v>20784</v>
      </c>
      <c r="Q605" s="6">
        <v>14365</v>
      </c>
      <c r="R605" s="6">
        <v>93</v>
      </c>
      <c r="S605" s="7">
        <v>14.75</v>
      </c>
      <c r="T605" s="7">
        <v>28.02</v>
      </c>
      <c r="U605">
        <v>29.18</v>
      </c>
      <c r="V605" s="8">
        <v>0</v>
      </c>
      <c r="W605" s="7">
        <v>0</v>
      </c>
      <c r="X605" s="7">
        <v>0</v>
      </c>
      <c r="Y605">
        <v>1.46</v>
      </c>
      <c r="Z605" s="8">
        <v>0</v>
      </c>
      <c r="AB605">
        <v>0</v>
      </c>
      <c r="AC605">
        <v>0</v>
      </c>
      <c r="AD605">
        <v>3</v>
      </c>
      <c r="AE605">
        <v>1</v>
      </c>
      <c r="AF605">
        <v>2</v>
      </c>
      <c r="AG605">
        <v>1</v>
      </c>
      <c r="AH605">
        <v>6</v>
      </c>
      <c r="AI605" t="inlineStr">
        <is>
          <t>False</t>
        </is>
      </c>
      <c r="AJ605" s="2" t="str">
        <f>HYPERLINK("https://keepa.com/#!product/1-B09XJC2WPR", "https://keepa.com/#!product/1-B09XJC2WPR")</f>
      </c>
      <c r="AK605" s="2" t="str">
        <f>HYPERLINK("https://camelcamelcamel.com/search?sq=B09XJC2WPR", "https://camelcamelcamel.com/search?sq=B09XJC2WPR")</f>
      </c>
      <c r="AL605" t="inlineStr">
        <is>
          <t/>
        </is>
      </c>
      <c r="AM605" s="10">
        <v>45417.11111111111</v>
      </c>
      <c r="AN605" t="inlineStr">
        <is>
          <t>Nutricost Creatine Monohydrate Powder for Women, Micronized, Strawberry Lemonade, 100 Servings - Vegetarian, Non-GMO, Gluten Free</t>
        </is>
      </c>
      <c r="AO605" t="inlineStr">
        <is>
          <t>540</t>
        </is>
      </c>
      <c r="AP605" t="inlineStr">
        <is>
          <t>TAKE ALL</t>
        </is>
      </c>
    </row>
    <row r="606">
      <c r="A606" t="inlineStr">
        <is>
          <t>B09Y4JQK3R</t>
        </is>
      </c>
      <c r="B606" t="inlineStr">
        <is>
          <t>False</t>
        </is>
      </c>
      <c r="C606" t="inlineStr">
        <is>
          <t>B09Y4JQK3R</t>
        </is>
      </c>
      <c r="D606" t="inlineStr">
        <is>
          <t>Differin</t>
        </is>
      </c>
      <c r="E606" t="inlineStr">
        <is>
          <t>False</t>
        </is>
      </c>
      <c r="F606" t="inlineStr">
        <is>
          <t>Differin Acne Body Spray, Acne Treatment with Salicylic Acid by the makers of Differin Gel, 360 Formula for Back Acne, Chest and Shoulders, 6 oz</t>
        </is>
      </c>
      <c r="G606">
        <v>1</v>
      </c>
      <c r="H606" s="2" t="str">
        <f>HYPERLINK("https://www.amazon.com/dp/B09Y4JQK3R", "https://www.amazon.com/dp/B09Y4JQK3R")</f>
      </c>
      <c r="I606" s="3">
        <v>3976</v>
      </c>
      <c r="J606" s="11">
        <v>0.99</v>
      </c>
      <c r="K606" s="5">
        <v>0.0661</v>
      </c>
      <c r="L606" s="5">
        <v>0.1414</v>
      </c>
      <c r="M606" t="inlineStr">
        <is>
          <t>True</t>
        </is>
      </c>
      <c r="N606" t="inlineStr">
        <is>
          <t>Beauty &amp; Personal Care</t>
        </is>
      </c>
      <c r="O606" s="6">
        <v>4602</v>
      </c>
      <c r="P606" s="6">
        <v>4818</v>
      </c>
      <c r="Q606" s="6">
        <v>2703</v>
      </c>
      <c r="R606" s="6">
        <v>269</v>
      </c>
      <c r="S606" s="7">
        <v>7</v>
      </c>
      <c r="T606" s="7">
        <v>14.97</v>
      </c>
      <c r="U606">
        <v>14.84</v>
      </c>
      <c r="V606" s="8">
        <v>0</v>
      </c>
      <c r="W606" s="7">
        <v>0</v>
      </c>
      <c r="X606" s="7">
        <v>0</v>
      </c>
      <c r="Y606">
        <v>0.49</v>
      </c>
      <c r="Z606" s="9">
        <v>1</v>
      </c>
      <c r="AB606">
        <v>0</v>
      </c>
      <c r="AC606">
        <v>0</v>
      </c>
      <c r="AD606">
        <v>15</v>
      </c>
      <c r="AE606">
        <v>1</v>
      </c>
      <c r="AF606">
        <v>14</v>
      </c>
      <c r="AG606">
        <v>1</v>
      </c>
      <c r="AH606">
        <v>0</v>
      </c>
      <c r="AI606" t="inlineStr">
        <is>
          <t>True</t>
        </is>
      </c>
      <c r="AJ606" s="2" t="str">
        <f>HYPERLINK("https://keepa.com/#!product/1-B09Y4JQK3R", "https://keepa.com/#!product/1-B09Y4JQK3R")</f>
      </c>
      <c r="AK606" s="2" t="str">
        <f>HYPERLINK("https://camelcamelcamel.com/search?sq=B09Y4JQK3R", "https://camelcamelcamel.com/search?sq=B09Y4JQK3R")</f>
      </c>
      <c r="AL606" t="inlineStr">
        <is>
          <t/>
        </is>
      </c>
      <c r="AM606" s="10">
        <v>45417.11111111111</v>
      </c>
      <c r="AN606" t="inlineStr">
        <is>
          <t>Differin Acne Body Spray, Acne Treatment with Salicylic Acid by the makers of Differin Gel, 360 Formula for Back Acne, Chest and Shoulders, 6 oz</t>
        </is>
      </c>
      <c r="AO606" t="inlineStr">
        <is>
          <t>1740</t>
        </is>
      </c>
      <c r="AP606" t="inlineStr">
        <is>
          <t>TAKE ALL</t>
        </is>
      </c>
    </row>
    <row r="607">
      <c r="A607" t="inlineStr">
        <is>
          <t>B09YL5YK35</t>
        </is>
      </c>
      <c r="B607" t="inlineStr">
        <is>
          <t>False</t>
        </is>
      </c>
      <c r="C607" t="inlineStr">
        <is>
          <t>B09YL5YK35</t>
        </is>
      </c>
      <c r="D607" t="inlineStr">
        <is>
          <t>Beizuzu</t>
        </is>
      </c>
      <c r="E607" t="inlineStr">
        <is>
          <t>False</t>
        </is>
      </c>
      <c r="F607" t="inlineStr">
        <is>
          <t>Electric Pressure Cooker: 6 Quart 9-in-1 Multi-Functional Built-in 11 Presets Programs Pressure Pot, Multi Cooker, Slow Cooker, Rice Cooker, Steamer, Sauté, Yogurt Maker, Warmer &amp; Sterilizer</t>
        </is>
      </c>
      <c r="G607">
        <v>1</v>
      </c>
      <c r="H607" s="2" t="str">
        <f>HYPERLINK("https://www.amazon.com/dp/B09YL5YK35", "https://www.amazon.com/dp/B09YL5YK35")</f>
      </c>
      <c r="I607" s="16">
        <v>45</v>
      </c>
      <c r="M607" t="inlineStr">
        <is>
          <t>True</t>
        </is>
      </c>
      <c r="N607" t="inlineStr">
        <is>
          <t>Kitchen &amp; Dining</t>
        </is>
      </c>
      <c r="O607" s="6">
        <v>114633</v>
      </c>
      <c r="P607" s="6">
        <v>22028</v>
      </c>
      <c r="Q607" s="6">
        <v>9187</v>
      </c>
      <c r="R607" s="6">
        <v>109</v>
      </c>
      <c r="S607" s="7">
        <v>37</v>
      </c>
      <c r="U607">
        <v>71.93</v>
      </c>
      <c r="X607" s="7">
        <v>0</v>
      </c>
      <c r="Y607">
        <v>13.65</v>
      </c>
      <c r="Z607" s="8">
        <v>0</v>
      </c>
      <c r="AB607">
        <v>0</v>
      </c>
      <c r="AC607">
        <v>0</v>
      </c>
      <c r="AD607">
        <v>0</v>
      </c>
      <c r="AE607">
        <v>0</v>
      </c>
      <c r="AF607">
        <v>0</v>
      </c>
      <c r="AG607">
        <v>0</v>
      </c>
      <c r="AH607">
        <v>1</v>
      </c>
      <c r="AI607" t="inlineStr">
        <is>
          <t>False</t>
        </is>
      </c>
      <c r="AJ607" s="2" t="str">
        <f>HYPERLINK("https://keepa.com/#!product/1-B09YL5YK35", "https://keepa.com/#!product/1-B09YL5YK35")</f>
      </c>
      <c r="AK607" s="2" t="str">
        <f>HYPERLINK("https://camelcamelcamel.com/search?sq=B09YL5YK35", "https://camelcamelcamel.com/search?sq=B09YL5YK35")</f>
      </c>
      <c r="AL607" t="inlineStr">
        <is>
          <t/>
        </is>
      </c>
      <c r="AM607" s="10">
        <v>45417.11111111111</v>
      </c>
      <c r="AN607" t="inlineStr">
        <is>
          <t>Electric Pressure Cooker: 6 Quart 9-in-1 Multi-Functional Built-in 11 Presets Programs Pressure Pot, Multi Cooker, Slow Cooker, Rice Cooker, Steamer, SautÃ©, Yogurt Maker, Warmer &amp; Sterilizer</t>
        </is>
      </c>
      <c r="AO607" t="inlineStr">
        <is>
          <t>1000</t>
        </is>
      </c>
      <c r="AP607" t="inlineStr">
        <is>
          <t>250</t>
        </is>
      </c>
    </row>
    <row r="608">
      <c r="A608" t="inlineStr">
        <is>
          <t>B09YM1ZPR2</t>
        </is>
      </c>
      <c r="B608" t="inlineStr">
        <is>
          <t>False</t>
        </is>
      </c>
      <c r="C608" t="inlineStr">
        <is>
          <t>B09YM1ZPR2</t>
        </is>
      </c>
      <c r="D608" t="inlineStr">
        <is>
          <t>Eureka</t>
        </is>
      </c>
      <c r="E608" t="inlineStr">
        <is>
          <t>True</t>
        </is>
      </c>
      <c r="F608" t="inlineStr">
        <is>
          <t>EUREKA PowerSpeed Lightweight Powerful Upright Vacuum Cleaner for Carpet and Hard Floor, Pet Turbo, Black,Yellow</t>
        </is>
      </c>
      <c r="G608">
        <v>1</v>
      </c>
      <c r="H608" s="2" t="str">
        <f>HYPERLINK("https://www.amazon.com/dp/B09YM1ZPR2", "https://www.amazon.com/dp/B09YM1ZPR2")</f>
      </c>
      <c r="I608" s="3">
        <v>7746</v>
      </c>
      <c r="J608" s="12">
        <v>-20.02</v>
      </c>
      <c r="K608" s="13">
        <v>-0.2225</v>
      </c>
      <c r="L608" s="13">
        <v>-0.4656</v>
      </c>
      <c r="M608" t="inlineStr">
        <is>
          <t>True</t>
        </is>
      </c>
      <c r="N608" t="inlineStr">
        <is>
          <t>Home &amp; Kitchen</t>
        </is>
      </c>
      <c r="O608" s="6">
        <v>1461</v>
      </c>
      <c r="P608" s="6">
        <v>1273</v>
      </c>
      <c r="Q608" s="6">
        <v>726</v>
      </c>
      <c r="R608" s="6">
        <v>250</v>
      </c>
      <c r="S608" s="7">
        <v>43</v>
      </c>
      <c r="T608" s="7">
        <v>89.99</v>
      </c>
      <c r="U608">
        <v>83.16</v>
      </c>
      <c r="V608" s="8">
        <v>0</v>
      </c>
      <c r="W608" s="7">
        <v>0</v>
      </c>
      <c r="X608" s="7">
        <v>0</v>
      </c>
      <c r="Y608">
        <v>16.2</v>
      </c>
      <c r="Z608" s="9">
        <v>1</v>
      </c>
      <c r="AB608">
        <v>0</v>
      </c>
      <c r="AC608">
        <v>0</v>
      </c>
      <c r="AD608">
        <v>17</v>
      </c>
      <c r="AE608">
        <v>1</v>
      </c>
      <c r="AF608">
        <v>0</v>
      </c>
      <c r="AG608">
        <v>1</v>
      </c>
      <c r="AH608">
        <v>3</v>
      </c>
      <c r="AI608" t="inlineStr">
        <is>
          <t>False</t>
        </is>
      </c>
      <c r="AJ608" s="2" t="str">
        <f>HYPERLINK("https://keepa.com/#!product/1-B09YM1ZPR2", "https://keepa.com/#!product/1-B09YM1ZPR2")</f>
      </c>
      <c r="AK608" s="2" t="str">
        <f>HYPERLINK("https://camelcamelcamel.com/search?sq=B09YM1ZPR2", "https://camelcamelcamel.com/search?sq=B09YM1ZPR2")</f>
      </c>
      <c r="AL608" t="inlineStr">
        <is>
          <t/>
        </is>
      </c>
      <c r="AM608" s="10">
        <v>45417.11111111111</v>
      </c>
      <c r="AN608" t="inlineStr">
        <is>
          <t>EUREKA PowerSpeed Lightweight Powerful Upright Vacuum Cleaner for Carpet and Hard Floor, Pet Turbo, Black,Yellow</t>
        </is>
      </c>
      <c r="AO608" t="inlineStr">
        <is>
          <t>600</t>
        </is>
      </c>
      <c r="AP608" t="inlineStr">
        <is>
          <t>300</t>
        </is>
      </c>
    </row>
    <row r="609">
      <c r="A609" t="inlineStr">
        <is>
          <t>B09YTM4F26</t>
        </is>
      </c>
      <c r="B609" t="inlineStr">
        <is>
          <t>False</t>
        </is>
      </c>
      <c r="C609" t="inlineStr">
        <is>
          <t>B09YTM4F26</t>
        </is>
      </c>
      <c r="D609" t="inlineStr">
        <is>
          <t>DEWALT</t>
        </is>
      </c>
      <c r="E609" t="inlineStr">
        <is>
          <t>True</t>
        </is>
      </c>
      <c r="F609" t="inlineStr">
        <is>
          <t>DEWALT 20V MAX Pruning Shears Garden Tool, Cordless, Bare Tool Only (DCPR320B)</t>
        </is>
      </c>
      <c r="G609">
        <v>1</v>
      </c>
      <c r="H609" s="2" t="str">
        <f>HYPERLINK("https://www.amazon.com/dp/B09YTM4F26", "https://www.amazon.com/dp/B09YTM4F26")</f>
      </c>
      <c r="I609" s="3">
        <v>513</v>
      </c>
      <c r="J609" s="4">
        <v>52.98</v>
      </c>
      <c r="K609" s="15">
        <v>0.3607</v>
      </c>
      <c r="L609" s="15">
        <v>0.8214</v>
      </c>
      <c r="M609" t="inlineStr">
        <is>
          <t>True</t>
        </is>
      </c>
      <c r="N609" t="inlineStr">
        <is>
          <t>Patio, Lawn &amp; Garden</t>
        </is>
      </c>
      <c r="O609" s="6">
        <v>14810</v>
      </c>
      <c r="P609" s="6">
        <v>3354</v>
      </c>
      <c r="Q609" s="6">
        <v>363</v>
      </c>
      <c r="R609" s="6">
        <v>300</v>
      </c>
      <c r="S609" s="7">
        <v>64.5</v>
      </c>
      <c r="T609" s="7">
        <v>146.89</v>
      </c>
      <c r="U609">
        <v>98.31</v>
      </c>
      <c r="V609" s="8">
        <v>0</v>
      </c>
      <c r="W609" s="7">
        <v>0</v>
      </c>
      <c r="X609" s="7">
        <v>0</v>
      </c>
      <c r="Y609">
        <v>3.62</v>
      </c>
      <c r="Z609" s="8">
        <v>0</v>
      </c>
      <c r="AB609">
        <v>0</v>
      </c>
      <c r="AC609">
        <v>0</v>
      </c>
      <c r="AD609">
        <v>14</v>
      </c>
      <c r="AE609">
        <v>4</v>
      </c>
      <c r="AF609">
        <v>8</v>
      </c>
      <c r="AG609">
        <v>0</v>
      </c>
      <c r="AH609">
        <v>1</v>
      </c>
      <c r="AI609" t="inlineStr">
        <is>
          <t>False</t>
        </is>
      </c>
      <c r="AJ609" s="2" t="str">
        <f>HYPERLINK("https://keepa.com/#!product/1-B09YTM4F26", "https://keepa.com/#!product/1-B09YTM4F26")</f>
      </c>
      <c r="AK609" s="2" t="str">
        <f>HYPERLINK("https://camelcamelcamel.com/search?sq=B09YTM4F26", "https://camelcamelcamel.com/search?sq=B09YTM4F26")</f>
      </c>
      <c r="AL609" t="inlineStr">
        <is>
          <t/>
        </is>
      </c>
      <c r="AM609" s="10">
        <v>45417.11111111111</v>
      </c>
      <c r="AN609" t="inlineStr">
        <is>
          <t>DEWALT 20V MAX Pruning Shears Garden Tool, Cordless, Bare Tool Only (DCPR320B)</t>
        </is>
      </c>
      <c r="AO609" t="inlineStr">
        <is>
          <t>350</t>
        </is>
      </c>
      <c r="AP609" t="inlineStr">
        <is>
          <t>TAKE ALL</t>
        </is>
      </c>
    </row>
    <row r="610">
      <c r="A610" t="inlineStr">
        <is>
          <t>B09Z74Y7BY</t>
        </is>
      </c>
      <c r="B610" t="inlineStr">
        <is>
          <t>False</t>
        </is>
      </c>
      <c r="C610" t="inlineStr">
        <is>
          <t>B09Z74Y7BY</t>
        </is>
      </c>
      <c r="D610" t="inlineStr">
        <is>
          <t>VitaCup</t>
        </is>
      </c>
      <c r="E610" t="inlineStr">
        <is>
          <t>False</t>
        </is>
      </c>
      <c r="F610" t="inlineStr">
        <is>
          <t>VitaCup Perfect Low Acid Coffee Pods, USDA Organic &amp; Fair Trade, Mycotoxin Free, Dark Roast Guatemala Single Origin, Clean &amp; Pure Recyclable Single Serve Pod compatible w/Keurig K-Cup Brewers,16 CT</t>
        </is>
      </c>
      <c r="G610">
        <v>1</v>
      </c>
      <c r="H610" s="2" t="str">
        <f>HYPERLINK("https://www.amazon.com/dp/B09Z74Y7BY", "https://www.amazon.com/dp/B09Z74Y7BY")</f>
      </c>
      <c r="I610" s="3">
        <v>1961</v>
      </c>
      <c r="J610" s="4">
        <v>5.55</v>
      </c>
      <c r="K610" s="5">
        <v>0.1917</v>
      </c>
      <c r="L610" s="15">
        <v>0.39640000000000003</v>
      </c>
      <c r="M610" t="inlineStr">
        <is>
          <t>True</t>
        </is>
      </c>
      <c r="N610" t="inlineStr">
        <is>
          <t>Grocery &amp; Gourmet Food</t>
        </is>
      </c>
      <c r="O610" s="6">
        <v>4179</v>
      </c>
      <c r="P610" s="6">
        <v>3918</v>
      </c>
      <c r="Q610" s="6">
        <v>2870</v>
      </c>
      <c r="R610" s="6">
        <v>275</v>
      </c>
      <c r="S610" s="7">
        <v>14</v>
      </c>
      <c r="T610" s="7">
        <v>28.95</v>
      </c>
      <c r="U610">
        <v>28.89</v>
      </c>
      <c r="V610" s="8">
        <v>0</v>
      </c>
      <c r="W610" s="7">
        <v>0</v>
      </c>
      <c r="X610" s="7">
        <v>0</v>
      </c>
      <c r="Y610">
        <v>0.55</v>
      </c>
      <c r="Z610" s="8">
        <v>0</v>
      </c>
      <c r="AB610">
        <v>0</v>
      </c>
      <c r="AC610">
        <v>0</v>
      </c>
      <c r="AD610">
        <v>1</v>
      </c>
      <c r="AE610">
        <v>1</v>
      </c>
      <c r="AF610">
        <v>0</v>
      </c>
      <c r="AG610">
        <v>1</v>
      </c>
      <c r="AH610">
        <v>7</v>
      </c>
      <c r="AI610" t="inlineStr">
        <is>
          <t>False</t>
        </is>
      </c>
      <c r="AJ610" s="2" t="str">
        <f>HYPERLINK("https://keepa.com/#!product/1-B09Z74Y7BY", "https://keepa.com/#!product/1-B09Z74Y7BY")</f>
      </c>
      <c r="AK610" s="2" t="str">
        <f>HYPERLINK("https://camelcamelcamel.com/search?sq=B09Z74Y7BY", "https://camelcamelcamel.com/search?sq=B09Z74Y7BY")</f>
      </c>
      <c r="AL610" t="inlineStr">
        <is>
          <t/>
        </is>
      </c>
      <c r="AM610" s="10">
        <v>45417.11111111111</v>
      </c>
      <c r="AN610" t="inlineStr">
        <is>
          <t>VitaCup Perfect Low Acid Coffee Pods, USDA Organic &amp; Fair Trade, Mycotoxin Free, Dark Roast Guatemala Single Origin, Clean &amp; Pure Recyclable Single Serve Pod compatible w/Keurig K-Cup Brewers,16 CT</t>
        </is>
      </c>
      <c r="AO610" t="inlineStr">
        <is>
          <t>700</t>
        </is>
      </c>
      <c r="AP610" t="inlineStr">
        <is>
          <t>TAKE ALL</t>
        </is>
      </c>
    </row>
    <row r="611">
      <c r="A611" t="inlineStr">
        <is>
          <t>B09ZDR3ZK7</t>
        </is>
      </c>
      <c r="B611" t="inlineStr">
        <is>
          <t>False</t>
        </is>
      </c>
      <c r="C611" t="inlineStr">
        <is>
          <t>B09ZDR3ZK7</t>
        </is>
      </c>
      <c r="D611" t="inlineStr">
        <is>
          <t>Natural Balance</t>
        </is>
      </c>
      <c r="E611" t="inlineStr">
        <is>
          <t>False</t>
        </is>
      </c>
      <c r="F611" t="inlineStr">
        <is>
          <t>Natural Balance Limited Ingredient Adult Grain-Free Dry Dog Food, Reserve Duck &amp; Potato Recipe, 22 Pound (Pack of 1)</t>
        </is>
      </c>
      <c r="G611">
        <v>1</v>
      </c>
      <c r="H611" s="2" t="str">
        <f>HYPERLINK("https://www.amazon.com/dp/B09ZDR3ZK7", "https://www.amazon.com/dp/B09ZDR3ZK7")</f>
      </c>
      <c r="I611" s="3">
        <v>12550</v>
      </c>
      <c r="J611" s="4">
        <v>18.46</v>
      </c>
      <c r="K611" s="5">
        <v>0.23079999999999998</v>
      </c>
      <c r="L611" s="15">
        <v>0.5954999999999999</v>
      </c>
      <c r="M611" t="inlineStr">
        <is>
          <t>True</t>
        </is>
      </c>
      <c r="N611" t="inlineStr">
        <is>
          <t>Pet Supplies</t>
        </is>
      </c>
      <c r="O611" s="6">
        <v>507</v>
      </c>
      <c r="P611" s="6">
        <v>455</v>
      </c>
      <c r="Q611" s="6">
        <v>338</v>
      </c>
      <c r="R611" s="6">
        <v>259</v>
      </c>
      <c r="S611" s="7">
        <v>31</v>
      </c>
      <c r="T611" s="7">
        <v>79.98</v>
      </c>
      <c r="U611">
        <v>69.01</v>
      </c>
      <c r="V611" s="8">
        <v>0</v>
      </c>
      <c r="W611" s="7">
        <v>0</v>
      </c>
      <c r="X611" s="7">
        <v>0</v>
      </c>
      <c r="Y611">
        <v>22.3</v>
      </c>
      <c r="Z611" s="9">
        <v>0.8</v>
      </c>
      <c r="AB611">
        <v>0</v>
      </c>
      <c r="AC611">
        <v>0</v>
      </c>
      <c r="AD611">
        <v>6</v>
      </c>
      <c r="AE611">
        <v>1</v>
      </c>
      <c r="AF611">
        <v>5</v>
      </c>
      <c r="AG611">
        <v>1</v>
      </c>
      <c r="AH611">
        <v>16</v>
      </c>
      <c r="AI611" t="inlineStr">
        <is>
          <t>False</t>
        </is>
      </c>
      <c r="AJ611" s="2" t="str">
        <f>HYPERLINK("https://keepa.com/#!product/1-B09ZDR3ZK7", "https://keepa.com/#!product/1-B09ZDR3ZK7")</f>
      </c>
      <c r="AK611" s="2" t="str">
        <f>HYPERLINK("https://camelcamelcamel.com/search?sq=B09ZDR3ZK7", "https://camelcamelcamel.com/search?sq=B09ZDR3ZK7")</f>
      </c>
      <c r="AL611" t="inlineStr">
        <is>
          <t/>
        </is>
      </c>
      <c r="AM611" s="10">
        <v>45417.11111111111</v>
      </c>
      <c r="AN611" t="inlineStr">
        <is>
          <t>Natural Balance Limited Ingredient Adult Grain-Free Dry Dog Food,</t>
        </is>
      </c>
      <c r="AO611" t="inlineStr">
        <is>
          <t>1000</t>
        </is>
      </c>
      <c r="AP611" t="inlineStr">
        <is>
          <t>500</t>
        </is>
      </c>
    </row>
    <row r="612">
      <c r="A612" t="inlineStr">
        <is>
          <t>B09ZQ55KWT</t>
        </is>
      </c>
      <c r="B612" t="inlineStr">
        <is>
          <t>False</t>
        </is>
      </c>
      <c r="C612" t="inlineStr">
        <is>
          <t>B09ZQ55KWT</t>
        </is>
      </c>
      <c r="D612" t="inlineStr">
        <is>
          <t>Levels Nutrition</t>
        </is>
      </c>
      <c r="E612" t="inlineStr">
        <is>
          <t>False</t>
        </is>
      </c>
      <c r="F612" t="inlineStr">
        <is>
          <t>Levels Grass Fed Whey Protein, No Artificials, 24G of Protein, Cappuccino, 5LB</t>
        </is>
      </c>
      <c r="G612">
        <v>1</v>
      </c>
      <c r="H612" s="2" t="str">
        <f>HYPERLINK("https://www.amazon.com/dp/B09ZQ55KWT", "https://www.amazon.com/dp/B09ZQ55KWT")</f>
      </c>
      <c r="I612" s="3">
        <v>26241</v>
      </c>
      <c r="J612" s="4">
        <v>16.37</v>
      </c>
      <c r="K612" s="5">
        <v>0.2047</v>
      </c>
      <c r="L612" s="15">
        <v>0.3763</v>
      </c>
      <c r="M612" t="inlineStr">
        <is>
          <t>True</t>
        </is>
      </c>
      <c r="N612" t="inlineStr">
        <is>
          <t>Health &amp; Household</t>
        </is>
      </c>
      <c r="O612" s="6">
        <v>585</v>
      </c>
      <c r="P612" s="6">
        <v>621</v>
      </c>
      <c r="Q612" s="6">
        <v>509</v>
      </c>
      <c r="R612" s="6">
        <v>150</v>
      </c>
      <c r="S612" s="7">
        <v>43.5</v>
      </c>
      <c r="T612" s="7">
        <v>79.99</v>
      </c>
      <c r="U612">
        <v>79.99</v>
      </c>
      <c r="V612" s="8">
        <v>0</v>
      </c>
      <c r="W612" s="7">
        <v>0</v>
      </c>
      <c r="X612" s="7">
        <v>0</v>
      </c>
      <c r="Y612">
        <v>5.69</v>
      </c>
      <c r="Z612" s="8">
        <v>0</v>
      </c>
      <c r="AB612">
        <v>0</v>
      </c>
      <c r="AC612">
        <v>0</v>
      </c>
      <c r="AD612">
        <v>2</v>
      </c>
      <c r="AE612">
        <v>2</v>
      </c>
      <c r="AF612">
        <v>0</v>
      </c>
      <c r="AG612">
        <v>2</v>
      </c>
      <c r="AH612">
        <v>20</v>
      </c>
      <c r="AI612" t="inlineStr">
        <is>
          <t>False</t>
        </is>
      </c>
      <c r="AJ612" s="2" t="str">
        <f>HYPERLINK("https://keepa.com/#!product/1-B09ZQ55KWT", "https://keepa.com/#!product/1-B09ZQ55KWT")</f>
      </c>
      <c r="AK612" s="2" t="str">
        <f>HYPERLINK("https://camelcamelcamel.com/search?sq=B09ZQ55KWT", "https://camelcamelcamel.com/search?sq=B09ZQ55KWT")</f>
      </c>
      <c r="AL612" t="inlineStr">
        <is>
          <t/>
        </is>
      </c>
      <c r="AM612" s="10">
        <v>45417.11111111111</v>
      </c>
      <c r="AN612" t="inlineStr">
        <is>
          <t>Levels Grass Fed Whey Protein, No Artificials, 24G of Protein, Cappuccino, 5LB</t>
        </is>
      </c>
      <c r="AO612" t="inlineStr">
        <is>
          <t>96</t>
        </is>
      </c>
      <c r="AP612" t="inlineStr">
        <is>
          <t>TAKE ALL</t>
        </is>
      </c>
    </row>
    <row r="613">
      <c r="A613" t="inlineStr">
        <is>
          <t>B09ZZW2ZZH</t>
        </is>
      </c>
      <c r="B613" t="inlineStr">
        <is>
          <t>False</t>
        </is>
      </c>
      <c r="C613" t="inlineStr">
        <is>
          <t>B09ZZW2ZZH</t>
        </is>
      </c>
      <c r="D613" t="inlineStr">
        <is>
          <t>Gel Blaster</t>
        </is>
      </c>
      <c r="E613" t="inlineStr">
        <is>
          <t>False</t>
        </is>
      </c>
      <c r="F613" t="inlineStr">
        <is>
          <t>The Original Gel Blaster Surge - Extended 100+ Foot Range - Toy Gel Blasters with Water Based Beads - Semi &amp; Automatic Modes with Powerful 170 FPS - Outdoor Games &amp; Toys - Ages 14+</t>
        </is>
      </c>
      <c r="G613">
        <v>1</v>
      </c>
      <c r="H613" s="2" t="str">
        <f>HYPERLINK("https://www.amazon.com/dp/B09ZZW2ZZH", "https://www.amazon.com/dp/B09ZZW2ZZH")</f>
      </c>
      <c r="I613" s="3">
        <v>5082</v>
      </c>
      <c r="J613" s="12">
        <v>-10.03</v>
      </c>
      <c r="K613" s="13">
        <v>-0.5018</v>
      </c>
      <c r="L613" s="13">
        <v>-0.47759999999999997</v>
      </c>
      <c r="M613" t="inlineStr">
        <is>
          <t>True</t>
        </is>
      </c>
      <c r="N613" t="inlineStr">
        <is>
          <t>Toys &amp; Games</t>
        </is>
      </c>
      <c r="O613" s="6">
        <v>992</v>
      </c>
      <c r="P613" s="6">
        <v>2962</v>
      </c>
      <c r="Q613" s="6">
        <v>1527</v>
      </c>
      <c r="R613" s="6">
        <v>299</v>
      </c>
      <c r="S613" s="7">
        <v>21</v>
      </c>
      <c r="T613" s="7">
        <v>19.99</v>
      </c>
      <c r="U613">
        <v>39.74</v>
      </c>
      <c r="V613" s="8">
        <v>0</v>
      </c>
      <c r="W613" s="7">
        <v>0</v>
      </c>
      <c r="X613" s="7">
        <v>0</v>
      </c>
      <c r="Y613">
        <v>1.96</v>
      </c>
      <c r="Z613" s="9">
        <v>0.37</v>
      </c>
      <c r="AB613">
        <v>0</v>
      </c>
      <c r="AC613">
        <v>0</v>
      </c>
      <c r="AD613">
        <v>8</v>
      </c>
      <c r="AE613">
        <v>3</v>
      </c>
      <c r="AF613">
        <v>3</v>
      </c>
      <c r="AG613">
        <v>2</v>
      </c>
      <c r="AH613">
        <v>1</v>
      </c>
      <c r="AI613" t="inlineStr">
        <is>
          <t>True</t>
        </is>
      </c>
      <c r="AJ613" s="2" t="str">
        <f>HYPERLINK("https://keepa.com/#!product/1-B09ZZW2ZZH", "https://keepa.com/#!product/1-B09ZZW2ZZH")</f>
      </c>
      <c r="AK613" s="2" t="str">
        <f>HYPERLINK("https://camelcamelcamel.com/search?sq=B09ZZW2ZZH", "https://camelcamelcamel.com/search?sq=B09ZZW2ZZH")</f>
      </c>
      <c r="AL613" t="inlineStr">
        <is>
          <t/>
        </is>
      </c>
      <c r="AM613" s="10">
        <v>45417.11111111111</v>
      </c>
      <c r="AN613" t="inlineStr">
        <is>
          <t>The Original Gel Blaster Surge - Extended 100+ Foot Range - Toy Gel Blasters with Water Based Beads - Semi &amp; Automatic Modes with Powerful 170 FPS - Outdoor Games &amp; Toys - Ages 14+</t>
        </is>
      </c>
      <c r="AO613" t="inlineStr">
        <is>
          <t>300</t>
        </is>
      </c>
      <c r="AP613" t="inlineStr">
        <is>
          <t>TAKE ALL</t>
        </is>
      </c>
    </row>
    <row r="614">
      <c r="A614" t="inlineStr">
        <is>
          <t>B0B274ZQ32</t>
        </is>
      </c>
      <c r="B614" t="inlineStr">
        <is>
          <t>False</t>
        </is>
      </c>
      <c r="C614" t="inlineStr">
        <is>
          <t>B0B274ZQ32</t>
        </is>
      </c>
      <c r="D614" t="inlineStr">
        <is>
          <t>Ontel</t>
        </is>
      </c>
      <c r="E614" t="inlineStr">
        <is>
          <t>False</t>
        </is>
      </c>
      <c r="F614" t="inlineStr">
        <is>
          <t>Ontel Presto Plug Outlet Extender for Relocating Unreachable Power Outlets, 4ft Cord, Sticks Easily on Wall, Provides Surge Protection, 2 AC Outlets, 2 USB Ports &amp; Built-in Shelf</t>
        </is>
      </c>
      <c r="G614">
        <v>1</v>
      </c>
      <c r="H614" s="2" t="str">
        <f>HYPERLINK("https://www.amazon.com/dp/B0B274ZQ32", "https://www.amazon.com/dp/B0B274ZQ32")</f>
      </c>
      <c r="I614" s="3">
        <v>453</v>
      </c>
      <c r="J614" s="11">
        <v>3.96</v>
      </c>
      <c r="K614" s="5">
        <v>0.1804</v>
      </c>
      <c r="L614" s="15">
        <v>0.3771</v>
      </c>
      <c r="M614" t="inlineStr">
        <is>
          <t>True</t>
        </is>
      </c>
      <c r="N614" t="inlineStr">
        <is>
          <t>Tools &amp; Home Improvement</t>
        </is>
      </c>
      <c r="O614" s="6">
        <v>21764</v>
      </c>
      <c r="P614" s="6">
        <v>9283</v>
      </c>
      <c r="Q614" s="6">
        <v>3175</v>
      </c>
      <c r="R614" s="6">
        <v>212</v>
      </c>
      <c r="S614" s="7">
        <v>10.5</v>
      </c>
      <c r="T614" s="7">
        <v>21.95</v>
      </c>
      <c r="U614">
        <v>18.98</v>
      </c>
      <c r="V614" s="8">
        <v>0</v>
      </c>
      <c r="W614" s="7">
        <v>0</v>
      </c>
      <c r="X614" s="7">
        <v>0</v>
      </c>
      <c r="Y614">
        <v>0.64</v>
      </c>
      <c r="Z614" s="9">
        <v>1</v>
      </c>
      <c r="AB614">
        <v>0</v>
      </c>
      <c r="AC614">
        <v>0</v>
      </c>
      <c r="AD614">
        <v>31</v>
      </c>
      <c r="AE614">
        <v>3</v>
      </c>
      <c r="AF614">
        <v>14</v>
      </c>
      <c r="AG614">
        <v>2</v>
      </c>
      <c r="AH614">
        <v>2</v>
      </c>
      <c r="AI614" t="inlineStr">
        <is>
          <t>False</t>
        </is>
      </c>
      <c r="AJ614" s="2" t="str">
        <f>HYPERLINK("https://keepa.com/#!product/1-B0B274ZQ32", "https://keepa.com/#!product/1-B0B274ZQ32")</f>
      </c>
      <c r="AK614" s="2" t="str">
        <f>HYPERLINK("https://camelcamelcamel.com/search?sq=B0B274ZQ32", "https://camelcamelcamel.com/search?sq=B0B274ZQ32")</f>
      </c>
      <c r="AL614" t="inlineStr">
        <is>
          <t/>
        </is>
      </c>
      <c r="AM614" s="10">
        <v>45417.11111111111</v>
      </c>
      <c r="AN614" t="inlineStr">
        <is>
          <t>Ontel Presto Plug Outlet Extender for Relocating Unreachable Power Outlets, 4ft Cord, Sticks Easily on Wall, Provides Surge Protection, 2 AC Outlets, 2 USB Ports &amp; Built-in Shelf</t>
        </is>
      </c>
      <c r="AO614" t="inlineStr">
        <is>
          <t>1250</t>
        </is>
      </c>
      <c r="AP614" t="inlineStr">
        <is>
          <t>TAKE ALL</t>
        </is>
      </c>
    </row>
    <row r="615">
      <c r="A615" t="inlineStr">
        <is>
          <t>B0B3HF233F</t>
        </is>
      </c>
      <c r="B615" t="inlineStr">
        <is>
          <t>False</t>
        </is>
      </c>
      <c r="C615" t="inlineStr">
        <is>
          <t>B0B3HF233F</t>
        </is>
      </c>
      <c r="D615" t="inlineStr">
        <is>
          <t>ANIEKIN</t>
        </is>
      </c>
      <c r="E615" t="inlineStr">
        <is>
          <t>False</t>
        </is>
      </c>
      <c r="F615" t="inlineStr">
        <is>
          <t>ANIEKIN Hair Dryer with Diffuser, 1875W Ionic Blow Dryer, Professional Portable Hair Dryers &amp; Accessories for Women Curly Hair, Grey</t>
        </is>
      </c>
      <c r="G615">
        <v>1</v>
      </c>
      <c r="H615" s="2" t="str">
        <f>HYPERLINK("https://www.amazon.com/dp/B0B3HF233F", "https://www.amazon.com/dp/B0B3HF233F")</f>
      </c>
      <c r="I615" s="3">
        <v>14910</v>
      </c>
      <c r="M615" t="inlineStr">
        <is>
          <t>True</t>
        </is>
      </c>
      <c r="N615" t="inlineStr">
        <is>
          <t>Beauty &amp; Personal Care</t>
        </is>
      </c>
      <c r="O615" s="6">
        <v>814</v>
      </c>
      <c r="P615" s="6">
        <v>3642</v>
      </c>
      <c r="Q615" s="6">
        <v>305</v>
      </c>
      <c r="R615" s="6">
        <v>200</v>
      </c>
      <c r="S615" s="7">
        <v>13.5</v>
      </c>
      <c r="U615">
        <v>29.75</v>
      </c>
      <c r="X615" s="7">
        <v>0</v>
      </c>
      <c r="Y615">
        <v>1.63</v>
      </c>
      <c r="Z615" s="8">
        <v>0</v>
      </c>
      <c r="AB615">
        <v>0</v>
      </c>
      <c r="AC615">
        <v>0</v>
      </c>
      <c r="AD615">
        <v>0</v>
      </c>
      <c r="AE615">
        <v>0</v>
      </c>
      <c r="AF615">
        <v>0</v>
      </c>
      <c r="AG615">
        <v>0</v>
      </c>
      <c r="AH615">
        <v>3</v>
      </c>
      <c r="AI615" t="inlineStr">
        <is>
          <t>False</t>
        </is>
      </c>
      <c r="AJ615" s="2" t="str">
        <f>HYPERLINK("https://keepa.com/#!product/1-B0B3HF233F", "https://keepa.com/#!product/1-B0B3HF233F")</f>
      </c>
      <c r="AK615" s="2" t="str">
        <f>HYPERLINK("https://camelcamelcamel.com/search?sq=B0B3HF233F", "https://camelcamelcamel.com/search?sq=B0B3HF233F")</f>
      </c>
      <c r="AL615" t="inlineStr">
        <is>
          <t/>
        </is>
      </c>
      <c r="AM615" s="10">
        <v>45417.11111111111</v>
      </c>
      <c r="AN615" t="inlineStr">
        <is>
          <t>ANIEKIN Hair Dryer with Diffuser, 1875W Ionic Blow Dryer, Professional Portable Hair Dryers &amp; Accessories for Women Curly Hair, Grey</t>
        </is>
      </c>
      <c r="AO615" t="inlineStr">
        <is>
          <t>500</t>
        </is>
      </c>
      <c r="AP615" t="inlineStr">
        <is>
          <t>TAKE ALL</t>
        </is>
      </c>
    </row>
    <row r="616">
      <c r="A616" t="inlineStr">
        <is>
          <t>B0B3JRR3CN</t>
        </is>
      </c>
      <c r="B616" t="inlineStr">
        <is>
          <t>False</t>
        </is>
      </c>
      <c r="C616" t="inlineStr">
        <is>
          <t>B0B3JRR3CN</t>
        </is>
      </c>
      <c r="D616" t="inlineStr">
        <is>
          <t>Degree</t>
        </is>
      </c>
      <c r="E616" t="inlineStr">
        <is>
          <t>False</t>
        </is>
      </c>
      <c r="F616" t="inlineStr">
        <is>
          <t>Degree Men Advanced Antiperspirant Deodorant 72-Hour Sweat and Odor Protection Sport Defense Antiperspirant For Men With MotionSense Technology 2.7 oz 4 Count</t>
        </is>
      </c>
      <c r="G616">
        <v>1</v>
      </c>
      <c r="H616" s="2" t="str">
        <f>HYPERLINK("https://www.amazon.com/dp/B0B3JRR3CN", "https://www.amazon.com/dp/B0B3JRR3CN")</f>
      </c>
      <c r="I616" s="3">
        <v>31344</v>
      </c>
      <c r="J616" s="12">
        <v>-2.34</v>
      </c>
      <c r="K616" s="13">
        <v>-0.17379999999999998</v>
      </c>
      <c r="L616" s="13">
        <v>-0.26739999999999997</v>
      </c>
      <c r="M616" t="inlineStr">
        <is>
          <t>True</t>
        </is>
      </c>
      <c r="N616" t="inlineStr">
        <is>
          <t>Beauty &amp; Personal Care</t>
        </is>
      </c>
      <c r="O616" s="6">
        <v>215</v>
      </c>
      <c r="P616" s="6">
        <v>202</v>
      </c>
      <c r="Q616" s="6">
        <v>26</v>
      </c>
      <c r="R616" s="6">
        <v>253</v>
      </c>
      <c r="S616" s="7">
        <v>8.75</v>
      </c>
      <c r="T616" s="7">
        <v>13.46</v>
      </c>
      <c r="U616">
        <v>17.11</v>
      </c>
      <c r="V616" s="8">
        <v>0</v>
      </c>
      <c r="W616" s="7">
        <v>0</v>
      </c>
      <c r="X616" s="7">
        <v>0</v>
      </c>
      <c r="Y616">
        <v>1.1</v>
      </c>
      <c r="Z616" s="9">
        <v>1</v>
      </c>
      <c r="AB616">
        <v>0</v>
      </c>
      <c r="AC616">
        <v>0</v>
      </c>
      <c r="AD616">
        <v>6</v>
      </c>
      <c r="AE616">
        <v>3</v>
      </c>
      <c r="AF616">
        <v>3</v>
      </c>
      <c r="AG616">
        <v>2</v>
      </c>
      <c r="AH616">
        <v>16</v>
      </c>
      <c r="AI616" t="inlineStr">
        <is>
          <t>False</t>
        </is>
      </c>
      <c r="AJ616" s="2" t="str">
        <f>HYPERLINK("https://keepa.com/#!product/1-B0B3JRR3CN", "https://keepa.com/#!product/1-B0B3JRR3CN")</f>
      </c>
      <c r="AK616" s="2" t="str">
        <f>HYPERLINK("https://camelcamelcamel.com/search?sq=B0B3JRR3CN", "https://camelcamelcamel.com/search?sq=B0B3JRR3CN")</f>
      </c>
      <c r="AL616" t="inlineStr">
        <is>
          <t/>
        </is>
      </c>
      <c r="AM616" s="10">
        <v>45417.11111111111</v>
      </c>
      <c r="AN616" t="inlineStr">
        <is>
          <t>Degree Men Advanced Antiperspirant Deodorant 72-Hour Sweat and Odor Protection Sport Defense Antiperspirant For Men With MotionSense Technology 2.7 oz 4 Count</t>
        </is>
      </c>
      <c r="AO616" t="inlineStr">
        <is>
          <t>625</t>
        </is>
      </c>
      <c r="AP616" t="inlineStr">
        <is>
          <t>TAKE ALL</t>
        </is>
      </c>
    </row>
    <row r="617">
      <c r="A617" t="inlineStr">
        <is>
          <t>B0B4266X2Z</t>
        </is>
      </c>
      <c r="B617" t="inlineStr">
        <is>
          <t>False</t>
        </is>
      </c>
      <c r="C617" t="inlineStr">
        <is>
          <t>B0B4266X2Z</t>
        </is>
      </c>
      <c r="D617" t="inlineStr">
        <is>
          <t>selectric</t>
        </is>
      </c>
      <c r="E617" t="inlineStr">
        <is>
          <t>False</t>
        </is>
      </c>
      <c r="F617" t="inlineStr">
        <is>
          <t>Selectric Electric Fireplace Heater with Remote ,22.4" Freestanding Portable Infrared Fireplace Heater with 3-Sides Realistic Flame for Indoor Use, Overheating and Tip-Over Safety,1000W/1500W</t>
        </is>
      </c>
      <c r="G617">
        <v>1</v>
      </c>
      <c r="H617" s="2" t="str">
        <f>HYPERLINK("https://www.amazon.com/dp/B0B4266X2Z", "https://www.amazon.com/dp/B0B4266X2Z")</f>
      </c>
      <c r="I617" s="14">
        <v>5</v>
      </c>
      <c r="J617" s="4">
        <v>26.98</v>
      </c>
      <c r="K617" s="5">
        <v>0.24530000000000002</v>
      </c>
      <c r="L617" s="15">
        <v>0.5996</v>
      </c>
      <c r="M617" t="inlineStr">
        <is>
          <t>True</t>
        </is>
      </c>
      <c r="N617" t="inlineStr">
        <is>
          <t>Home &amp; Kitchen</t>
        </is>
      </c>
      <c r="O617" s="6">
        <v>1025947</v>
      </c>
      <c r="P617" s="6">
        <v>605725</v>
      </c>
      <c r="Q617" s="6">
        <v>108938</v>
      </c>
      <c r="R617" s="6">
        <v>51</v>
      </c>
      <c r="S617" s="7">
        <v>45</v>
      </c>
      <c r="T617" s="7">
        <v>109.99</v>
      </c>
      <c r="U617">
        <v>101.07</v>
      </c>
      <c r="V617" s="8">
        <v>0</v>
      </c>
      <c r="W617" s="7">
        <v>0</v>
      </c>
      <c r="X617" s="7">
        <v>0</v>
      </c>
      <c r="Y617">
        <v>13.75</v>
      </c>
      <c r="Z617" s="8">
        <v>0</v>
      </c>
      <c r="AB617">
        <v>0</v>
      </c>
      <c r="AC617">
        <v>0</v>
      </c>
      <c r="AD617">
        <v>3</v>
      </c>
      <c r="AE617">
        <v>0</v>
      </c>
      <c r="AF617">
        <v>2</v>
      </c>
      <c r="AG617">
        <v>2</v>
      </c>
      <c r="AH617">
        <v>0</v>
      </c>
      <c r="AI617" t="inlineStr">
        <is>
          <t>False</t>
        </is>
      </c>
      <c r="AJ617" s="2" t="str">
        <f>HYPERLINK("https://keepa.com/#!product/1-B0B4266X2Z", "https://keepa.com/#!product/1-B0B4266X2Z")</f>
      </c>
      <c r="AK617" s="2" t="str">
        <f>HYPERLINK("https://camelcamelcamel.com/search?sq=B0B4266X2Z", "https://camelcamelcamel.com/search?sq=B0B4266X2Z")</f>
      </c>
      <c r="AL617" t="inlineStr">
        <is>
          <t/>
        </is>
      </c>
      <c r="AM617" s="10">
        <v>45417.11111111111</v>
      </c>
      <c r="AN617" t="inlineStr">
        <is>
          <t>Selectric Electric Fireplace Heater with Remote ,22.4" Freestanding Portable Infrared Fireplace Heater with 3-Sides Realistic Flame for Indoor Use, Overheating and Tip-Over Safety,1000W/1500W</t>
        </is>
      </c>
      <c r="AO617" t="inlineStr">
        <is>
          <t>505</t>
        </is>
      </c>
      <c r="AP617" t="inlineStr">
        <is>
          <t>TAKE ALL</t>
        </is>
      </c>
    </row>
    <row r="618">
      <c r="A618" t="inlineStr">
        <is>
          <t>B0B469CJPF</t>
        </is>
      </c>
      <c r="B618" t="inlineStr">
        <is>
          <t>False</t>
        </is>
      </c>
      <c r="C618" t="inlineStr">
        <is>
          <t>B0B469CJPF</t>
        </is>
      </c>
      <c r="D618" t="inlineStr">
        <is>
          <t>Zaktoto</t>
        </is>
      </c>
      <c r="E618" t="inlineStr">
        <is>
          <t>False</t>
        </is>
      </c>
      <c r="F618" t="inlineStr">
        <is>
          <t>Fall Candles for Home Scented Gifts for Women and Men,6 Pack of Amber Glass Material,6 Flavors</t>
        </is>
      </c>
      <c r="G618">
        <v>1</v>
      </c>
      <c r="H618" s="2" t="str">
        <f>HYPERLINK("https://www.amazon.com/dp/B0B469CJPF", "https://www.amazon.com/dp/B0B469CJPF")</f>
      </c>
      <c r="I618" s="14">
        <v>5</v>
      </c>
      <c r="J618" s="4">
        <v>14.88</v>
      </c>
      <c r="K618" s="15">
        <v>0.3235</v>
      </c>
      <c r="L618" s="15">
        <v>0.8753</v>
      </c>
      <c r="M618" t="inlineStr">
        <is>
          <t>True</t>
        </is>
      </c>
      <c r="N618" t="inlineStr">
        <is>
          <t>Health &amp; Household</t>
        </is>
      </c>
      <c r="O618" s="6">
        <v>631913</v>
      </c>
      <c r="P618" s="6">
        <v>617823</v>
      </c>
      <c r="Q618" s="6">
        <v>608266</v>
      </c>
      <c r="R618" s="6">
        <v>0</v>
      </c>
      <c r="S618" s="7">
        <v>17</v>
      </c>
      <c r="T618" s="7">
        <v>45.99</v>
      </c>
      <c r="U618">
        <v>45.98</v>
      </c>
      <c r="V618" s="8">
        <v>0</v>
      </c>
      <c r="W618" s="7">
        <v>0</v>
      </c>
      <c r="X618" s="7">
        <v>0</v>
      </c>
      <c r="Y618">
        <v>3.33</v>
      </c>
      <c r="Z618" s="8">
        <v>0</v>
      </c>
      <c r="AB618">
        <v>0</v>
      </c>
      <c r="AC618">
        <v>0</v>
      </c>
      <c r="AD618">
        <v>1</v>
      </c>
      <c r="AE618">
        <v>1</v>
      </c>
      <c r="AF618">
        <v>0</v>
      </c>
      <c r="AG618">
        <v>1</v>
      </c>
      <c r="AH618">
        <v>0</v>
      </c>
      <c r="AI618" t="inlineStr">
        <is>
          <t>False</t>
        </is>
      </c>
      <c r="AJ618" s="2" t="str">
        <f>HYPERLINK("https://keepa.com/#!product/1-B0B469CJPF", "https://keepa.com/#!product/1-B0B469CJPF")</f>
      </c>
      <c r="AK618" s="2" t="str">
        <f>HYPERLINK("https://camelcamelcamel.com/search?sq=B0B469CJPF", "https://camelcamelcamel.com/search?sq=B0B469CJPF")</f>
      </c>
      <c r="AL618" t="inlineStr">
        <is>
          <t/>
        </is>
      </c>
      <c r="AM618" s="10">
        <v>45417.11111111111</v>
      </c>
      <c r="AN618" t="inlineStr">
        <is>
          <t>Fall Candles for Home Scented Gifts for Women and Men,6 Pack of Amber Glass Material,6 Flavors</t>
        </is>
      </c>
      <c r="AO618" t="inlineStr">
        <is>
          <t>1400</t>
        </is>
      </c>
      <c r="AP618" t="inlineStr">
        <is>
          <t>TAKE ALL</t>
        </is>
      </c>
    </row>
    <row r="619">
      <c r="A619" t="inlineStr">
        <is>
          <t>B0B4862QNJ</t>
        </is>
      </c>
      <c r="B619" t="inlineStr">
        <is>
          <t>False</t>
        </is>
      </c>
      <c r="C619" t="inlineStr">
        <is>
          <t>B0B4862QNJ</t>
        </is>
      </c>
      <c r="D619" t="inlineStr">
        <is>
          <t>KontrolFreek</t>
        </is>
      </c>
      <c r="E619" t="inlineStr">
        <is>
          <t>False</t>
        </is>
      </c>
      <c r="F619" t="inlineStr">
        <is>
          <t>KontrolFreek FPS Freek Galaxy Black for Playstation 4 (PS4) and Playstation 5 (PS5) | Performance Thumbsticks | 1 High-Rise, 1 Mid-Rise | Black (Limited Edition)</t>
        </is>
      </c>
      <c r="G619">
        <v>1</v>
      </c>
      <c r="H619" s="2" t="str">
        <f>HYPERLINK("https://www.amazon.com/dp/B0B4862QNJ", "https://www.amazon.com/dp/B0B4862QNJ")</f>
      </c>
      <c r="I619" s="3">
        <v>5429</v>
      </c>
      <c r="J619" s="11">
        <v>0.72</v>
      </c>
      <c r="K619" s="5">
        <v>0.0424</v>
      </c>
      <c r="L619" s="5">
        <v>0.09</v>
      </c>
      <c r="M619" t="inlineStr">
        <is>
          <t>True</t>
        </is>
      </c>
      <c r="N619" t="inlineStr">
        <is>
          <t>Video Games</t>
        </is>
      </c>
      <c r="O619" s="6">
        <v>45</v>
      </c>
      <c r="P619" s="6">
        <v>94</v>
      </c>
      <c r="Q619" s="6">
        <v>20</v>
      </c>
      <c r="R619" s="6">
        <v>239</v>
      </c>
      <c r="S619" s="7">
        <v>8</v>
      </c>
      <c r="T619" s="7">
        <v>16.99</v>
      </c>
      <c r="U619">
        <v>16.97</v>
      </c>
      <c r="V619" s="8">
        <v>0</v>
      </c>
      <c r="W619" s="7">
        <v>0</v>
      </c>
      <c r="X619" s="7">
        <v>0</v>
      </c>
      <c r="Y619">
        <v>0.04</v>
      </c>
      <c r="Z619" s="8">
        <v>0</v>
      </c>
      <c r="AB619">
        <v>0</v>
      </c>
      <c r="AC619">
        <v>0</v>
      </c>
      <c r="AD619">
        <v>1</v>
      </c>
      <c r="AE619">
        <v>1</v>
      </c>
      <c r="AF619">
        <v>0</v>
      </c>
      <c r="AG619">
        <v>1</v>
      </c>
      <c r="AH619">
        <v>0</v>
      </c>
      <c r="AI619" t="inlineStr">
        <is>
          <t>False</t>
        </is>
      </c>
      <c r="AJ619" s="2" t="str">
        <f>HYPERLINK("https://keepa.com/#!product/1-B0B4862QNJ", "https://keepa.com/#!product/1-B0B4862QNJ")</f>
      </c>
      <c r="AK619" s="2" t="str">
        <f>HYPERLINK("https://camelcamelcamel.com/search?sq=B0B4862QNJ", "https://camelcamelcamel.com/search?sq=B0B4862QNJ")</f>
      </c>
      <c r="AL619" t="inlineStr">
        <is>
          <t/>
        </is>
      </c>
      <c r="AM619" s="10">
        <v>45417.11111111111</v>
      </c>
      <c r="AN619" t="inlineStr">
        <is>
          <t>KontrolFreek FPS Freek Galaxy Black for Playstation 4 (PS4) and Playstation 5 (PS5) | Performance Thumbsticks | 1 High-Rise, 1 Mid-Rise | Black (Limited Edition)</t>
        </is>
      </c>
      <c r="AO619" t="inlineStr">
        <is>
          <t>500</t>
        </is>
      </c>
      <c r="AP619" t="inlineStr">
        <is>
          <t>TAKE ALL</t>
        </is>
      </c>
    </row>
    <row r="620">
      <c r="A620" t="inlineStr">
        <is>
          <t>B0B4KK73NB</t>
        </is>
      </c>
      <c r="B620" t="inlineStr">
        <is>
          <t>False</t>
        </is>
      </c>
      <c r="C620" t="inlineStr">
        <is>
          <t>B0B4KK73NB</t>
        </is>
      </c>
      <c r="D620" t="inlineStr">
        <is>
          <t>BIAT</t>
        </is>
      </c>
      <c r="E620" t="inlineStr">
        <is>
          <t>False</t>
        </is>
      </c>
      <c r="F620" t="inlineStr">
        <is>
          <t>Headlamp Rechargeable 2PCS, 230° Wide Beam Head Lamp LED with Motion Sensor for Adults - Camping Accessories Gear, Waterproof Head Light Flashlight for Hiking, Running, Repairing, Fishing, Cycling</t>
        </is>
      </c>
      <c r="G620">
        <v>1</v>
      </c>
      <c r="H620" s="2" t="str">
        <f>HYPERLINK("https://www.amazon.com/dp/B0B4KK73NB", "https://www.amazon.com/dp/B0B4KK73NB")</f>
      </c>
      <c r="I620" s="3">
        <v>5534</v>
      </c>
      <c r="J620" s="4">
        <v>5.21</v>
      </c>
      <c r="K620" s="5">
        <v>0.20850000000000002</v>
      </c>
      <c r="L620" s="15">
        <v>0.43420000000000003</v>
      </c>
      <c r="M620" t="inlineStr">
        <is>
          <t>True</t>
        </is>
      </c>
      <c r="N620" t="inlineStr">
        <is>
          <t>Tools &amp; Home Improvement</t>
        </is>
      </c>
      <c r="O620" s="6">
        <v>842</v>
      </c>
      <c r="P620" s="6">
        <v>398</v>
      </c>
      <c r="Q620" s="6">
        <v>113</v>
      </c>
      <c r="R620" s="6">
        <v>251</v>
      </c>
      <c r="S620" s="7">
        <v>12</v>
      </c>
      <c r="T620" s="7">
        <v>24.99</v>
      </c>
      <c r="U620">
        <v>24.21</v>
      </c>
      <c r="V620" s="8">
        <v>0</v>
      </c>
      <c r="W620" s="7">
        <v>0</v>
      </c>
      <c r="X620" s="7">
        <v>0</v>
      </c>
      <c r="Y620">
        <v>0.42</v>
      </c>
      <c r="Z620" s="8">
        <v>0</v>
      </c>
      <c r="AB620">
        <v>0</v>
      </c>
      <c r="AC620">
        <v>0</v>
      </c>
      <c r="AD620">
        <v>1</v>
      </c>
      <c r="AE620">
        <v>1</v>
      </c>
      <c r="AF620">
        <v>0</v>
      </c>
      <c r="AG620">
        <v>1</v>
      </c>
      <c r="AH620">
        <v>2</v>
      </c>
      <c r="AI620" t="inlineStr">
        <is>
          <t>True</t>
        </is>
      </c>
      <c r="AJ620" s="2" t="str">
        <f>HYPERLINK("https://keepa.com/#!product/1-B0B4KK73NB", "https://keepa.com/#!product/1-B0B4KK73NB")</f>
      </c>
      <c r="AK620" s="2" t="str">
        <f>HYPERLINK("https://camelcamelcamel.com/search?sq=B0B4KK73NB", "https://camelcamelcamel.com/search?sq=B0B4KK73NB")</f>
      </c>
      <c r="AL620" t="inlineStr">
        <is>
          <t/>
        </is>
      </c>
      <c r="AM620" s="10">
        <v>45417.11111111111</v>
      </c>
      <c r="AN620" t="inlineStr">
        <is>
          <t>Headlamp Rechargeable 2PCS, 230Â° Wide Beam Head Lamp LED with Motion Sensor for Adults - Camping Accessories Gear, Waterproof Head Light Flashlight for Hiking, Running, Repairing, Fishing, Cycling</t>
        </is>
      </c>
      <c r="AO620" t="inlineStr">
        <is>
          <t>1000</t>
        </is>
      </c>
      <c r="AP620" t="inlineStr">
        <is>
          <t>TAKE ALL</t>
        </is>
      </c>
    </row>
    <row r="621">
      <c r="A621" t="inlineStr">
        <is>
          <t>B0B52K15VY</t>
        </is>
      </c>
      <c r="B621" t="inlineStr">
        <is>
          <t>False</t>
        </is>
      </c>
      <c r="C621" t="inlineStr">
        <is>
          <t>B0B52K15VY</t>
        </is>
      </c>
      <c r="D621" t="inlineStr">
        <is>
          <t>Halo</t>
        </is>
      </c>
      <c r="E621" t="inlineStr">
        <is>
          <t>False</t>
        </is>
      </c>
      <c r="F621" t="inlineStr">
        <is>
          <t>HALO Bolt Air +, Portable Vehicle Jump Starter with Air Compressor, Power Bank with Digital Display Charges Multiple Devices, Bolt Air+</t>
        </is>
      </c>
      <c r="G621">
        <v>1</v>
      </c>
      <c r="H621" s="2" t="str">
        <f>HYPERLINK("https://www.amazon.com/dp/B0B52K15VY", "https://www.amazon.com/dp/B0B52K15VY")</f>
      </c>
      <c r="I621" s="3">
        <v>410</v>
      </c>
      <c r="J621" s="4">
        <v>58</v>
      </c>
      <c r="K621" s="15">
        <v>0.3923</v>
      </c>
      <c r="L621" s="15">
        <v>0.8992</v>
      </c>
      <c r="M621" t="inlineStr">
        <is>
          <t>True</t>
        </is>
      </c>
      <c r="N621" t="inlineStr">
        <is>
          <t>Automotive</t>
        </is>
      </c>
      <c r="O621" s="6">
        <v>13060</v>
      </c>
      <c r="P621" s="6">
        <v>9869</v>
      </c>
      <c r="Q621" s="6">
        <v>2139</v>
      </c>
      <c r="R621" s="6">
        <v>180</v>
      </c>
      <c r="S621" s="7">
        <v>64.5</v>
      </c>
      <c r="T621" s="7">
        <v>147.83</v>
      </c>
      <c r="U621">
        <v>145.35</v>
      </c>
      <c r="V621" s="8">
        <v>0</v>
      </c>
      <c r="W621" s="7">
        <v>0</v>
      </c>
      <c r="X621" s="7">
        <v>0</v>
      </c>
      <c r="Y621">
        <v>4.25</v>
      </c>
      <c r="Z621" s="9">
        <v>0.81</v>
      </c>
      <c r="AB621">
        <v>0</v>
      </c>
      <c r="AC621">
        <v>0</v>
      </c>
      <c r="AD621">
        <v>3</v>
      </c>
      <c r="AE621">
        <v>1</v>
      </c>
      <c r="AF621">
        <v>0</v>
      </c>
      <c r="AG621">
        <v>1</v>
      </c>
      <c r="AH621">
        <v>2</v>
      </c>
      <c r="AI621" t="inlineStr">
        <is>
          <t>True</t>
        </is>
      </c>
      <c r="AJ621" s="2" t="str">
        <f>HYPERLINK("https://keepa.com/#!product/1-B0B52K15VY", "https://keepa.com/#!product/1-B0B52K15VY")</f>
      </c>
      <c r="AK621" s="2" t="str">
        <f>HYPERLINK("https://camelcamelcamel.com/search?sq=B0B52K15VY", "https://camelcamelcamel.com/search?sq=B0B52K15VY")</f>
      </c>
      <c r="AL621" t="inlineStr">
        <is>
          <t/>
        </is>
      </c>
      <c r="AM621" s="10">
        <v>45417.11111111111</v>
      </c>
      <c r="AN621" t="inlineStr">
        <is>
          <t>HALO Bolt Air +, Portable Vehicle Jump Starter with Air Compressor, Power Bank with Digital Display Charges Multiple Devices, Bolt Air+</t>
        </is>
      </c>
      <c r="AO621" t="inlineStr">
        <is>
          <t>100</t>
        </is>
      </c>
      <c r="AP621" t="inlineStr">
        <is>
          <t>TAKE ALL</t>
        </is>
      </c>
    </row>
    <row r="622">
      <c r="A622" t="inlineStr">
        <is>
          <t>B0B5FJ34NB</t>
        </is>
      </c>
      <c r="B622" t="inlineStr">
        <is>
          <t>False</t>
        </is>
      </c>
      <c r="C622" t="inlineStr">
        <is>
          <t>B0B5FJ34NB</t>
        </is>
      </c>
      <c r="D622" t="inlineStr">
        <is>
          <t>Sunbeam</t>
        </is>
      </c>
      <c r="E622" t="inlineStr">
        <is>
          <t>False</t>
        </is>
      </c>
      <c r="F622" t="inlineStr">
        <is>
          <t>Sunbeam Professional Steam Iron, 1700 Watt, Large Nonstick Ceramic Soleplate, Horizontal or Vertical Shot of Steam, Self Cleaning, Large LED Screen and Bright LED Lights, 8' Swivel Cord, Black/Red</t>
        </is>
      </c>
      <c r="G622">
        <v>1</v>
      </c>
      <c r="H622" s="2" t="str">
        <f>HYPERLINK("https://www.amazon.com/dp/B0B5FJ34NB", "https://www.amazon.com/dp/B0B5FJ34NB")</f>
      </c>
      <c r="I622" s="3">
        <v>229</v>
      </c>
      <c r="J622" s="4">
        <v>15.22</v>
      </c>
      <c r="K622" s="5">
        <v>0.25379999999999997</v>
      </c>
      <c r="L622" s="15">
        <v>0.534</v>
      </c>
      <c r="M622" t="inlineStr">
        <is>
          <t>True</t>
        </is>
      </c>
      <c r="N622" t="inlineStr">
        <is>
          <t>Home &amp; Kitchen</t>
        </is>
      </c>
      <c r="O622" s="6">
        <v>111180</v>
      </c>
      <c r="P622" s="6">
        <v>124137</v>
      </c>
      <c r="Q622" s="6">
        <v>69330</v>
      </c>
      <c r="R622" s="6">
        <v>145</v>
      </c>
      <c r="S622" s="7">
        <v>28.5</v>
      </c>
      <c r="T622" s="7">
        <v>59.98</v>
      </c>
      <c r="U622">
        <v>58.12</v>
      </c>
      <c r="V622" s="8">
        <v>0</v>
      </c>
      <c r="W622" s="7">
        <v>0</v>
      </c>
      <c r="X622" s="7">
        <v>0</v>
      </c>
      <c r="Y622">
        <v>3.86</v>
      </c>
      <c r="Z622" s="9">
        <v>1</v>
      </c>
      <c r="AB622">
        <v>0</v>
      </c>
      <c r="AC622">
        <v>0</v>
      </c>
      <c r="AD622">
        <v>9</v>
      </c>
      <c r="AE622">
        <v>2</v>
      </c>
      <c r="AF622">
        <v>0</v>
      </c>
      <c r="AG622">
        <v>1</v>
      </c>
      <c r="AH622">
        <v>2</v>
      </c>
      <c r="AI622" t="inlineStr">
        <is>
          <t>False</t>
        </is>
      </c>
      <c r="AJ622" s="2" t="str">
        <f>HYPERLINK("https://keepa.com/#!product/1-B0B5FJ34NB", "https://keepa.com/#!product/1-B0B5FJ34NB")</f>
      </c>
      <c r="AK622" s="2" t="str">
        <f>HYPERLINK("https://camelcamelcamel.com/search?sq=B0B5FJ34NB", "https://camelcamelcamel.com/search?sq=B0B5FJ34NB")</f>
      </c>
      <c r="AL622" t="inlineStr">
        <is>
          <t/>
        </is>
      </c>
      <c r="AM622" s="10">
        <v>45417.11111111111</v>
      </c>
      <c r="AN622" t="inlineStr">
        <is>
          <t>Sunbeam Professional Steam Iron, 1700 Watt, Large Nonstick Ceramic Soleplate, Horizontal or Vertical Shot of Steam, Self Cleaning, Large LED Screen and Bright LED Lights, 8' Swivel Cord, Black/Red</t>
        </is>
      </c>
      <c r="AO622" t="inlineStr">
        <is>
          <t>1000</t>
        </is>
      </c>
      <c r="AP622" t="inlineStr">
        <is>
          <t>250</t>
        </is>
      </c>
    </row>
    <row r="623">
      <c r="A623" t="inlineStr">
        <is>
          <t>B0B5YN1FW7</t>
        </is>
      </c>
      <c r="B623" t="inlineStr">
        <is>
          <t>False</t>
        </is>
      </c>
      <c r="C623" t="inlineStr">
        <is>
          <t>B0B5YN1FW7</t>
        </is>
      </c>
      <c r="D623" t="inlineStr">
        <is>
          <t>Ka'Chava</t>
        </is>
      </c>
      <c r="E623" t="inlineStr">
        <is>
          <t>False</t>
        </is>
      </c>
      <c r="F623" t="inlineStr">
        <is>
          <t>Ka’Chava All-In-One Nutrition Shake Blend, 85+ Superfoods &amp; Nutrients, Meal Replacement, Greens Plant-Based Superfood Powder Protein Drink, Digestive Enzymes &amp; Probiotics, Vegan Dairy Gluten Free, 2lb</t>
        </is>
      </c>
      <c r="G623">
        <v>1</v>
      </c>
      <c r="H623" s="2" t="str">
        <f>HYPERLINK("https://www.amazon.com/dp/B0B5YN1FW7", "https://www.amazon.com/dp/B0B5YN1FW7")</f>
      </c>
      <c r="I623" s="3">
        <v>9035</v>
      </c>
      <c r="J623" s="4">
        <v>28</v>
      </c>
      <c r="K623" s="15">
        <v>0.35</v>
      </c>
      <c r="L623" s="15">
        <v>0.8234999999999999</v>
      </c>
      <c r="M623" t="inlineStr">
        <is>
          <t>True</t>
        </is>
      </c>
      <c r="N623" t="inlineStr">
        <is>
          <t>Grocery &amp; Gourmet Food</t>
        </is>
      </c>
      <c r="O623" s="6">
        <v>310</v>
      </c>
      <c r="P623" s="6">
        <v>723</v>
      </c>
      <c r="Q623" s="6">
        <v>271</v>
      </c>
      <c r="R623" s="6">
        <v>244</v>
      </c>
      <c r="S623" s="7">
        <v>34</v>
      </c>
      <c r="T623" s="7">
        <v>79.99</v>
      </c>
      <c r="U623">
        <v>70.8</v>
      </c>
      <c r="V623" s="8">
        <v>0</v>
      </c>
      <c r="W623" s="7">
        <v>0</v>
      </c>
      <c r="X623" s="7">
        <v>0</v>
      </c>
      <c r="Y623">
        <v>2.16</v>
      </c>
      <c r="Z623" s="8">
        <v>0</v>
      </c>
      <c r="AB623">
        <v>0</v>
      </c>
      <c r="AC623">
        <v>0</v>
      </c>
      <c r="AD623">
        <v>2</v>
      </c>
      <c r="AE623">
        <v>1</v>
      </c>
      <c r="AF623">
        <v>1</v>
      </c>
      <c r="AG623">
        <v>1</v>
      </c>
      <c r="AH623">
        <v>8</v>
      </c>
      <c r="AI623" t="inlineStr">
        <is>
          <t>False</t>
        </is>
      </c>
      <c r="AJ623" s="2" t="str">
        <f>HYPERLINK("https://keepa.com/#!product/1-B0B5YN1FW7", "https://keepa.com/#!product/1-B0B5YN1FW7")</f>
      </c>
      <c r="AK623" s="2" t="str">
        <f>HYPERLINK("https://camelcamelcamel.com/search?sq=B0B5YN1FW7", "https://camelcamelcamel.com/search?sq=B0B5YN1FW7")</f>
      </c>
      <c r="AL623" t="inlineStr">
        <is>
          <t/>
        </is>
      </c>
      <c r="AM623" s="10">
        <v>45417.11111111111</v>
      </c>
      <c r="AN623" t="inlineStr">
        <is>
          <t>Kaâ€™Chava All-In-One Nutrition Shake Blend, Coconut Acai, Superfoods, 26 Vitamins and Minerals, 25g Plant-Based Protein</t>
        </is>
      </c>
      <c r="AO623" t="inlineStr">
        <is>
          <t>300</t>
        </is>
      </c>
      <c r="AP623" t="inlineStr">
        <is>
          <t>TAKE ALL</t>
        </is>
      </c>
    </row>
    <row r="624">
      <c r="A624" t="inlineStr">
        <is>
          <t>B0B61XH5YT</t>
        </is>
      </c>
      <c r="B624" t="inlineStr">
        <is>
          <t>False</t>
        </is>
      </c>
      <c r="C624" t="inlineStr">
        <is>
          <t>B0B61XH5YT</t>
        </is>
      </c>
      <c r="D624" t="inlineStr">
        <is>
          <t>Dyson</t>
        </is>
      </c>
      <c r="E624" t="inlineStr">
        <is>
          <t>False</t>
        </is>
      </c>
      <c r="F624" t="inlineStr">
        <is>
          <t>Dyson Airwrap™ Multi-Styler Complete Long, Nickel/Copper</t>
        </is>
      </c>
      <c r="G624">
        <v>1</v>
      </c>
      <c r="H624" s="2" t="str">
        <f>HYPERLINK("https://www.amazon.com/dp/B0B61XH5YT", "https://www.amazon.com/dp/B0B61XH5YT")</f>
      </c>
      <c r="I624" s="3">
        <v>7995</v>
      </c>
      <c r="J624" s="4">
        <v>130.57</v>
      </c>
      <c r="K624" s="5">
        <v>0.218</v>
      </c>
      <c r="L624" s="15">
        <v>0.3529</v>
      </c>
      <c r="M624" t="inlineStr">
        <is>
          <t>True</t>
        </is>
      </c>
      <c r="N624" t="inlineStr">
        <is>
          <t>Beauty &amp; Personal Care</t>
        </is>
      </c>
      <c r="O624" s="6">
        <v>1988</v>
      </c>
      <c r="P624" s="6">
        <v>2825</v>
      </c>
      <c r="Q624" s="6">
        <v>1182</v>
      </c>
      <c r="R624" s="6">
        <v>292</v>
      </c>
      <c r="S624" s="7">
        <v>370</v>
      </c>
      <c r="T624" s="7">
        <v>599</v>
      </c>
      <c r="U624">
        <v>597.65</v>
      </c>
      <c r="V624" s="8">
        <v>0</v>
      </c>
      <c r="W624" s="7">
        <v>0</v>
      </c>
      <c r="X624" s="7">
        <v>0</v>
      </c>
      <c r="Y624">
        <v>6.83</v>
      </c>
      <c r="Z624" s="9">
        <v>1</v>
      </c>
      <c r="AB624">
        <v>0</v>
      </c>
      <c r="AC624">
        <v>0</v>
      </c>
      <c r="AD624">
        <v>2</v>
      </c>
      <c r="AE624">
        <v>1</v>
      </c>
      <c r="AF624">
        <v>1</v>
      </c>
      <c r="AG624">
        <v>1</v>
      </c>
      <c r="AH624">
        <v>4</v>
      </c>
      <c r="AI624" t="inlineStr">
        <is>
          <t>False</t>
        </is>
      </c>
      <c r="AJ624" s="2" t="str">
        <f>HYPERLINK("https://keepa.com/#!product/1-B0B61XH5YT", "https://keepa.com/#!product/1-B0B61XH5YT")</f>
      </c>
      <c r="AK624" s="2" t="str">
        <f>HYPERLINK("https://camelcamelcamel.com/search?sq=B0B61XH5YT", "https://camelcamelcamel.com/search?sq=B0B61XH5YT")</f>
      </c>
      <c r="AL624" t="inlineStr">
        <is>
          <t/>
        </is>
      </c>
      <c r="AM624" s="10">
        <v>45417.11111111111</v>
      </c>
      <c r="AN624" t="inlineStr">
        <is>
          <t>Dyson Airwrap</t>
        </is>
      </c>
      <c r="AO624" t="inlineStr">
        <is>
          <t>200</t>
        </is>
      </c>
      <c r="AP624" t="inlineStr">
        <is>
          <t>100</t>
        </is>
      </c>
    </row>
    <row r="625">
      <c r="A625" t="inlineStr">
        <is>
          <t>B0B624V1RL</t>
        </is>
      </c>
      <c r="B625" t="inlineStr">
        <is>
          <t>False</t>
        </is>
      </c>
      <c r="C625" t="inlineStr">
        <is>
          <t>B0B624V1RL</t>
        </is>
      </c>
      <c r="D625" t="inlineStr">
        <is>
          <t>Ruboxa</t>
        </is>
      </c>
      <c r="E625" t="inlineStr">
        <is>
          <t>False</t>
        </is>
      </c>
      <c r="F625" t="inlineStr">
        <is>
          <t>Dresser Organizer, [4 Pk] Grey Fabric Dresser Drawer Organizers (4 Sizes With 45 Slots) Foldable Underwear Drawer Organizer Breathable Bins for Bra, Lingerie, Socks, Scarves, Belt, Tie, Baby Clothes.</t>
        </is>
      </c>
      <c r="G625">
        <v>1</v>
      </c>
      <c r="H625" s="2" t="str">
        <f>HYPERLINK("https://www.amazon.com/dp/B0B624V1RL", "https://www.amazon.com/dp/B0B624V1RL")</f>
      </c>
      <c r="I625" s="3">
        <v>529</v>
      </c>
      <c r="J625" s="12">
        <v>-4.8</v>
      </c>
      <c r="K625" s="13">
        <v>-0.2585</v>
      </c>
      <c r="L625" s="13">
        <v>-0.331</v>
      </c>
      <c r="M625" t="inlineStr">
        <is>
          <t>True</t>
        </is>
      </c>
      <c r="N625" t="inlineStr">
        <is>
          <t>Home &amp; Kitchen</t>
        </is>
      </c>
      <c r="O625" s="6">
        <v>51275</v>
      </c>
      <c r="P625" s="6">
        <v>34948</v>
      </c>
      <c r="Q625" s="6">
        <v>969</v>
      </c>
      <c r="R625" s="6">
        <v>124</v>
      </c>
      <c r="S625" s="7">
        <v>14.5</v>
      </c>
      <c r="T625" s="7">
        <v>18.57</v>
      </c>
      <c r="U625">
        <v>22.63</v>
      </c>
      <c r="V625" s="8">
        <v>0</v>
      </c>
      <c r="W625" s="7">
        <v>0</v>
      </c>
      <c r="X625" s="7">
        <v>0</v>
      </c>
      <c r="Y625">
        <v>1.43</v>
      </c>
      <c r="Z625" s="9">
        <v>1</v>
      </c>
      <c r="AB625">
        <v>0</v>
      </c>
      <c r="AC625">
        <v>0</v>
      </c>
      <c r="AD625">
        <v>5</v>
      </c>
      <c r="AE625">
        <v>1</v>
      </c>
      <c r="AF625">
        <v>0</v>
      </c>
      <c r="AG625">
        <v>1</v>
      </c>
      <c r="AH625">
        <v>14</v>
      </c>
      <c r="AI625" t="inlineStr">
        <is>
          <t>False</t>
        </is>
      </c>
      <c r="AJ625" s="2" t="str">
        <f>HYPERLINK("https://keepa.com/#!product/1-B0B624V1RL", "https://keepa.com/#!product/1-B0B624V1RL")</f>
      </c>
      <c r="AK625" s="2" t="str">
        <f>HYPERLINK("https://camelcamelcamel.com/search?sq=B0B624V1RL", "https://camelcamelcamel.com/search?sq=B0B624V1RL")</f>
      </c>
      <c r="AL625" t="inlineStr">
        <is>
          <t/>
        </is>
      </c>
      <c r="AM625" s="10">
        <v>45417.11111111111</v>
      </c>
      <c r="AN625" t="inlineStr">
        <is>
          <t>Dresser Organizer, [4 Pk] Grey Fabric Dresser Drawer Organizers (4 Sizes With 45 Slots) Foldable Underwear Drawer Organizer Breathable Bins for Bra, Lingerie, Socks, Scarves, Belt, Tie, Baby Clothes.</t>
        </is>
      </c>
      <c r="AO625" t="inlineStr">
        <is>
          <t>50000</t>
        </is>
      </c>
      <c r="AP625" t="inlineStr">
        <is>
          <t>1000</t>
        </is>
      </c>
    </row>
    <row r="626">
      <c r="A626" t="inlineStr">
        <is>
          <t>B0B74WSNMZ</t>
        </is>
      </c>
      <c r="B626" t="inlineStr">
        <is>
          <t>False</t>
        </is>
      </c>
      <c r="C626" t="inlineStr">
        <is>
          <t>B0B74WSNMZ</t>
        </is>
      </c>
      <c r="D626" t="inlineStr">
        <is>
          <t>Shell</t>
        </is>
      </c>
      <c r="E626" t="inlineStr">
        <is>
          <t>False</t>
        </is>
      </c>
      <c r="F626" t="inlineStr">
        <is>
          <t>Shell 2000W Portable Power Station, 1997Wh LiFePO4 Battery, Solar Power Generator with 6 AC Outlets (Solar Panel Optional), 2 USB-C Ports 100W Max, UPS Power Supply, LED Light for Home Emergency</t>
        </is>
      </c>
      <c r="G626">
        <v>1</v>
      </c>
      <c r="H626" s="2" t="str">
        <f>HYPERLINK("https://www.amazon.com/dp/B0B74WSNMZ", "https://www.amazon.com/dp/B0B74WSNMZ")</f>
      </c>
      <c r="I626" s="3">
        <v>63</v>
      </c>
      <c r="M626" t="inlineStr">
        <is>
          <t>True</t>
        </is>
      </c>
      <c r="N626" t="inlineStr">
        <is>
          <t>Patio, Lawn &amp; Garden</t>
        </is>
      </c>
      <c r="O626" s="6">
        <v>88622</v>
      </c>
      <c r="P626" s="6">
        <v>117875</v>
      </c>
      <c r="Q626" s="6">
        <v>42261</v>
      </c>
      <c r="R626" s="6">
        <v>55</v>
      </c>
      <c r="S626" s="7">
        <v>730</v>
      </c>
      <c r="U626">
        <v>1299.65</v>
      </c>
      <c r="X626" s="7">
        <v>0</v>
      </c>
      <c r="Y626">
        <v>55</v>
      </c>
      <c r="Z626" s="8">
        <v>0</v>
      </c>
      <c r="AB626">
        <v>0</v>
      </c>
      <c r="AC626">
        <v>0</v>
      </c>
      <c r="AD626">
        <v>0</v>
      </c>
      <c r="AE626">
        <v>0</v>
      </c>
      <c r="AF626">
        <v>0</v>
      </c>
      <c r="AG626">
        <v>0</v>
      </c>
      <c r="AH626">
        <v>1</v>
      </c>
      <c r="AI626" t="inlineStr">
        <is>
          <t>True</t>
        </is>
      </c>
      <c r="AJ626" s="2" t="str">
        <f>HYPERLINK("https://keepa.com/#!product/1-B0B74WSNMZ", "https://keepa.com/#!product/1-B0B74WSNMZ")</f>
      </c>
      <c r="AK626" s="2" t="str">
        <f>HYPERLINK("https://camelcamelcamel.com/search?sq=B0B74WSNMZ", "https://camelcamelcamel.com/search?sq=B0B74WSNMZ")</f>
      </c>
      <c r="AL626" t="inlineStr">
        <is>
          <t/>
        </is>
      </c>
      <c r="AM626" s="10">
        <v>45417.11111111111</v>
      </c>
      <c r="AN626" t="inlineStr">
        <is>
          <t>Shell 2000W Portable Power Station, 1997Wh LiFePO4 Battery, Solar Power Generator with 6 AC Outlets (Solar Panel Optional), 2 USB-C Ports 100W Max, UPS Power Supply, LED Light for Home Emergency</t>
        </is>
      </c>
      <c r="AO626" t="inlineStr">
        <is>
          <t>100</t>
        </is>
      </c>
      <c r="AP626" t="inlineStr">
        <is>
          <t>TAKE ALL</t>
        </is>
      </c>
    </row>
    <row r="627">
      <c r="A627" t="inlineStr">
        <is>
          <t>B0B75P5N1F</t>
        </is>
      </c>
      <c r="B627" t="inlineStr">
        <is>
          <t>False</t>
        </is>
      </c>
      <c r="C627" t="inlineStr">
        <is>
          <t>B0B75P5N1F</t>
        </is>
      </c>
      <c r="D627" t="inlineStr">
        <is>
          <t>ONE A DAY</t>
        </is>
      </c>
      <c r="E627" t="inlineStr">
        <is>
          <t>False</t>
        </is>
      </c>
      <c r="F627" t="inlineStr">
        <is>
          <t>One A Day Multi+ Hair, Skin, &amp; Nails Complete Multivitamin Tablet, A Boost of Support for Healthy Hair, Skin &amp; Nails with Biotin and Vitamin A, C, Vitamin E &amp; Zinc, 120 Count (4 Months Supply)</t>
        </is>
      </c>
      <c r="G627">
        <v>1</v>
      </c>
      <c r="H627" s="2" t="str">
        <f>HYPERLINK("https://www.amazon.com/dp/B0B75P5N1F", "https://www.amazon.com/dp/B0B75P5N1F")</f>
      </c>
      <c r="I627" s="3">
        <v>573</v>
      </c>
      <c r="J627" s="11">
        <v>1.07</v>
      </c>
      <c r="K627" s="5">
        <v>0.0674</v>
      </c>
      <c r="L627" s="5">
        <v>0.1297</v>
      </c>
      <c r="M627" t="inlineStr">
        <is>
          <t>True</t>
        </is>
      </c>
      <c r="N627" t="inlineStr">
        <is>
          <t>Health &amp; Household</t>
        </is>
      </c>
      <c r="O627" s="6">
        <v>33902</v>
      </c>
      <c r="P627" s="6">
        <v>43307</v>
      </c>
      <c r="Q627" s="6">
        <v>26527</v>
      </c>
      <c r="R627" s="6">
        <v>189</v>
      </c>
      <c r="S627" s="7">
        <v>8.25</v>
      </c>
      <c r="T627" s="7">
        <v>15.87</v>
      </c>
      <c r="U627">
        <v>15.34</v>
      </c>
      <c r="V627" s="8">
        <v>0</v>
      </c>
      <c r="W627" s="7">
        <v>0</v>
      </c>
      <c r="X627" s="7">
        <v>0</v>
      </c>
      <c r="Y627">
        <v>0.6</v>
      </c>
      <c r="Z627" s="9">
        <v>0.07</v>
      </c>
      <c r="AB627">
        <v>0</v>
      </c>
      <c r="AC627">
        <v>0</v>
      </c>
      <c r="AD627">
        <v>6</v>
      </c>
      <c r="AE627">
        <v>2</v>
      </c>
      <c r="AF627">
        <v>4</v>
      </c>
      <c r="AG627">
        <v>2</v>
      </c>
      <c r="AH627">
        <v>0</v>
      </c>
      <c r="AI627" t="inlineStr">
        <is>
          <t>False</t>
        </is>
      </c>
      <c r="AJ627" s="2" t="str">
        <f>HYPERLINK("https://keepa.com/#!product/1-B0B75P5N1F", "https://keepa.com/#!product/1-B0B75P5N1F")</f>
      </c>
      <c r="AK627" s="2" t="str">
        <f>HYPERLINK("https://camelcamelcamel.com/search?sq=B0B75P5N1F", "https://camelcamelcamel.com/search?sq=B0B75P5N1F")</f>
      </c>
      <c r="AL627" t="inlineStr">
        <is>
          <t/>
        </is>
      </c>
      <c r="AM627" s="10">
        <v>45417.11111111111</v>
      </c>
      <c r="AN627" t="inlineStr">
        <is>
          <t>One A Day Multi+ Hair, Skin, &amp; Nails Complete Multivitamin Tablet, A Boost of Support for Healthy Hair, Skin &amp; Nails with Biotin and Vitamin A, C, Vitamin E &amp; Zinc, 120 Count (4 Months Supply)</t>
        </is>
      </c>
      <c r="AO627" t="inlineStr">
        <is>
          <t>1500</t>
        </is>
      </c>
      <c r="AP627" t="inlineStr">
        <is>
          <t>TAKE ALL</t>
        </is>
      </c>
    </row>
    <row r="628">
      <c r="A628" t="inlineStr">
        <is>
          <t>B0B76XG3B8</t>
        </is>
      </c>
      <c r="B628" t="inlineStr">
        <is>
          <t>False</t>
        </is>
      </c>
      <c r="C628" t="inlineStr">
        <is>
          <t>B0B76XG3B8</t>
        </is>
      </c>
      <c r="D628" t="inlineStr">
        <is>
          <t>YOXINTA</t>
        </is>
      </c>
      <c r="E628" t="inlineStr">
        <is>
          <t>False</t>
        </is>
      </c>
      <c r="F628" t="inlineStr">
        <is>
          <t>Wireless Charger, 3 in 1 Wireless Charging Station, Fast Wireless Charger Stand for iPhone 15 14 13 12 11 Pro Max XR XS 8 Plus, for Apple Watch 8 7 6 5 4 3 2 SE,for AirPods Pro 3 2 (Black)</t>
        </is>
      </c>
      <c r="G628">
        <v>1</v>
      </c>
      <c r="H628" s="2" t="str">
        <f>HYPERLINK("https://www.amazon.com/dp/B0B76XG3B8", "https://www.amazon.com/dp/B0B76XG3B8")</f>
      </c>
      <c r="I628" s="3">
        <v>23375</v>
      </c>
      <c r="J628" s="12">
        <v>-0.91</v>
      </c>
      <c r="K628" s="13">
        <v>-0.0701</v>
      </c>
      <c r="L628" s="13">
        <v>-0.10710000000000001</v>
      </c>
      <c r="M628" t="inlineStr">
        <is>
          <t>True</t>
        </is>
      </c>
      <c r="N628" t="inlineStr">
        <is>
          <t>Cell Phones &amp; Accessories</t>
        </is>
      </c>
      <c r="O628" s="6">
        <v>61</v>
      </c>
      <c r="P628" s="6">
        <v>74</v>
      </c>
      <c r="Q628" s="6">
        <v>35</v>
      </c>
      <c r="R628" s="6">
        <v>260</v>
      </c>
      <c r="S628" s="7">
        <v>8.5</v>
      </c>
      <c r="T628" s="7">
        <v>12.99</v>
      </c>
      <c r="U628">
        <v>18.86</v>
      </c>
      <c r="V628" s="8">
        <v>0</v>
      </c>
      <c r="W628" s="7">
        <v>0</v>
      </c>
      <c r="X628" s="7">
        <v>0</v>
      </c>
      <c r="Y628">
        <v>0.53</v>
      </c>
      <c r="Z628" s="8">
        <v>0</v>
      </c>
      <c r="AB628">
        <v>0</v>
      </c>
      <c r="AC628">
        <v>0</v>
      </c>
      <c r="AD628">
        <v>5</v>
      </c>
      <c r="AE628">
        <v>4</v>
      </c>
      <c r="AF628">
        <v>0</v>
      </c>
      <c r="AG628">
        <v>1</v>
      </c>
      <c r="AH628">
        <v>7</v>
      </c>
      <c r="AI628" t="inlineStr">
        <is>
          <t>False</t>
        </is>
      </c>
      <c r="AJ628" s="2" t="str">
        <f>HYPERLINK("https://keepa.com/#!product/1-B0B76XG3B8", "https://keepa.com/#!product/1-B0B76XG3B8")</f>
      </c>
      <c r="AK628" s="2" t="str">
        <f>HYPERLINK("https://camelcamelcamel.com/search?sq=B0B76XG3B8", "https://camelcamelcamel.com/search?sq=B0B76XG3B8")</f>
      </c>
      <c r="AL628" t="inlineStr">
        <is>
          <t/>
        </is>
      </c>
      <c r="AM628" s="10">
        <v>45417.11111111111</v>
      </c>
      <c r="AN628" t="inlineStr">
        <is>
          <t>Wireless Charger, 3 in 1 Wireless Charging Station, Fast Wireless Charger Stand for iPhone 15 14 13 12 11 Pro Max XR XS 8 Plus, for Apple Watch 8 7 6 5 4 3 2 SE,for AirPods Pro 3 2 (Black)</t>
        </is>
      </c>
      <c r="AO628" t="inlineStr">
        <is>
          <t>1000</t>
        </is>
      </c>
      <c r="AP628" t="inlineStr">
        <is>
          <t>TAKE ALL</t>
        </is>
      </c>
    </row>
    <row r="629">
      <c r="A629" t="inlineStr">
        <is>
          <t>B0B781MWLW</t>
        </is>
      </c>
      <c r="B629" t="inlineStr">
        <is>
          <t>False</t>
        </is>
      </c>
      <c r="C629" t="inlineStr">
        <is>
          <t>B0B781MWLW</t>
        </is>
      </c>
      <c r="D629" t="inlineStr">
        <is>
          <t>Chefman</t>
        </is>
      </c>
      <c r="E629" t="inlineStr">
        <is>
          <t>False</t>
        </is>
      </c>
      <c r="F629" t="inlineStr">
        <is>
          <t>Chefman 6-in-1 Espresso Machine with Steamer, Automatic One-Touch Coffee Maker, Single or Double Shot Cappuccino Machine, Latte Maker, Espresso Maker with Milk Frother, Black</t>
        </is>
      </c>
      <c r="G629">
        <v>1</v>
      </c>
      <c r="H629" s="2" t="str">
        <f>HYPERLINK("https://www.amazon.com/dp/B0B781MWLW", "https://www.amazon.com/dp/B0B781MWLW")</f>
      </c>
      <c r="I629" s="14">
        <v>5</v>
      </c>
      <c r="J629" s="4">
        <v>100.65</v>
      </c>
      <c r="K629" s="15">
        <v>0.4793</v>
      </c>
      <c r="L629" s="15">
        <v>1.5727000000000002</v>
      </c>
      <c r="M629" t="inlineStr">
        <is>
          <t>True</t>
        </is>
      </c>
      <c r="N629" t="inlineStr">
        <is>
          <t>Home &amp; Kitchen</t>
        </is>
      </c>
      <c r="O629" s="6">
        <v>706160</v>
      </c>
      <c r="P629" s="6">
        <v>570875</v>
      </c>
      <c r="Q629" s="6">
        <v>174469</v>
      </c>
      <c r="R629" s="6">
        <v>55</v>
      </c>
      <c r="S629" s="7">
        <v>64</v>
      </c>
      <c r="T629" s="7">
        <v>209.99</v>
      </c>
      <c r="U629">
        <v>178.54</v>
      </c>
      <c r="V629" s="8">
        <v>0</v>
      </c>
      <c r="W629" s="7">
        <v>0</v>
      </c>
      <c r="X629" s="7">
        <v>0</v>
      </c>
      <c r="Y629">
        <v>12.75</v>
      </c>
      <c r="Z629" s="9">
        <v>0.1</v>
      </c>
      <c r="AB629">
        <v>0</v>
      </c>
      <c r="AC629">
        <v>0</v>
      </c>
      <c r="AD629">
        <v>15</v>
      </c>
      <c r="AE629">
        <v>2</v>
      </c>
      <c r="AF629">
        <v>1</v>
      </c>
      <c r="AG629">
        <v>2</v>
      </c>
      <c r="AH629">
        <v>0</v>
      </c>
      <c r="AI629" t="inlineStr">
        <is>
          <t>False</t>
        </is>
      </c>
      <c r="AJ629" s="2" t="str">
        <f>HYPERLINK("https://keepa.com/#!product/1-B0B781MWLW", "https://keepa.com/#!product/1-B0B781MWLW")</f>
      </c>
      <c r="AK629" s="2" t="str">
        <f>HYPERLINK("https://camelcamelcamel.com/search?sq=B0B781MWLW", "https://camelcamelcamel.com/search?sq=B0B781MWLW")</f>
      </c>
      <c r="AL629" t="inlineStr">
        <is>
          <t/>
        </is>
      </c>
      <c r="AM629" s="10">
        <v>45417.11111111111</v>
      </c>
      <c r="AN629" t="inlineStr">
        <is>
          <t>Chefman 6-in-1 Espresso Machine with Steamer, Automatic One-Touch Coffee Maker, Single or Double Shot Cappuccino Machine, Latte Maker, Espresso Maker with Milk Frother, Black</t>
        </is>
      </c>
      <c r="AO629" t="inlineStr">
        <is>
          <t>250</t>
        </is>
      </c>
      <c r="AP629" t="inlineStr">
        <is>
          <t>TAKE ALL</t>
        </is>
      </c>
    </row>
    <row r="630">
      <c r="A630" t="inlineStr">
        <is>
          <t>B0B7CBQM87</t>
        </is>
      </c>
      <c r="B630" t="inlineStr">
        <is>
          <t>False</t>
        </is>
      </c>
      <c r="C630" t="inlineStr">
        <is>
          <t>B0B7CBQM87</t>
        </is>
      </c>
      <c r="D630" t="inlineStr">
        <is>
          <t>Ninja</t>
        </is>
      </c>
      <c r="E630" t="inlineStr">
        <is>
          <t>False</t>
        </is>
      </c>
      <c r="F630" t="inlineStr">
        <is>
          <t>Ninja AF080 Mini Air Fryer, 2 Quarts Capacity, Compact, Nonstick, with Quick Set Timer, Grey</t>
        </is>
      </c>
      <c r="G630">
        <v>1</v>
      </c>
      <c r="H630" s="2" t="str">
        <f>HYPERLINK("https://www.amazon.com/dp/B0B7CBQM87", "https://www.amazon.com/dp/B0B7CBQM87")</f>
      </c>
      <c r="I630" s="3">
        <v>239</v>
      </c>
      <c r="J630" s="12">
        <v>-0.12</v>
      </c>
      <c r="K630" s="13">
        <v>-0.0014000000000000002</v>
      </c>
      <c r="L630" s="13">
        <v>-0.0021</v>
      </c>
      <c r="M630" t="inlineStr">
        <is>
          <t>True</t>
        </is>
      </c>
      <c r="N630" t="inlineStr">
        <is>
          <t>Kitchen &amp; Dining</t>
        </is>
      </c>
      <c r="O630" s="6">
        <v>30053</v>
      </c>
      <c r="P630" s="6">
        <v>25698</v>
      </c>
      <c r="Q630" s="6">
        <v>14021</v>
      </c>
      <c r="R630" s="6">
        <v>206</v>
      </c>
      <c r="S630" s="7">
        <v>58.5</v>
      </c>
      <c r="T630" s="7">
        <v>82.98</v>
      </c>
      <c r="U630">
        <v>86.12</v>
      </c>
      <c r="V630" s="8">
        <v>0</v>
      </c>
      <c r="W630" s="7">
        <v>0</v>
      </c>
      <c r="X630" s="7">
        <v>0</v>
      </c>
      <c r="Y630">
        <v>6.8</v>
      </c>
      <c r="Z630" s="9">
        <v>0.15</v>
      </c>
      <c r="AB630">
        <v>0</v>
      </c>
      <c r="AC630">
        <v>0</v>
      </c>
      <c r="AD630">
        <v>10</v>
      </c>
      <c r="AE630">
        <v>3</v>
      </c>
      <c r="AF630">
        <v>2</v>
      </c>
      <c r="AG630">
        <v>3</v>
      </c>
      <c r="AH630">
        <v>1</v>
      </c>
      <c r="AI630" t="inlineStr">
        <is>
          <t>False</t>
        </is>
      </c>
      <c r="AJ630" s="2" t="str">
        <f>HYPERLINK("https://keepa.com/#!product/1-B0B7CBQM87", "https://keepa.com/#!product/1-B0B7CBQM87")</f>
      </c>
      <c r="AK630" s="2" t="str">
        <f>HYPERLINK("https://camelcamelcamel.com/search?sq=B0B7CBQM87", "https://camelcamelcamel.com/search?sq=B0B7CBQM87")</f>
      </c>
      <c r="AL630" t="inlineStr">
        <is>
          <t/>
        </is>
      </c>
      <c r="AM630" s="10">
        <v>45417.11111111111</v>
      </c>
      <c r="AN630" t="inlineStr">
        <is>
          <t>Ninja AF080 Mini Air Fryer, 2 Quarts Capacity, Compact, Nonstick, with Quick Set Timer, Grey</t>
        </is>
      </c>
      <c r="AO630" t="inlineStr">
        <is>
          <t>300</t>
        </is>
      </c>
      <c r="AP630" t="inlineStr">
        <is>
          <t>TAKE ALL</t>
        </is>
      </c>
    </row>
    <row r="631">
      <c r="A631" t="inlineStr">
        <is>
          <t>B0B7S3JSG7</t>
        </is>
      </c>
      <c r="B631" t="inlineStr">
        <is>
          <t>False</t>
        </is>
      </c>
      <c r="C631" t="inlineStr">
        <is>
          <t>B0B7S3JSG7</t>
        </is>
      </c>
      <c r="D631" t="inlineStr">
        <is>
          <t>REOLINK</t>
        </is>
      </c>
      <c r="E631" t="inlineStr">
        <is>
          <t>False</t>
        </is>
      </c>
      <c r="F631" t="inlineStr">
        <is>
          <t>REOLINK Doorbell WiFi Camera - Wired 5MP Outdoor Video Doorbell, 5G&amp;2.4G WiFi Security Camera System, Smart Detection Local Storage No Subscription Front Door Camera Home Security, Customized Chime V2</t>
        </is>
      </c>
      <c r="G631">
        <v>1</v>
      </c>
      <c r="H631" s="2" t="str">
        <f>HYPERLINK("https://www.amazon.com/dp/B0B7S3JSG7", "https://www.amazon.com/dp/B0B7S3JSG7")</f>
      </c>
      <c r="I631" s="3">
        <v>1530</v>
      </c>
      <c r="J631" s="4">
        <v>34.53</v>
      </c>
      <c r="K631" s="15">
        <v>0.3139</v>
      </c>
      <c r="L631" s="15">
        <v>0.6454000000000001</v>
      </c>
      <c r="M631" t="inlineStr">
        <is>
          <t>True</t>
        </is>
      </c>
      <c r="N631" t="inlineStr">
        <is>
          <t>Tools &amp; Home Improvement</t>
        </is>
      </c>
      <c r="O631" s="6">
        <v>5501</v>
      </c>
      <c r="P631" s="6">
        <v>4333</v>
      </c>
      <c r="Q631" s="6">
        <v>2060</v>
      </c>
      <c r="R631" s="6">
        <v>267</v>
      </c>
      <c r="S631" s="7">
        <v>53.5</v>
      </c>
      <c r="T631" s="7">
        <v>109.99</v>
      </c>
      <c r="U631">
        <v>104.84</v>
      </c>
      <c r="V631" s="8">
        <v>0</v>
      </c>
      <c r="W631" s="7">
        <v>0</v>
      </c>
      <c r="X631" s="7">
        <v>0</v>
      </c>
      <c r="Y631">
        <v>1.5</v>
      </c>
      <c r="Z631" s="8">
        <v>0</v>
      </c>
      <c r="AB631">
        <v>0</v>
      </c>
      <c r="AC631">
        <v>0</v>
      </c>
      <c r="AD631">
        <v>2</v>
      </c>
      <c r="AE631">
        <v>1</v>
      </c>
      <c r="AF631">
        <v>0</v>
      </c>
      <c r="AG631">
        <v>1</v>
      </c>
      <c r="AH631">
        <v>0</v>
      </c>
      <c r="AI631" t="inlineStr">
        <is>
          <t>False</t>
        </is>
      </c>
      <c r="AJ631" s="2" t="str">
        <f>HYPERLINK("https://keepa.com/#!product/1-B0B7S3JSG7", "https://keepa.com/#!product/1-B0B7S3JSG7")</f>
      </c>
      <c r="AK631" s="2" t="str">
        <f>HYPERLINK("https://camelcamelcamel.com/search?sq=B0B7S3JSG7", "https://camelcamelcamel.com/search?sq=B0B7S3JSG7")</f>
      </c>
      <c r="AL631" t="inlineStr">
        <is>
          <t/>
        </is>
      </c>
      <c r="AM631" s="10">
        <v>45417.11111111111</v>
      </c>
      <c r="AN631" t="inlineStr">
        <is>
          <t>REOLINK Doorbell WiFi Camera - Wired 5MP Outdoor Video Doorbell, 5G WiFi Security Camera System, Smart Detection Local Storage No Subscription, Front Door Camera Home Security, Customized Chime V2</t>
        </is>
      </c>
      <c r="AO631" t="inlineStr">
        <is>
          <t>700</t>
        </is>
      </c>
      <c r="AP631" t="inlineStr">
        <is>
          <t>350</t>
        </is>
      </c>
    </row>
    <row r="632">
      <c r="A632" t="inlineStr">
        <is>
          <t>B0B7TNMH82</t>
        </is>
      </c>
      <c r="B632" t="inlineStr">
        <is>
          <t>False</t>
        </is>
      </c>
      <c r="C632" t="inlineStr">
        <is>
          <t>B0B7TNMH82</t>
        </is>
      </c>
      <c r="D632" t="inlineStr">
        <is>
          <t>Boiron</t>
        </is>
      </c>
      <c r="E632" t="inlineStr">
        <is>
          <t>False</t>
        </is>
      </c>
      <c r="F632" t="inlineStr">
        <is>
          <t>Boiron Arnica Bruise - Arnica Montana 30c for Relief of Pain, Swelling, and Discoloration from Bruises - 3 Count (240 Pellets)</t>
        </is>
      </c>
      <c r="G632">
        <v>1</v>
      </c>
      <c r="H632" s="2" t="str">
        <f>HYPERLINK("https://www.amazon.com/dp/B0B7TNMH82", "https://www.amazon.com/dp/B0B7TNMH82")</f>
      </c>
      <c r="I632" s="3">
        <v>2093</v>
      </c>
      <c r="J632" s="11">
        <v>2.01</v>
      </c>
      <c r="K632" s="5">
        <v>0.13720000000000002</v>
      </c>
      <c r="L632" s="5">
        <v>0.2978</v>
      </c>
      <c r="M632" t="inlineStr">
        <is>
          <t>True</t>
        </is>
      </c>
      <c r="N632" t="inlineStr">
        <is>
          <t>Health &amp; Household</t>
        </is>
      </c>
      <c r="O632" s="6">
        <v>12251</v>
      </c>
      <c r="P632" s="6">
        <v>21277</v>
      </c>
      <c r="Q632" s="6">
        <v>11577</v>
      </c>
      <c r="R632" s="6">
        <v>115</v>
      </c>
      <c r="S632" s="7">
        <v>6.75</v>
      </c>
      <c r="T632" s="7">
        <v>14.65</v>
      </c>
      <c r="U632">
        <v>14.83</v>
      </c>
      <c r="V632" s="8">
        <v>0</v>
      </c>
      <c r="W632" s="7">
        <v>0</v>
      </c>
      <c r="X632" s="7">
        <v>0</v>
      </c>
      <c r="Y632">
        <v>0.09</v>
      </c>
      <c r="Z632" s="9">
        <v>1</v>
      </c>
      <c r="AB632">
        <v>0</v>
      </c>
      <c r="AC632">
        <v>0</v>
      </c>
      <c r="AD632">
        <v>6</v>
      </c>
      <c r="AE632">
        <v>5</v>
      </c>
      <c r="AF632">
        <v>1</v>
      </c>
      <c r="AG632">
        <v>3</v>
      </c>
      <c r="AH632">
        <v>1</v>
      </c>
      <c r="AI632" t="inlineStr">
        <is>
          <t>False</t>
        </is>
      </c>
      <c r="AJ632" s="2" t="str">
        <f>HYPERLINK("https://keepa.com/#!product/1-B0B7TNMH82", "https://keepa.com/#!product/1-B0B7TNMH82")</f>
      </c>
      <c r="AK632" s="2" t="str">
        <f>HYPERLINK("https://camelcamelcamel.com/search?sq=B0B7TNMH82", "https://camelcamelcamel.com/search?sq=B0B7TNMH82")</f>
      </c>
      <c r="AL632" t="inlineStr">
        <is>
          <t/>
        </is>
      </c>
      <c r="AM632" s="10">
        <v>45417.11111111111</v>
      </c>
      <c r="AN632" t="inlineStr">
        <is>
          <t>Boiron Arnica Bruise - Arnica Montana 30c for Relief of Pain, Swelling, and Discoloration from Bruises - 3 Count (240 Pellets)</t>
        </is>
      </c>
      <c r="AO632" t="inlineStr">
        <is>
          <t>540</t>
        </is>
      </c>
      <c r="AP632" t="inlineStr">
        <is>
          <t>240</t>
        </is>
      </c>
    </row>
    <row r="633">
      <c r="A633" t="inlineStr">
        <is>
          <t>B0B8BN3WSC</t>
        </is>
      </c>
      <c r="B633" t="inlineStr">
        <is>
          <t>False</t>
        </is>
      </c>
      <c r="C633" t="inlineStr">
        <is>
          <t>B0B8BN3WSC</t>
        </is>
      </c>
      <c r="D633" t="inlineStr">
        <is>
          <t>Bear</t>
        </is>
      </c>
      <c r="E633" t="inlineStr">
        <is>
          <t>True</t>
        </is>
      </c>
      <c r="F633" t="inlineStr">
        <is>
          <t>Bear Steamer for Clothes, Handheld Clothes Steamer,1300W Strong Power Garment Steamer with 230ml Tank,Fast Heat-up, Auto-Off, Steam Iron Fabric Wrinkle Remover with Brush for Home and Travel</t>
        </is>
      </c>
      <c r="G633">
        <v>1</v>
      </c>
      <c r="H633" s="2" t="str">
        <f>HYPERLINK("https://www.amazon.com/dp/B0B8BN3WSC", "https://www.amazon.com/dp/B0B8BN3WSC")</f>
      </c>
      <c r="I633" s="3">
        <v>828</v>
      </c>
      <c r="J633" s="4">
        <v>6.7</v>
      </c>
      <c r="K633" s="5">
        <v>0.1675</v>
      </c>
      <c r="L633" s="15">
        <v>0.335</v>
      </c>
      <c r="M633" t="inlineStr">
        <is>
          <t>True</t>
        </is>
      </c>
      <c r="N633" t="inlineStr">
        <is>
          <t>Home &amp; Kitchen</t>
        </is>
      </c>
      <c r="O633" s="6">
        <v>32450</v>
      </c>
      <c r="P633" s="6">
        <v>13500</v>
      </c>
      <c r="Q633" s="6">
        <v>3074</v>
      </c>
      <c r="R633" s="6">
        <v>237</v>
      </c>
      <c r="S633" s="7">
        <v>20</v>
      </c>
      <c r="T633" s="7">
        <v>39.99</v>
      </c>
      <c r="U633">
        <v>38.67</v>
      </c>
      <c r="V633" s="8">
        <v>0</v>
      </c>
      <c r="W633" s="7">
        <v>0</v>
      </c>
      <c r="X633" s="7">
        <v>0</v>
      </c>
      <c r="Y633">
        <v>3.06</v>
      </c>
      <c r="Z633" s="8">
        <v>0</v>
      </c>
      <c r="AB633">
        <v>0</v>
      </c>
      <c r="AC633">
        <v>0</v>
      </c>
      <c r="AD633">
        <v>3</v>
      </c>
      <c r="AE633">
        <v>1</v>
      </c>
      <c r="AF633">
        <v>0</v>
      </c>
      <c r="AG633">
        <v>1</v>
      </c>
      <c r="AH633">
        <v>0</v>
      </c>
      <c r="AI633" t="inlineStr">
        <is>
          <t>False</t>
        </is>
      </c>
      <c r="AJ633" s="2" t="str">
        <f>HYPERLINK("https://keepa.com/#!product/1-B0B8BN3WSC", "https://keepa.com/#!product/1-B0B8BN3WSC")</f>
      </c>
      <c r="AK633" s="2" t="str">
        <f>HYPERLINK("https://camelcamelcamel.com/search?sq=B0B8BN3WSC", "https://camelcamelcamel.com/search?sq=B0B8BN3WSC")</f>
      </c>
      <c r="AL633" t="inlineStr">
        <is>
          <t/>
        </is>
      </c>
      <c r="AM633" s="10">
        <v>45417.11111111111</v>
      </c>
      <c r="AN633" t="inlineStr">
        <is>
          <t>Bear Steamer for Clothes, Handheld Clothes Steamer,1300W Strong Power Garment Steamer with 230ml Tank,Fast Heat-up, Auto-Off, Steam Iron Fabric Wrinkle Remover with Brush for Home and Travel</t>
        </is>
      </c>
      <c r="AO633" t="inlineStr">
        <is>
          <t>1000 200</t>
        </is>
      </c>
      <c r="AP633" t="inlineStr">
        <is>
          <t>TAKE ALL</t>
        </is>
      </c>
    </row>
    <row r="634">
      <c r="A634" t="inlineStr">
        <is>
          <t>B0B93S6Y4K</t>
        </is>
      </c>
      <c r="B634" t="inlineStr">
        <is>
          <t>False</t>
        </is>
      </c>
      <c r="C634" t="inlineStr">
        <is>
          <t>B0B93S6Y4K</t>
        </is>
      </c>
      <c r="D634" t="inlineStr">
        <is>
          <t>Fairlife</t>
        </is>
      </c>
      <c r="E634" t="inlineStr">
        <is>
          <t>False</t>
        </is>
      </c>
      <c r="F634" t="inlineStr">
        <is>
          <t>FAIRLIFE NUTRITION PLAN Core Power Elite 42g. Protein Shake, Chocolate - Liquid (14 fl. oz, 8 pk.)</t>
        </is>
      </c>
      <c r="G634">
        <v>1</v>
      </c>
      <c r="H634" s="2" t="str">
        <f>HYPERLINK("https://www.amazon.com/dp/B0B93S6Y4K", "https://www.amazon.com/dp/B0B93S6Y4K")</f>
      </c>
      <c r="I634" s="3">
        <v>978</v>
      </c>
      <c r="J634" s="4">
        <v>8.73</v>
      </c>
      <c r="K634" s="5">
        <v>0.2079</v>
      </c>
      <c r="L634" s="15">
        <v>0.485</v>
      </c>
      <c r="M634" t="inlineStr">
        <is>
          <t>True</t>
        </is>
      </c>
      <c r="N634" t="inlineStr">
        <is>
          <t>Health &amp; Household</t>
        </is>
      </c>
      <c r="O634" s="6">
        <v>22898</v>
      </c>
      <c r="P634" s="6">
        <v>12141</v>
      </c>
      <c r="Q634" s="6">
        <v>4605</v>
      </c>
      <c r="R634" s="6">
        <v>199</v>
      </c>
      <c r="S634" s="7">
        <v>18</v>
      </c>
      <c r="T634" s="7">
        <v>42</v>
      </c>
      <c r="U634">
        <v>39.18</v>
      </c>
      <c r="V634" s="8">
        <v>0</v>
      </c>
      <c r="W634" s="7">
        <v>0</v>
      </c>
      <c r="X634" s="7">
        <v>0</v>
      </c>
      <c r="Y634">
        <v>8.44</v>
      </c>
      <c r="Z634" s="8">
        <v>0</v>
      </c>
      <c r="AB634">
        <v>0</v>
      </c>
      <c r="AC634">
        <v>0</v>
      </c>
      <c r="AD634">
        <v>97</v>
      </c>
      <c r="AE634">
        <v>6</v>
      </c>
      <c r="AF634">
        <v>91</v>
      </c>
      <c r="AG634">
        <v>0</v>
      </c>
      <c r="AH634">
        <v>0</v>
      </c>
      <c r="AI634" t="inlineStr">
        <is>
          <t>False</t>
        </is>
      </c>
      <c r="AJ634" s="2" t="str">
        <f>HYPERLINK("https://keepa.com/#!product/1-B0B93S6Y4K", "https://keepa.com/#!product/1-B0B93S6Y4K")</f>
      </c>
      <c r="AK634" s="2" t="str">
        <f>HYPERLINK("https://camelcamelcamel.com/search?sq=B0B93S6Y4K", "https://camelcamelcamel.com/search?sq=B0B93S6Y4K")</f>
      </c>
      <c r="AL634" t="inlineStr">
        <is>
          <t/>
        </is>
      </c>
      <c r="AM634" s="10">
        <v>45417.11111111111</v>
      </c>
      <c r="AN634" t="inlineStr">
        <is>
          <t>FAIRLIFE NUTRITION PLAN Core Power Elite 42g. Protein Shake, Chocolate - Liquid (14 fl. oz, 8 pk.)</t>
        </is>
      </c>
      <c r="AO634" t="inlineStr">
        <is>
          <t>859</t>
        </is>
      </c>
      <c r="AP634" t="inlineStr">
        <is>
          <t>TAKE ALL</t>
        </is>
      </c>
    </row>
    <row r="635">
      <c r="A635" t="inlineStr">
        <is>
          <t>B0B9CZ6XBQ</t>
        </is>
      </c>
      <c r="B635" t="inlineStr">
        <is>
          <t>False</t>
        </is>
      </c>
      <c r="C635" t="inlineStr">
        <is>
          <t>B0B9CZ6XBQ</t>
        </is>
      </c>
      <c r="D635" t="inlineStr">
        <is>
          <t>Ninja</t>
        </is>
      </c>
      <c r="E635" t="inlineStr">
        <is>
          <t>False</t>
        </is>
      </c>
      <c r="F635" t="inlineStr">
        <is>
          <t>Ninja NC501 CREAMi Deluxe 11-in-1 Ice Cream &amp; Frozen Treat Maker for Ice Cream, Sorbet, Milkshakes, Frozen Drinks &amp; More, 11 Programs, Perfect for Kids, Silver, 11 Functions + (2) 24 oz. Pints</t>
        </is>
      </c>
      <c r="G635">
        <v>1</v>
      </c>
      <c r="H635" s="2" t="str">
        <f>HYPERLINK("https://www.amazon.com/dp/B0B9CZ6XBQ", "https://www.amazon.com/dp/B0B9CZ6XBQ")</f>
      </c>
      <c r="I635" s="3">
        <v>12889</v>
      </c>
      <c r="J635" s="4">
        <v>30.25</v>
      </c>
      <c r="K635" s="5">
        <v>0.1315</v>
      </c>
      <c r="L635" s="5">
        <v>0.2086</v>
      </c>
      <c r="M635" t="inlineStr">
        <is>
          <t>True</t>
        </is>
      </c>
      <c r="N635" t="inlineStr">
        <is>
          <t>Kitchen &amp; Dining</t>
        </is>
      </c>
      <c r="O635" s="6">
        <v>150</v>
      </c>
      <c r="P635" s="6">
        <v>453</v>
      </c>
      <c r="Q635" s="6">
        <v>63</v>
      </c>
      <c r="R635" s="6">
        <v>354</v>
      </c>
      <c r="S635" s="7">
        <v>145</v>
      </c>
      <c r="T635" s="7">
        <v>229.99</v>
      </c>
      <c r="U635">
        <v>226.48</v>
      </c>
      <c r="V635" s="8">
        <v>0</v>
      </c>
      <c r="W635" s="7">
        <v>0</v>
      </c>
      <c r="X635" s="7">
        <v>0</v>
      </c>
      <c r="Y635">
        <v>20.35</v>
      </c>
      <c r="Z635" s="9">
        <v>1</v>
      </c>
      <c r="AB635">
        <v>0</v>
      </c>
      <c r="AC635">
        <v>0</v>
      </c>
      <c r="AD635">
        <v>57</v>
      </c>
      <c r="AE635">
        <v>11</v>
      </c>
      <c r="AF635">
        <v>33</v>
      </c>
      <c r="AG635">
        <v>2</v>
      </c>
      <c r="AH635">
        <v>0</v>
      </c>
      <c r="AI635" t="inlineStr">
        <is>
          <t>False</t>
        </is>
      </c>
      <c r="AJ635" s="2" t="str">
        <f>HYPERLINK("https://keepa.com/#!product/1-B0B9CZ6XBQ", "https://keepa.com/#!product/1-B0B9CZ6XBQ")</f>
      </c>
      <c r="AK635" s="2" t="str">
        <f>HYPERLINK("https://camelcamelcamel.com/search?sq=B0B9CZ6XBQ", "https://camelcamelcamel.com/search?sq=B0B9CZ6XBQ")</f>
      </c>
      <c r="AL635" t="inlineStr">
        <is>
          <t/>
        </is>
      </c>
      <c r="AM635" s="10">
        <v>45417.11111111111</v>
      </c>
      <c r="AN635" t="inlineStr">
        <is>
          <t>Ninja NC501 CREAMi Deluxe 11-in-1 Ice Cream &amp; Frozen Treat Maker for Ice Cream, Sorbet, Milkshakes, Frozen Drinks &amp; More, 11 Programs, Perfect for Kids, Silver, 11 Functions + (2) 24 oz. Pints</t>
        </is>
      </c>
      <c r="AO635" t="inlineStr">
        <is>
          <t>54</t>
        </is>
      </c>
      <c r="AP635" t="inlineStr">
        <is>
          <t>TAKE ALL</t>
        </is>
      </c>
    </row>
    <row r="636">
      <c r="A636" t="inlineStr">
        <is>
          <t>B0B9H572LC</t>
        </is>
      </c>
      <c r="B636" t="inlineStr">
        <is>
          <t>False</t>
        </is>
      </c>
      <c r="C636" t="inlineStr">
        <is>
          <t>B0B9H572LC</t>
        </is>
      </c>
      <c r="D636" t="inlineStr">
        <is>
          <t>Insta360</t>
        </is>
      </c>
      <c r="E636" t="inlineStr">
        <is>
          <t>False</t>
        </is>
      </c>
      <c r="F636" t="inlineStr">
        <is>
          <t>Insta360 X3 - Waterproof 360 Action Camera with 1/2" 48MP Sensors, 5.7K 360 Active HDR Video, 72MP 360 Photo, 4K Single-Lens, 60fps Me Mode, Stabilization, 2.29" Touchscreen, AI Editing, Live Stream</t>
        </is>
      </c>
      <c r="G636">
        <v>1</v>
      </c>
      <c r="H636" s="2" t="str">
        <f>HYPERLINK("https://www.amazon.com/dp/B0B9H572LC", "https://www.amazon.com/dp/B0B9H572LC")</f>
      </c>
      <c r="I636" s="3">
        <v>696</v>
      </c>
      <c r="J636" s="4">
        <v>110.82</v>
      </c>
      <c r="K636" s="5">
        <v>0.2771</v>
      </c>
      <c r="L636" s="15">
        <v>0.43979999999999997</v>
      </c>
      <c r="M636" t="inlineStr">
        <is>
          <t>True</t>
        </is>
      </c>
      <c r="N636" t="inlineStr">
        <is>
          <t>Electronics</t>
        </is>
      </c>
      <c r="O636" s="6">
        <v>6094</v>
      </c>
      <c r="P636" s="6">
        <v>3239</v>
      </c>
      <c r="Q636" s="6">
        <v>1649</v>
      </c>
      <c r="R636" s="6">
        <v>303</v>
      </c>
      <c r="S636" s="7">
        <v>252</v>
      </c>
      <c r="T636" s="7">
        <v>399.99</v>
      </c>
      <c r="U636">
        <v>399.96</v>
      </c>
      <c r="V636" s="8">
        <v>0</v>
      </c>
      <c r="W636" s="7">
        <v>0</v>
      </c>
      <c r="X636" s="7">
        <v>0</v>
      </c>
      <c r="Y636">
        <v>1.12</v>
      </c>
      <c r="Z636" s="8">
        <v>0</v>
      </c>
      <c r="AB636">
        <v>0</v>
      </c>
      <c r="AC636">
        <v>0</v>
      </c>
      <c r="AD636">
        <v>14</v>
      </c>
      <c r="AE636">
        <v>7</v>
      </c>
      <c r="AF636">
        <v>3</v>
      </c>
      <c r="AG636">
        <v>7</v>
      </c>
      <c r="AH636">
        <v>5</v>
      </c>
      <c r="AI636" t="inlineStr">
        <is>
          <t>True</t>
        </is>
      </c>
      <c r="AJ636" s="2" t="str">
        <f>HYPERLINK("https://keepa.com/#!product/1-B0B9H572LC", "https://keepa.com/#!product/1-B0B9H572LC")</f>
      </c>
      <c r="AK636" s="2" t="str">
        <f>HYPERLINK("https://camelcamelcamel.com/search?sq=B0B9H572LC", "https://camelcamelcamel.com/search?sq=B0B9H572LC")</f>
      </c>
      <c r="AL636" t="inlineStr">
        <is>
          <t/>
        </is>
      </c>
      <c r="AM636" s="10">
        <v>45417.11111111111</v>
      </c>
      <c r="AN636" t="inlineStr">
        <is>
          <t>Insta360 X3 - Waterproof 360 Action Camera with 1/2" 48MP Sensors, 5.7K 360 Active HDR Video, 72MP 360 Photo, 4K Single-Lens, 60fps Me Mode, Stabilization, 2.29" Touchscreen, AI Editing, Live Stream</t>
        </is>
      </c>
      <c r="AO636" t="inlineStr">
        <is>
          <t>500</t>
        </is>
      </c>
      <c r="AP636" t="inlineStr">
        <is>
          <t>TAKE ALL</t>
        </is>
      </c>
    </row>
    <row r="637">
      <c r="A637" t="inlineStr">
        <is>
          <t>B0B9TWY11Q</t>
        </is>
      </c>
      <c r="B637" t="inlineStr">
        <is>
          <t>False</t>
        </is>
      </c>
      <c r="C637" t="inlineStr">
        <is>
          <t>B0B9TWY11Q</t>
        </is>
      </c>
      <c r="D637" t="inlineStr">
        <is>
          <t>WYZE</t>
        </is>
      </c>
      <c r="E637" t="inlineStr">
        <is>
          <t>False</t>
        </is>
      </c>
      <c r="F637" t="inlineStr">
        <is>
          <t>WYZE Cam Pan v3 Indoor/Outdoor IP65-Rated 1080p Pan/Tilt/Zoom Wi-Fi Smart Home Security Camera with Motion Tracking for Baby &amp; Pet, Color Night Vision, 2-Way Audio, Works with Alexa &amp; Google Assistant</t>
        </is>
      </c>
      <c r="G637">
        <v>1</v>
      </c>
      <c r="H637" s="2" t="str">
        <f>HYPERLINK("https://www.amazon.com/dp/B0B9TWY11Q", "https://www.amazon.com/dp/B0B9TWY11Q")</f>
      </c>
      <c r="I637" s="3">
        <v>19829</v>
      </c>
      <c r="J637" s="4">
        <v>7.98</v>
      </c>
      <c r="K637" s="5">
        <v>0.222</v>
      </c>
      <c r="L637" s="15">
        <v>0.3893</v>
      </c>
      <c r="M637" t="inlineStr">
        <is>
          <t>True</t>
        </is>
      </c>
      <c r="N637" t="inlineStr">
        <is>
          <t>Electronics</t>
        </is>
      </c>
      <c r="O637" s="6">
        <v>54</v>
      </c>
      <c r="P637" s="6">
        <v>49</v>
      </c>
      <c r="Q637" s="6">
        <v>33</v>
      </c>
      <c r="R637" s="6">
        <v>362</v>
      </c>
      <c r="S637" s="7">
        <v>20.5</v>
      </c>
      <c r="T637" s="7">
        <v>35.94</v>
      </c>
      <c r="U637">
        <v>37.17</v>
      </c>
      <c r="V637" s="8">
        <v>0</v>
      </c>
      <c r="W637" s="7">
        <v>0</v>
      </c>
      <c r="X637" s="7">
        <v>0</v>
      </c>
      <c r="Y637">
        <v>0.97</v>
      </c>
      <c r="Z637" s="9">
        <v>1</v>
      </c>
      <c r="AB637">
        <v>0</v>
      </c>
      <c r="AC637">
        <v>0</v>
      </c>
      <c r="AD637">
        <v>8</v>
      </c>
      <c r="AE637">
        <v>1</v>
      </c>
      <c r="AF637">
        <v>2</v>
      </c>
      <c r="AG637">
        <v>1</v>
      </c>
      <c r="AH637">
        <v>9</v>
      </c>
      <c r="AI637" t="inlineStr">
        <is>
          <t>False</t>
        </is>
      </c>
      <c r="AJ637" s="2" t="str">
        <f>HYPERLINK("https://keepa.com/#!product/1-B0B9TWY11Q", "https://keepa.com/#!product/1-B0B9TWY11Q")</f>
      </c>
      <c r="AK637" s="2" t="str">
        <f>HYPERLINK("https://camelcamelcamel.com/search?sq=B0B9TWY11Q", "https://camelcamelcamel.com/search?sq=B0B9TWY11Q")</f>
      </c>
      <c r="AL637" t="inlineStr">
        <is>
          <t/>
        </is>
      </c>
      <c r="AM637" s="10">
        <v>45417.11111111111</v>
      </c>
      <c r="AN637" t="inlineStr">
        <is>
          <t>WYZE Cam Pan v3 Indoor/Outdoor IP65-Rated 1080p Pan/Tilt/Zoom Wi-Fi Smart Home Security Camera with Motion Tracking for Baby &amp; Pet, Color Night Vision, 2-Way Audio, Works with Alexa &amp; Google Assistant</t>
        </is>
      </c>
      <c r="AO637" t="inlineStr">
        <is>
          <t>4000</t>
        </is>
      </c>
      <c r="AP637" t="inlineStr">
        <is>
          <t>2500</t>
        </is>
      </c>
    </row>
    <row r="638">
      <c r="A638" t="inlineStr">
        <is>
          <t>B0BCH3J9RD</t>
        </is>
      </c>
      <c r="B638" t="inlineStr">
        <is>
          <t>False</t>
        </is>
      </c>
      <c r="C638" t="inlineStr">
        <is>
          <t>B0BCH3J9RD</t>
        </is>
      </c>
      <c r="D638" t="inlineStr">
        <is>
          <t>iRobot</t>
        </is>
      </c>
      <c r="E638" t="inlineStr">
        <is>
          <t>False</t>
        </is>
      </c>
      <c r="F638" t="inlineStr">
        <is>
          <t>iRobot Roomba Combo j7+ Self-Emptying Robot Vacuum &amp; Mop - Automatically Vacuums and Mops, Fully Retractable Mop pad, Identifies &amp; Avoids Obstacles, Smart Mapping, Alexa, Ideal for Pets</t>
        </is>
      </c>
      <c r="G638">
        <v>1</v>
      </c>
      <c r="H638" s="2" t="str">
        <f>HYPERLINK("https://www.amazon.com/dp/B0BCH3J9RD", "https://www.amazon.com/dp/B0BCH3J9RD")</f>
      </c>
      <c r="I638" s="3">
        <v>456</v>
      </c>
      <c r="J638" s="4">
        <v>27.5</v>
      </c>
      <c r="K638" s="5">
        <v>0.0393</v>
      </c>
      <c r="L638" s="5">
        <v>0.050499999999999996</v>
      </c>
      <c r="M638" t="inlineStr">
        <is>
          <t>True</t>
        </is>
      </c>
      <c r="N638" t="inlineStr">
        <is>
          <t>Home &amp; Kitchen</t>
        </is>
      </c>
      <c r="O638" s="6">
        <v>59722</v>
      </c>
      <c r="P638" s="6">
        <v>110217</v>
      </c>
      <c r="Q638" s="6">
        <v>42448</v>
      </c>
      <c r="R638" s="6">
        <v>174</v>
      </c>
      <c r="S638" s="7">
        <v>545</v>
      </c>
      <c r="T638" s="7">
        <v>699</v>
      </c>
      <c r="U638">
        <v>792.91</v>
      </c>
      <c r="V638" s="8">
        <v>0</v>
      </c>
      <c r="W638" s="7">
        <v>0</v>
      </c>
      <c r="X638" s="7">
        <v>0</v>
      </c>
      <c r="Y638">
        <v>24.1</v>
      </c>
      <c r="Z638" s="9">
        <v>0.9</v>
      </c>
      <c r="AB638">
        <v>0</v>
      </c>
      <c r="AC638">
        <v>0</v>
      </c>
      <c r="AD638">
        <v>28</v>
      </c>
      <c r="AE638">
        <v>3</v>
      </c>
      <c r="AF638">
        <v>7</v>
      </c>
      <c r="AG638">
        <v>1</v>
      </c>
      <c r="AH638">
        <v>1</v>
      </c>
      <c r="AI638" t="inlineStr">
        <is>
          <t>True</t>
        </is>
      </c>
      <c r="AJ638" s="2" t="str">
        <f>HYPERLINK("https://keepa.com/#!product/1-B0BCH3J9RD", "https://keepa.com/#!product/1-B0BCH3J9RD")</f>
      </c>
      <c r="AK638" s="2" t="str">
        <f>HYPERLINK("https://camelcamelcamel.com/search?sq=B0BCH3J9RD", "https://camelcamelcamel.com/search?sq=B0BCH3J9RD")</f>
      </c>
      <c r="AL638" t="inlineStr">
        <is>
          <t/>
        </is>
      </c>
      <c r="AM638" s="10">
        <v>45417.11111111111</v>
      </c>
      <c r="AN638" t="inlineStr">
        <is>
          <t>iRobot Roomba Combo j7+ Self-Emptying Robot Vacuum &amp; Mop - Automatically Vacuums and Mops, Fully Retractable Mop pad, Identifies &amp; Avoids Obstacles, Smart Mapping, Alexa, Ideal for Pets</t>
        </is>
      </c>
      <c r="AO638" t="inlineStr">
        <is>
          <t>194</t>
        </is>
      </c>
      <c r="AP638" t="inlineStr">
        <is>
          <t>TAKE ALL</t>
        </is>
      </c>
    </row>
    <row r="639">
      <c r="A639" t="inlineStr">
        <is>
          <t>B0BCJR4VXN</t>
        </is>
      </c>
      <c r="B639" t="inlineStr">
        <is>
          <t>False</t>
        </is>
      </c>
      <c r="C639" t="inlineStr">
        <is>
          <t>B0BCJR4VXN</t>
        </is>
      </c>
      <c r="D639" t="inlineStr">
        <is>
          <t>JOYAMI</t>
        </is>
      </c>
      <c r="E639" t="inlineStr">
        <is>
          <t>False</t>
        </is>
      </c>
      <c r="F639" t="inlineStr">
        <is>
          <t>JOYAMI Countertop Food Blender, Hot Soup Maker, Mijia App Control, Adjustable 9-Speed, Pulse - Blending, Crushing, Mixing, Ice Crush, Juices, Pureeing, Grinding, Chopping, Auto-shutoff, 56OZ, White</t>
        </is>
      </c>
      <c r="G639">
        <v>1</v>
      </c>
      <c r="H639" s="2" t="str">
        <f>HYPERLINK("https://www.amazon.com/dp/B0BCJR4VXN", "https://www.amazon.com/dp/B0BCJR4VXN")</f>
      </c>
      <c r="I639" s="16">
        <v>29</v>
      </c>
      <c r="J639" s="4">
        <v>66.99</v>
      </c>
      <c r="K639" s="15">
        <v>0.3722</v>
      </c>
      <c r="L639" s="15">
        <v>0.9570000000000001</v>
      </c>
      <c r="M639" t="inlineStr">
        <is>
          <t>True</t>
        </is>
      </c>
      <c r="N639" t="inlineStr">
        <is>
          <t>Kitchen &amp; Dining</t>
        </is>
      </c>
      <c r="O639" s="6">
        <v>158363</v>
      </c>
      <c r="P639" s="6">
        <v>184465</v>
      </c>
      <c r="Q639" s="6">
        <v>76995</v>
      </c>
      <c r="R639" s="6">
        <v>69</v>
      </c>
      <c r="S639" s="7">
        <v>70</v>
      </c>
      <c r="T639" s="7">
        <v>179.99</v>
      </c>
      <c r="U639">
        <v>174.28</v>
      </c>
      <c r="V639" s="8">
        <v>0</v>
      </c>
      <c r="W639" s="7">
        <v>0</v>
      </c>
      <c r="X639" s="7">
        <v>0</v>
      </c>
      <c r="Y639">
        <v>13.07</v>
      </c>
      <c r="Z639" s="8">
        <v>0</v>
      </c>
      <c r="AB639">
        <v>0</v>
      </c>
      <c r="AC639">
        <v>0</v>
      </c>
      <c r="AD639">
        <v>1</v>
      </c>
      <c r="AE639">
        <v>1</v>
      </c>
      <c r="AF639">
        <v>0</v>
      </c>
      <c r="AG639">
        <v>1</v>
      </c>
      <c r="AH639">
        <v>1</v>
      </c>
      <c r="AI639" t="inlineStr">
        <is>
          <t>False</t>
        </is>
      </c>
      <c r="AJ639" s="2" t="str">
        <f>HYPERLINK("https://keepa.com/#!product/1-B0BCJR4VXN", "https://keepa.com/#!product/1-B0BCJR4VXN")</f>
      </c>
      <c r="AK639" s="2" t="str">
        <f>HYPERLINK("https://camelcamelcamel.com/search?sq=B0BCJR4VXN", "https://camelcamelcamel.com/search?sq=B0BCJR4VXN")</f>
      </c>
      <c r="AL639" t="inlineStr">
        <is>
          <t/>
        </is>
      </c>
      <c r="AM639" s="10">
        <v>45417.11111111111</v>
      </c>
      <c r="AN639" t="inlineStr">
        <is>
          <t>JOYAMI Countertop Food Blender, Hot Soup Maker, Mijia App Control, Adjustable 9-Speed, Pulse - Blending, Crushing, Mixing, Ice Crush, Juices, Pureeing, Grinding, Chopping, Auto-shutoff, 56OZ, White</t>
        </is>
      </c>
      <c r="AO639" t="inlineStr">
        <is>
          <t>328</t>
        </is>
      </c>
      <c r="AP639" t="inlineStr">
        <is>
          <t>100</t>
        </is>
      </c>
    </row>
    <row r="640">
      <c r="A640" t="inlineStr">
        <is>
          <t>B0BCPCSTNB</t>
        </is>
      </c>
      <c r="B640" t="inlineStr">
        <is>
          <t>False</t>
        </is>
      </c>
      <c r="C640" t="inlineStr">
        <is>
          <t>B0BCPCSTNB</t>
        </is>
      </c>
      <c r="D640" t="inlineStr">
        <is>
          <t>Femivo</t>
        </is>
      </c>
      <c r="E640" t="inlineStr">
        <is>
          <t>False</t>
        </is>
      </c>
      <c r="F640" t="inlineStr">
        <is>
          <t>4K Digital Camera for Photography and Video Autofocus Anti-Shake, 48MP Vlogging Camera with SD Card, 3'' 180° Flip Screen Compact Camera with Flash, 16X Digital Zoom Travel Camera (2 Batteries)</t>
        </is>
      </c>
      <c r="G640">
        <v>1</v>
      </c>
      <c r="H640" s="2" t="str">
        <f>HYPERLINK("https://www.amazon.com/dp/B0BCPCSTNB", "https://www.amazon.com/dp/B0BCPCSTNB")</f>
      </c>
      <c r="I640" s="3">
        <v>1100</v>
      </c>
      <c r="J640" s="4">
        <v>7.41</v>
      </c>
      <c r="K640" s="5">
        <v>0.10289999999999999</v>
      </c>
      <c r="L640" s="5">
        <v>0.1392</v>
      </c>
      <c r="M640" t="inlineStr">
        <is>
          <t>True</t>
        </is>
      </c>
      <c r="N640" t="inlineStr">
        <is>
          <t>Electronics</t>
        </is>
      </c>
      <c r="O640" s="6">
        <v>3774</v>
      </c>
      <c r="P640" s="6">
        <v>8132</v>
      </c>
      <c r="Q640" s="6">
        <v>3362</v>
      </c>
      <c r="R640" s="6">
        <v>220</v>
      </c>
      <c r="S640" s="7">
        <v>53.25</v>
      </c>
      <c r="T640" s="7">
        <v>71.99</v>
      </c>
      <c r="U640">
        <v>85.29</v>
      </c>
      <c r="V640" s="8">
        <v>0</v>
      </c>
      <c r="W640" s="7">
        <v>0</v>
      </c>
      <c r="X640" s="7">
        <v>0</v>
      </c>
      <c r="Y640">
        <v>1.34</v>
      </c>
      <c r="Z640" s="9">
        <v>0.08</v>
      </c>
      <c r="AB640">
        <v>0</v>
      </c>
      <c r="AC640">
        <v>0</v>
      </c>
      <c r="AD640">
        <v>3</v>
      </c>
      <c r="AE640">
        <v>2</v>
      </c>
      <c r="AF640">
        <v>0</v>
      </c>
      <c r="AG640">
        <v>1</v>
      </c>
      <c r="AH640">
        <v>0</v>
      </c>
      <c r="AI640" t="inlineStr">
        <is>
          <t>True</t>
        </is>
      </c>
      <c r="AJ640" s="2" t="str">
        <f>HYPERLINK("https://keepa.com/#!product/1-B0BCPCSTNB", "https://keepa.com/#!product/1-B0BCPCSTNB")</f>
      </c>
      <c r="AK640" s="2" t="str">
        <f>HYPERLINK("https://camelcamelcamel.com/search?sq=B0BCPCSTNB", "https://camelcamelcamel.com/search?sq=B0BCPCSTNB")</f>
      </c>
      <c r="AL640" t="inlineStr">
        <is>
          <t/>
        </is>
      </c>
      <c r="AM640" s="10">
        <v>45417.11111111111</v>
      </c>
      <c r="AN640" t="inlineStr">
        <is>
          <t>4K Digital Camera for Photography and Video Autofocus Anti-Shake, 48MP Vlogging Camera with SD Card, 3'' 180Â° Flip Screen Compact Camera with Flash, 16X Digital Zoom Travel Camera (2 Batteries)</t>
        </is>
      </c>
      <c r="AO640" t="inlineStr">
        <is>
          <t>800</t>
        </is>
      </c>
      <c r="AP640" t="inlineStr">
        <is>
          <t>200</t>
        </is>
      </c>
    </row>
    <row r="641">
      <c r="A641" t="inlineStr">
        <is>
          <t>B0BCSPV9ZW</t>
        </is>
      </c>
      <c r="B641" t="inlineStr">
        <is>
          <t>False</t>
        </is>
      </c>
      <c r="C641" t="inlineStr">
        <is>
          <t>B0BCSPV9ZW</t>
        </is>
      </c>
      <c r="D641" t="inlineStr">
        <is>
          <t>DYMO</t>
        </is>
      </c>
      <c r="E641" t="inlineStr">
        <is>
          <t>False</t>
        </is>
      </c>
      <c r="F641" t="inlineStr">
        <is>
          <t>DYMO LabelWriter 550 Turbo Label Printer Bundle, Label Maker with Thermal Printing,Auto Label Recognition,Includes Address Labels,Multipurpose Labels,Durable Multipurpose Labels and File Folder Labels</t>
        </is>
      </c>
      <c r="G641">
        <v>1</v>
      </c>
      <c r="H641" s="2" t="str">
        <f>HYPERLINK("https://www.amazon.com/dp/B0BCSPV9ZW", "https://www.amazon.com/dp/B0BCSPV9ZW")</f>
      </c>
      <c r="I641" s="3">
        <v>738</v>
      </c>
      <c r="J641" s="4">
        <v>44.75</v>
      </c>
      <c r="K641" s="5">
        <v>0.2712</v>
      </c>
      <c r="L641" s="15">
        <v>0.4475</v>
      </c>
      <c r="M641" t="inlineStr">
        <is>
          <t>True</t>
        </is>
      </c>
      <c r="N641" t="inlineStr">
        <is>
          <t>Office Products</t>
        </is>
      </c>
      <c r="O641" s="6">
        <v>8077</v>
      </c>
      <c r="P641" s="6">
        <v>11793</v>
      </c>
      <c r="Q641" s="6">
        <v>5578</v>
      </c>
      <c r="R641" s="6">
        <v>144</v>
      </c>
      <c r="S641" s="7">
        <v>100</v>
      </c>
      <c r="T641" s="7">
        <v>164.99</v>
      </c>
      <c r="U641">
        <v>164.99</v>
      </c>
      <c r="V641" s="8">
        <v>0</v>
      </c>
      <c r="W641" s="7">
        <v>0</v>
      </c>
      <c r="X641" s="7">
        <v>0</v>
      </c>
      <c r="Y641">
        <v>3.48</v>
      </c>
      <c r="Z641" s="9">
        <v>0.15</v>
      </c>
      <c r="AB641">
        <v>0</v>
      </c>
      <c r="AC641">
        <v>0</v>
      </c>
      <c r="AD641">
        <v>6</v>
      </c>
      <c r="AE641">
        <v>1</v>
      </c>
      <c r="AF641">
        <v>5</v>
      </c>
      <c r="AG641">
        <v>1</v>
      </c>
      <c r="AH641">
        <v>3</v>
      </c>
      <c r="AI641" t="inlineStr">
        <is>
          <t>False</t>
        </is>
      </c>
      <c r="AJ641" s="2" t="str">
        <f>HYPERLINK("https://keepa.com/#!product/1-B0BCSPV9ZW", "https://keepa.com/#!product/1-B0BCSPV9ZW")</f>
      </c>
      <c r="AK641" s="2" t="str">
        <f>HYPERLINK("https://camelcamelcamel.com/search?sq=B0BCSPV9ZW", "https://camelcamelcamel.com/search?sq=B0BCSPV9ZW")</f>
      </c>
      <c r="AL641" t="inlineStr">
        <is>
          <t/>
        </is>
      </c>
      <c r="AM641" s="10">
        <v>45417.11111111111</v>
      </c>
      <c r="AN641" t="inlineStr">
        <is>
          <t>DYMO LabelWriter 550 Turbo Label Printer Bundle</t>
        </is>
      </c>
      <c r="AO641" t="inlineStr">
        <is>
          <t>1000</t>
        </is>
      </c>
      <c r="AP641" t="inlineStr">
        <is>
          <t>100</t>
        </is>
      </c>
    </row>
    <row r="642">
      <c r="A642" t="inlineStr">
        <is>
          <t>B0BDJ328WN</t>
        </is>
      </c>
      <c r="B642" t="inlineStr">
        <is>
          <t>False</t>
        </is>
      </c>
      <c r="C642" t="inlineStr">
        <is>
          <t>B0BDJ328WN</t>
        </is>
      </c>
      <c r="D642" t="inlineStr">
        <is>
          <t>Versed</t>
        </is>
      </c>
      <c r="E642" t="inlineStr">
        <is>
          <t>False</t>
        </is>
      </c>
      <c r="F642" t="inlineStr">
        <is>
          <t>Versed Weekend Glow Daily Brightening Moisturizer - Vegan Lightweight Vitamin C Moisturizer with Cloudberry Seed Oil - Hydrating Face Moisturizer for Discoloration &amp; Uneven Texture (2oz)</t>
        </is>
      </c>
      <c r="G642">
        <v>1</v>
      </c>
      <c r="H642" s="2" t="str">
        <f>HYPERLINK("https://www.amazon.com/dp/B0BDJ328WN", "https://www.amazon.com/dp/B0BDJ328WN")</f>
      </c>
      <c r="I642" s="3">
        <v>412</v>
      </c>
      <c r="J642" s="11">
        <v>3.39</v>
      </c>
      <c r="K642" s="5">
        <v>0.1765</v>
      </c>
      <c r="L642" s="15">
        <v>0.3665</v>
      </c>
      <c r="M642" t="inlineStr">
        <is>
          <t>True</t>
        </is>
      </c>
      <c r="N642" t="inlineStr">
        <is>
          <t>Beauty &amp; Personal Care</t>
        </is>
      </c>
      <c r="O642" s="6">
        <v>35948</v>
      </c>
      <c r="P642" s="6">
        <v>26956</v>
      </c>
      <c r="Q642" s="6">
        <v>15035</v>
      </c>
      <c r="R642" s="6">
        <v>187</v>
      </c>
      <c r="S642" s="7">
        <v>9.25</v>
      </c>
      <c r="T642" s="7">
        <v>19.21</v>
      </c>
      <c r="U642">
        <v>13.91</v>
      </c>
      <c r="V642" s="8">
        <v>0</v>
      </c>
      <c r="W642" s="7">
        <v>0</v>
      </c>
      <c r="X642" s="7">
        <v>0</v>
      </c>
      <c r="Y642">
        <v>0.15</v>
      </c>
      <c r="Z642" s="8">
        <v>0</v>
      </c>
      <c r="AB642">
        <v>0</v>
      </c>
      <c r="AC642">
        <v>0</v>
      </c>
      <c r="AD642">
        <v>4</v>
      </c>
      <c r="AE642">
        <v>1</v>
      </c>
      <c r="AF642">
        <v>3</v>
      </c>
      <c r="AG642">
        <v>1</v>
      </c>
      <c r="AH642">
        <v>0</v>
      </c>
      <c r="AI642" t="inlineStr">
        <is>
          <t>False</t>
        </is>
      </c>
      <c r="AJ642" s="2" t="str">
        <f>HYPERLINK("https://keepa.com/#!product/1-B0BDJ328WN", "https://keepa.com/#!product/1-B0BDJ328WN")</f>
      </c>
      <c r="AK642" s="2" t="str">
        <f>HYPERLINK("https://camelcamelcamel.com/search?sq=B0BDJ328WN", "https://camelcamelcamel.com/search?sq=B0BDJ328WN")</f>
      </c>
      <c r="AL642" t="inlineStr">
        <is>
          <t/>
        </is>
      </c>
      <c r="AM642" s="10">
        <v>45417.11111111111</v>
      </c>
      <c r="AN642" t="inlineStr">
        <is>
          <t>Versed Weekend Glow Daily Brightening Moisturizer - Vegan Lightweight Vitamin C Moisturizer with Cloudberry Seed Oil - Hydrating Face Moisturizer for Discoloration &amp; Uneven Texture (2oz)</t>
        </is>
      </c>
      <c r="AO642" t="inlineStr">
        <is>
          <t>2000</t>
        </is>
      </c>
      <c r="AP642" t="inlineStr">
        <is>
          <t>500</t>
        </is>
      </c>
    </row>
    <row r="643">
      <c r="A643" t="inlineStr">
        <is>
          <t>B0BDJ5N1NQ</t>
        </is>
      </c>
      <c r="B643" t="inlineStr">
        <is>
          <t>False</t>
        </is>
      </c>
      <c r="C643" t="inlineStr">
        <is>
          <t>B0BDJ5N1NQ</t>
        </is>
      </c>
      <c r="D643" t="inlineStr">
        <is>
          <t>Carbona</t>
        </is>
      </c>
      <c r="E643" t="inlineStr">
        <is>
          <t>False</t>
        </is>
      </c>
      <c r="F643" t="inlineStr">
        <is>
          <t>Carbona Laundry Stain Scrubber | Bio-Enzyme Stain Remover | Eliminates Fat, Oil, Blood, Milk, Fruit, Ketchup, Vegetables &amp; Baby Food Stains | Save On Skin &amp; Washable Fabrics | 1 Pack, 8.4 Fl Oz</t>
        </is>
      </c>
      <c r="G643">
        <v>1</v>
      </c>
      <c r="H643" s="2" t="str">
        <f>HYPERLINK("https://www.amazon.com/dp/B0BDJ5N1NQ", "https://www.amazon.com/dp/B0BDJ5N1NQ")</f>
      </c>
      <c r="I643" s="3">
        <v>2208</v>
      </c>
      <c r="J643" s="12">
        <v>-4.04</v>
      </c>
      <c r="K643" s="13">
        <v>-0.5864</v>
      </c>
      <c r="L643" s="13">
        <v>-0.6214999999999999</v>
      </c>
      <c r="M643" t="inlineStr">
        <is>
          <t>True</t>
        </is>
      </c>
      <c r="N643" t="inlineStr">
        <is>
          <t>Health &amp; Household</t>
        </is>
      </c>
      <c r="O643" s="6">
        <v>11690</v>
      </c>
      <c r="P643" s="6">
        <v>12667</v>
      </c>
      <c r="Q643" s="6">
        <v>7763</v>
      </c>
      <c r="R643" s="6">
        <v>179</v>
      </c>
      <c r="S643" s="7">
        <v>6.5</v>
      </c>
      <c r="T643" s="7">
        <v>6.89</v>
      </c>
      <c r="U643">
        <v>8.17</v>
      </c>
      <c r="V643" s="8">
        <v>0</v>
      </c>
      <c r="W643" s="7">
        <v>0</v>
      </c>
      <c r="X643" s="7">
        <v>0</v>
      </c>
      <c r="Y643">
        <v>0.63</v>
      </c>
      <c r="Z643" s="8">
        <v>0</v>
      </c>
      <c r="AB643">
        <v>0</v>
      </c>
      <c r="AC643">
        <v>0</v>
      </c>
      <c r="AD643">
        <v>67</v>
      </c>
      <c r="AE643">
        <v>55</v>
      </c>
      <c r="AF643">
        <v>12</v>
      </c>
      <c r="AG643">
        <v>7</v>
      </c>
      <c r="AH643">
        <v>2</v>
      </c>
      <c r="AI643" t="inlineStr">
        <is>
          <t>False</t>
        </is>
      </c>
      <c r="AJ643" s="2" t="str">
        <f>HYPERLINK("https://keepa.com/#!product/1-B0BDJ5N1NQ", "https://keepa.com/#!product/1-B0BDJ5N1NQ")</f>
      </c>
      <c r="AK643" s="2" t="str">
        <f>HYPERLINK("https://camelcamelcamel.com/search?sq=B0BDJ5N1NQ", "https://camelcamelcamel.com/search?sq=B0BDJ5N1NQ")</f>
      </c>
      <c r="AL643" t="inlineStr">
        <is>
          <t/>
        </is>
      </c>
      <c r="AM643" s="10">
        <v>45417.11111111111</v>
      </c>
      <c r="AN643" t="inlineStr">
        <is>
          <t>Carbona Laundry Stain Scrubber | Bio-Enzyme Stain Remover | Eliminates Fat, Oil, Blood, Milk, Fruit, Ketchup, Vegetables &amp; Baby Food Stains | Save On Skin &amp; Washable Fabrics | 1 Pack, 8.4 Fl Oz</t>
        </is>
      </c>
      <c r="AO643" t="inlineStr">
        <is>
          <t>17000</t>
        </is>
      </c>
      <c r="AP643" t="inlineStr">
        <is>
          <t>1200</t>
        </is>
      </c>
    </row>
    <row r="644">
      <c r="A644" t="inlineStr">
        <is>
          <t>B0BDP24LP4</t>
        </is>
      </c>
      <c r="B644" t="inlineStr">
        <is>
          <t>False</t>
        </is>
      </c>
      <c r="C644" t="inlineStr">
        <is>
          <t>B0BDP24LP4</t>
        </is>
      </c>
      <c r="D644" t="inlineStr">
        <is>
          <t>Metamucil</t>
        </is>
      </c>
      <c r="E644" t="inlineStr">
        <is>
          <t>False</t>
        </is>
      </c>
      <c r="F644" t="inlineStr">
        <is>
          <t>Metamucil Fiber Supplement Gummies, Sugar Free Orange Flavor, 5g Prebiotic Plant Based Fiber Blend, 120 Count (Pack of 1)</t>
        </is>
      </c>
      <c r="G644">
        <v>1</v>
      </c>
      <c r="H644" s="2" t="str">
        <f>HYPERLINK("https://www.amazon.com/dp/B0BDP24LP4", "https://www.amazon.com/dp/B0BDP24LP4")</f>
      </c>
      <c r="I644" s="3">
        <v>40901</v>
      </c>
      <c r="J644" s="11">
        <v>2.21</v>
      </c>
      <c r="K644" s="5">
        <v>0.09519999999999999</v>
      </c>
      <c r="L644" s="5">
        <v>0.17679999999999998</v>
      </c>
      <c r="M644" t="inlineStr">
        <is>
          <t>True</t>
        </is>
      </c>
      <c r="N644" t="inlineStr">
        <is>
          <t>Health &amp; Household</t>
        </is>
      </c>
      <c r="O644" s="6">
        <v>253</v>
      </c>
      <c r="P644" s="6">
        <v>293</v>
      </c>
      <c r="Q644" s="6">
        <v>238</v>
      </c>
      <c r="R644" s="6">
        <v>284</v>
      </c>
      <c r="S644" s="7">
        <v>12.5</v>
      </c>
      <c r="T644" s="7">
        <v>23.22</v>
      </c>
      <c r="U644">
        <v>23.29</v>
      </c>
      <c r="V644" s="8">
        <v>0</v>
      </c>
      <c r="W644" s="7">
        <v>0</v>
      </c>
      <c r="X644" s="7">
        <v>0</v>
      </c>
      <c r="Y644">
        <v>1.21</v>
      </c>
      <c r="Z644" s="9">
        <v>1</v>
      </c>
      <c r="AB644">
        <v>0</v>
      </c>
      <c r="AC644">
        <v>0</v>
      </c>
      <c r="AD644">
        <v>9</v>
      </c>
      <c r="AE644">
        <v>2</v>
      </c>
      <c r="AF644">
        <v>7</v>
      </c>
      <c r="AG644">
        <v>2</v>
      </c>
      <c r="AH644">
        <v>3</v>
      </c>
      <c r="AI644" t="inlineStr">
        <is>
          <t>False</t>
        </is>
      </c>
      <c r="AJ644" s="2" t="str">
        <f>HYPERLINK("https://keepa.com/#!product/1-B0BDP24LP4", "https://keepa.com/#!product/1-B0BDP24LP4")</f>
      </c>
      <c r="AK644" s="2" t="str">
        <f>HYPERLINK("https://camelcamelcamel.com/search?sq=B0BDP24LP4", "https://camelcamelcamel.com/search?sq=B0BDP24LP4")</f>
      </c>
      <c r="AL644" t="inlineStr">
        <is>
          <t/>
        </is>
      </c>
      <c r="AM644" s="10">
        <v>45417.11111111111</v>
      </c>
      <c r="AN644" t="inlineStr">
        <is>
          <t>Metamucil Fiber Supplement Gummies, Sugar Free Orange Flavor, 5g Prebiotic Plant Based Fiber Blend, 120 Count</t>
        </is>
      </c>
      <c r="AO644" t="inlineStr">
        <is>
          <t>3500</t>
        </is>
      </c>
      <c r="AP644" t="inlineStr">
        <is>
          <t>TAKE ALL</t>
        </is>
      </c>
    </row>
    <row r="645">
      <c r="A645" t="inlineStr">
        <is>
          <t>B0BDQYK9ZT</t>
        </is>
      </c>
      <c r="B645" t="inlineStr">
        <is>
          <t>False</t>
        </is>
      </c>
      <c r="C645" t="inlineStr">
        <is>
          <t>B0BDQYK9ZT</t>
        </is>
      </c>
      <c r="D645" t="inlineStr">
        <is>
          <t>Sainyer</t>
        </is>
      </c>
      <c r="E645" t="inlineStr">
        <is>
          <t>False</t>
        </is>
      </c>
      <c r="F645" t="inlineStr">
        <is>
          <t>Smart Projector 4K Android System, 15000Lm Mini Projector with WiFi and Bluetooth, 4K Outdoor Projector Max 300” Digital ±45° 4D Keystone Zoom Support, Compatible with Phone, TV Stick, Game, USB</t>
        </is>
      </c>
      <c r="G645">
        <v>1</v>
      </c>
      <c r="H645" s="2" t="str">
        <f>HYPERLINK("https://www.amazon.com/dp/B0BDQYK9ZT", "https://www.amazon.com/dp/B0BDQYK9ZT")</f>
      </c>
      <c r="I645" s="3">
        <v>68</v>
      </c>
      <c r="J645" s="4">
        <v>53.57</v>
      </c>
      <c r="K645" s="15">
        <v>0.3348</v>
      </c>
      <c r="L645" s="15">
        <v>0.614</v>
      </c>
      <c r="M645" t="inlineStr">
        <is>
          <t>False</t>
        </is>
      </c>
      <c r="N645" t="inlineStr">
        <is>
          <t>Video Projectors</t>
        </is>
      </c>
      <c r="O645" s="6">
        <v>339</v>
      </c>
      <c r="P645" s="6">
        <v>0</v>
      </c>
      <c r="Q645" s="6">
        <v>0</v>
      </c>
      <c r="R645" s="6">
        <v>0</v>
      </c>
      <c r="S645" s="7">
        <v>87.25</v>
      </c>
      <c r="T645" s="7">
        <v>159.99</v>
      </c>
      <c r="U645">
        <v>139.68</v>
      </c>
      <c r="V645" s="8">
        <v>0</v>
      </c>
      <c r="W645" s="7">
        <v>0</v>
      </c>
      <c r="X645" s="7">
        <v>0</v>
      </c>
      <c r="Y645">
        <v>2.6</v>
      </c>
      <c r="Z645" s="8">
        <v>0</v>
      </c>
      <c r="AB645">
        <v>0</v>
      </c>
      <c r="AC645">
        <v>0</v>
      </c>
      <c r="AD645">
        <v>2</v>
      </c>
      <c r="AE645">
        <v>2</v>
      </c>
      <c r="AF645">
        <v>0</v>
      </c>
      <c r="AG645">
        <v>1</v>
      </c>
      <c r="AH645">
        <v>0</v>
      </c>
      <c r="AI645" t="inlineStr">
        <is>
          <t>False</t>
        </is>
      </c>
      <c r="AJ645" s="2" t="str">
        <f>HYPERLINK("https://keepa.com/#!product/1-B0BDQYK9ZT", "https://keepa.com/#!product/1-B0BDQYK9ZT")</f>
      </c>
      <c r="AK645" s="2" t="str">
        <f>HYPERLINK("https://camelcamelcamel.com/search?sq=B0BDQYK9ZT", "https://camelcamelcamel.com/search?sq=B0BDQYK9ZT")</f>
      </c>
      <c r="AL645" t="inlineStr">
        <is>
          <t/>
        </is>
      </c>
      <c r="AM645" s="10">
        <v>45417.11111111111</v>
      </c>
      <c r="AN645" t="inlineStr">
        <is>
          <t>Smart Projector 4K Android System, 15000Lm Mini Projector with WiFi and Bluetooth, 4K Outdoor Projector Max 300â€ Digital Â±45Â° 4D Keystone Zoom Support, Compatible with Phone, TV Stick, Game, USB</t>
        </is>
      </c>
      <c r="AO645" t="inlineStr">
        <is>
          <t>500</t>
        </is>
      </c>
      <c r="AP645" t="inlineStr">
        <is>
          <t>TAKE ALL</t>
        </is>
      </c>
    </row>
    <row r="646">
      <c r="A646" t="inlineStr">
        <is>
          <t>B0BDRFBMJL</t>
        </is>
      </c>
      <c r="B646" t="inlineStr">
        <is>
          <t>False</t>
        </is>
      </c>
      <c r="C646" t="inlineStr">
        <is>
          <t>B0BDRFBMJL</t>
        </is>
      </c>
      <c r="D646" t="inlineStr">
        <is>
          <t>SOPAT</t>
        </is>
      </c>
      <c r="E646" t="inlineStr">
        <is>
          <t>False</t>
        </is>
      </c>
      <c r="F646" t="inlineStr">
        <is>
          <t>SOPAT Mattress Topper Queen Size Extra Thick Mattress Pad 8-21" Deep Pocket Soft Down Alternative Fill Mattress Protector Pillow Top Mattress Cover (60x80 Inches, White)</t>
        </is>
      </c>
      <c r="G646">
        <v>1</v>
      </c>
      <c r="H646" s="2" t="str">
        <f>HYPERLINK("https://www.amazon.com/dp/B0BDRFBMJL", "https://www.amazon.com/dp/B0BDRFBMJL")</f>
      </c>
      <c r="I646" s="3">
        <v>4400</v>
      </c>
      <c r="J646" s="4">
        <v>11.74</v>
      </c>
      <c r="K646" s="5">
        <v>0.245</v>
      </c>
      <c r="L646" s="15">
        <v>0.6021</v>
      </c>
      <c r="M646" t="inlineStr">
        <is>
          <t>True</t>
        </is>
      </c>
      <c r="N646" t="inlineStr">
        <is>
          <t>Home &amp; Kitchen</t>
        </is>
      </c>
      <c r="O646" s="6">
        <v>3808</v>
      </c>
      <c r="P646" s="6">
        <v>4771</v>
      </c>
      <c r="Q646" s="6">
        <v>1902</v>
      </c>
      <c r="R646" s="6">
        <v>250</v>
      </c>
      <c r="S646" s="7">
        <v>19.5</v>
      </c>
      <c r="T646" s="7">
        <v>47.92</v>
      </c>
      <c r="U646">
        <v>53.57</v>
      </c>
      <c r="V646" s="8">
        <v>0</v>
      </c>
      <c r="W646" s="7">
        <v>0</v>
      </c>
      <c r="X646" s="7">
        <v>0</v>
      </c>
      <c r="Y646">
        <v>9.57</v>
      </c>
      <c r="Z646" s="8">
        <v>0</v>
      </c>
      <c r="AB646">
        <v>0</v>
      </c>
      <c r="AC646">
        <v>0</v>
      </c>
      <c r="AD646">
        <v>4</v>
      </c>
      <c r="AE646">
        <v>1</v>
      </c>
      <c r="AF646">
        <v>0</v>
      </c>
      <c r="AG646">
        <v>1</v>
      </c>
      <c r="AH646">
        <v>33</v>
      </c>
      <c r="AI646" t="inlineStr">
        <is>
          <t>False</t>
        </is>
      </c>
      <c r="AJ646" s="2" t="str">
        <f>HYPERLINK("https://keepa.com/#!product/1-B0BDRFBMJL", "https://keepa.com/#!product/1-B0BDRFBMJL")</f>
      </c>
      <c r="AK646" s="2" t="str">
        <f>HYPERLINK("https://camelcamelcamel.com/search?sq=B0BDRFBMJL", "https://camelcamelcamel.com/search?sq=B0BDRFBMJL")</f>
      </c>
      <c r="AL646" t="inlineStr">
        <is>
          <t/>
        </is>
      </c>
      <c r="AM646" s="10">
        <v>45417.11111111111</v>
      </c>
      <c r="AN646" t="inlineStr">
        <is>
          <t>SOPAT Mattress Topper Queen Size Extra Thick Mattress Pad 8-21" Deep Pocket Soft Down Alternative Fill Mattress Protector Pillow Top Mattress Cover (60x80 Inches, White)</t>
        </is>
      </c>
      <c r="AO646" t="inlineStr">
        <is>
          <t>1218</t>
        </is>
      </c>
      <c r="AP646" t="inlineStr">
        <is>
          <t>609</t>
        </is>
      </c>
    </row>
    <row r="647">
      <c r="A647" t="inlineStr">
        <is>
          <t>B0BG94RWYN</t>
        </is>
      </c>
      <c r="B647" t="inlineStr">
        <is>
          <t>False</t>
        </is>
      </c>
      <c r="C647" t="inlineStr">
        <is>
          <t>B0BG94RWYN</t>
        </is>
      </c>
      <c r="D647" t="inlineStr">
        <is>
          <t>Clean Nutraceuticals</t>
        </is>
      </c>
      <c r="E647" t="inlineStr">
        <is>
          <t>False</t>
        </is>
      </c>
      <c r="F647" t="inlineStr">
        <is>
          <t>Sea Moss 3000mg Black Seed Oil 2000mg Ashwagandha 1000mg Turmeric 1000mg Bladderwrack 1000mg Burdock 1000mg &amp; Vitamin C &amp; D3 with Elderberry Manuka Dandelion Yellow Dock Iodine Chlorophyll ACV</t>
        </is>
      </c>
      <c r="G647">
        <v>10</v>
      </c>
      <c r="H647" s="2" t="str">
        <f>HYPERLINK("https://www.amazon.com/dp/B0BG94RWYN", "https://www.amazon.com/dp/B0BG94RWYN")</f>
      </c>
      <c r="I647" s="3">
        <v>74399</v>
      </c>
      <c r="J647" s="12">
        <v>-148.23</v>
      </c>
      <c r="K647" s="13">
        <v>-4.9492</v>
      </c>
      <c r="L647" s="13">
        <v>-0.8719</v>
      </c>
      <c r="M647" t="inlineStr">
        <is>
          <t>True</t>
        </is>
      </c>
      <c r="N647" t="inlineStr">
        <is>
          <t>Health &amp; Household</t>
        </is>
      </c>
      <c r="O647" s="6">
        <v>57</v>
      </c>
      <c r="P647" s="6">
        <v>72</v>
      </c>
      <c r="Q647" s="6">
        <v>25</v>
      </c>
      <c r="R647" s="6">
        <v>303</v>
      </c>
      <c r="S647" s="7">
        <v>17</v>
      </c>
      <c r="T647" s="7">
        <v>29.95</v>
      </c>
      <c r="U647">
        <v>28.53</v>
      </c>
      <c r="V647" s="8">
        <v>0</v>
      </c>
      <c r="W647" s="7">
        <v>0</v>
      </c>
      <c r="X647" s="7">
        <v>0</v>
      </c>
      <c r="Y647">
        <v>0.18</v>
      </c>
      <c r="Z647" s="8">
        <v>0</v>
      </c>
      <c r="AB647">
        <v>0</v>
      </c>
      <c r="AC647">
        <v>0</v>
      </c>
      <c r="AD647">
        <v>1</v>
      </c>
      <c r="AE647">
        <v>1</v>
      </c>
      <c r="AF647">
        <v>0</v>
      </c>
      <c r="AG647">
        <v>1</v>
      </c>
      <c r="AH647">
        <v>0</v>
      </c>
      <c r="AI647" t="inlineStr">
        <is>
          <t>False</t>
        </is>
      </c>
      <c r="AJ647" s="2" t="str">
        <f>HYPERLINK("https://keepa.com/#!product/1-B0BG94RWYN", "https://keepa.com/#!product/1-B0BG94RWYN")</f>
      </c>
      <c r="AK647" s="2" t="str">
        <f>HYPERLINK("https://camelcamelcamel.com/search?sq=B0BG94RWYN", "https://camelcamelcamel.com/search?sq=B0BG94RWYN")</f>
      </c>
      <c r="AL647" t="inlineStr">
        <is>
          <t/>
        </is>
      </c>
      <c r="AM647" s="10">
        <v>45417.11111111111</v>
      </c>
      <c r="AN647" t="inlineStr">
        <is>
          <t>Sea Moss 3000mg Black Seed Oil 2000mg Ashwagandha 1000mg Turmeric 1000mg Bladderwrack 1000mg Burdock 1000mg &amp; Vitamin C &amp; D3 with Elderberry Manuka Dandelion Yellow Dock Iodine Chlorophyll AC</t>
        </is>
      </c>
      <c r="AO647" t="inlineStr">
        <is>
          <t>500</t>
        </is>
      </c>
      <c r="AP647" t="inlineStr">
        <is>
          <t>TAKE ALL</t>
        </is>
      </c>
    </row>
    <row r="648">
      <c r="A648" t="inlineStr">
        <is>
          <t>B0BGV79FHT</t>
        </is>
      </c>
      <c r="B648" t="inlineStr">
        <is>
          <t>False</t>
        </is>
      </c>
      <c r="C648" t="inlineStr">
        <is>
          <t>B0BGV79FHT</t>
        </is>
      </c>
      <c r="D648" t="inlineStr">
        <is>
          <t>NETGEAR</t>
        </is>
      </c>
      <c r="E648" t="inlineStr">
        <is>
          <t>True</t>
        </is>
      </c>
      <c r="F648" t="inlineStr">
        <is>
          <t>NETGEAR Nighthawk M6 5G Mobile Hotspot, 5G Router with Sim Card Slot, 5G Modem, Portable WiFi Device for Travel, Unlocked with Verizon, AT&amp;T, and T-Mobile, WiFi 6, 2.5Gbps (MR6150)</t>
        </is>
      </c>
      <c r="G648">
        <v>1</v>
      </c>
      <c r="H648" s="2" t="str">
        <f>HYPERLINK("https://www.amazon.com/dp/B0BGV79FHT", "https://www.amazon.com/dp/B0BGV79FHT")</f>
      </c>
      <c r="I648" s="3">
        <v>234</v>
      </c>
      <c r="J648" s="4">
        <v>147.45</v>
      </c>
      <c r="K648" s="5">
        <v>0.2268</v>
      </c>
      <c r="L648" s="15">
        <v>0.33130000000000004</v>
      </c>
      <c r="M648" t="inlineStr">
        <is>
          <t>True</t>
        </is>
      </c>
      <c r="N648" t="inlineStr">
        <is>
          <t>Computers &amp; Accessories</t>
        </is>
      </c>
      <c r="O648" s="6">
        <v>2448</v>
      </c>
      <c r="P648" s="6">
        <v>2441</v>
      </c>
      <c r="Q648" s="6">
        <v>1041</v>
      </c>
      <c r="R648" s="6">
        <v>144</v>
      </c>
      <c r="S648" s="7">
        <v>445</v>
      </c>
      <c r="T648" s="7">
        <v>649.99</v>
      </c>
      <c r="U648">
        <v>659.48</v>
      </c>
      <c r="V648" s="8">
        <v>0</v>
      </c>
      <c r="W648" s="7">
        <v>0</v>
      </c>
      <c r="X648" s="7">
        <v>0</v>
      </c>
      <c r="Y648">
        <v>1.26</v>
      </c>
      <c r="Z648" s="9">
        <v>1</v>
      </c>
      <c r="AB648">
        <v>0</v>
      </c>
      <c r="AC648">
        <v>0</v>
      </c>
      <c r="AD648">
        <v>17</v>
      </c>
      <c r="AE648">
        <v>1</v>
      </c>
      <c r="AF648">
        <v>3</v>
      </c>
      <c r="AG648">
        <v>1</v>
      </c>
      <c r="AH648">
        <v>3</v>
      </c>
      <c r="AI648" t="inlineStr">
        <is>
          <t>True</t>
        </is>
      </c>
      <c r="AJ648" s="2" t="str">
        <f>HYPERLINK("https://keepa.com/#!product/1-B0BGV79FHT", "https://keepa.com/#!product/1-B0BGV79FHT")</f>
      </c>
      <c r="AK648" s="2" t="str">
        <f>HYPERLINK("https://camelcamelcamel.com/search?sq=B0BGV79FHT", "https://camelcamelcamel.com/search?sq=B0BGV79FHT")</f>
      </c>
      <c r="AL648" t="inlineStr">
        <is>
          <t/>
        </is>
      </c>
      <c r="AM648" s="10">
        <v>45417.11111111111</v>
      </c>
      <c r="AN648" t="inlineStr">
        <is>
          <t>NETGEAR Nighthawk M6 5G Mobile Hotspot, 5G Router with Sim Card Slot, 5G Modem, Portable WiFi Device for Travel, Unlocked with Verizon, AT&amp;T, and T-Mobile, WiFi 6, 2.5Gbps (MR6150)</t>
        </is>
      </c>
      <c r="AO648" t="inlineStr">
        <is>
          <t>55</t>
        </is>
      </c>
      <c r="AP648" t="inlineStr">
        <is>
          <t>TAKE ALL</t>
        </is>
      </c>
    </row>
    <row r="649">
      <c r="A649" t="inlineStr">
        <is>
          <t>B0BHSVYW71</t>
        </is>
      </c>
      <c r="B649" t="inlineStr">
        <is>
          <t>False</t>
        </is>
      </c>
      <c r="C649" t="inlineStr">
        <is>
          <t>B0BHSVYW71</t>
        </is>
      </c>
      <c r="D649" t="inlineStr">
        <is>
          <t>YANGRUI</t>
        </is>
      </c>
      <c r="E649" t="inlineStr">
        <is>
          <t>False</t>
        </is>
      </c>
      <c r="F649" t="inlineStr">
        <is>
          <t>YANGRUI Take Out Containers, Shrink Wrap 45 Pack 26 oz Reusable Machine Washable Extra Thick BPA Free Meal Prep Container Microwave Freezer Safe Leak Proof To Go Containers</t>
        </is>
      </c>
      <c r="G649">
        <v>1</v>
      </c>
      <c r="H649" s="2" t="str">
        <f>HYPERLINK("https://www.amazon.com/dp/B0BHSVYW71", "https://www.amazon.com/dp/B0BHSVYW71")</f>
      </c>
      <c r="I649" s="3">
        <v>1320</v>
      </c>
      <c r="J649" s="12">
        <v>-3.41</v>
      </c>
      <c r="K649" s="13">
        <v>-0.1797</v>
      </c>
      <c r="L649" s="13">
        <v>-0.3248</v>
      </c>
      <c r="M649" t="inlineStr">
        <is>
          <t>True</t>
        </is>
      </c>
      <c r="N649" t="inlineStr">
        <is>
          <t>Industrial &amp; Scientific</t>
        </is>
      </c>
      <c r="O649" s="6">
        <v>2749</v>
      </c>
      <c r="P649" s="6">
        <v>2727</v>
      </c>
      <c r="Q649" s="6">
        <v>838</v>
      </c>
      <c r="R649" s="6">
        <v>165</v>
      </c>
      <c r="S649" s="7">
        <v>10.5</v>
      </c>
      <c r="T649" s="7">
        <v>18.98</v>
      </c>
      <c r="U649">
        <v>23.88</v>
      </c>
      <c r="V649" s="8">
        <v>0</v>
      </c>
      <c r="W649" s="7">
        <v>0</v>
      </c>
      <c r="X649" s="7">
        <v>0</v>
      </c>
      <c r="Y649">
        <v>4.01</v>
      </c>
      <c r="Z649" s="8">
        <v>0</v>
      </c>
      <c r="AB649">
        <v>0</v>
      </c>
      <c r="AC649">
        <v>0</v>
      </c>
      <c r="AD649">
        <v>6</v>
      </c>
      <c r="AE649">
        <v>4</v>
      </c>
      <c r="AF649">
        <v>0</v>
      </c>
      <c r="AG649">
        <v>2</v>
      </c>
      <c r="AH649">
        <v>10</v>
      </c>
      <c r="AI649" t="inlineStr">
        <is>
          <t>False</t>
        </is>
      </c>
      <c r="AJ649" s="2" t="str">
        <f>HYPERLINK("https://keepa.com/#!product/1-B0BHSVYW71", "https://keepa.com/#!product/1-B0BHSVYW71")</f>
      </c>
      <c r="AK649" s="2" t="str">
        <f>HYPERLINK("https://camelcamelcamel.com/search?sq=B0BHSVYW71", "https://camelcamelcamel.com/search?sq=B0BHSVYW71")</f>
      </c>
      <c r="AL649" t="inlineStr">
        <is>
          <t/>
        </is>
      </c>
      <c r="AM649" s="10">
        <v>45417.11111111111</v>
      </c>
      <c r="AN649" t="inlineStr">
        <is>
          <t>YANGRUI Take Out Containers, Shrink Wrap 45 Pack 26 oz Reusable Machine Washable Extra Thick BPA Free Meal Prep Container Microwave Freezer Safe Leak Proof To Go Containers</t>
        </is>
      </c>
      <c r="AO649" t="inlineStr">
        <is>
          <t>1000</t>
        </is>
      </c>
      <c r="AP649" t="inlineStr">
        <is>
          <t>500</t>
        </is>
      </c>
    </row>
    <row r="650">
      <c r="A650" t="inlineStr">
        <is>
          <t>B0BJJTZ1RF</t>
        </is>
      </c>
      <c r="B650" t="inlineStr">
        <is>
          <t>False</t>
        </is>
      </c>
      <c r="C650" t="inlineStr">
        <is>
          <t>B0BJJTZ1RF</t>
        </is>
      </c>
      <c r="D650" t="inlineStr">
        <is>
          <t>SweetLeaf</t>
        </is>
      </c>
      <c r="E650" t="inlineStr">
        <is>
          <t>False</t>
        </is>
      </c>
      <c r="F650" t="inlineStr">
        <is>
          <t>SweetLeaf Natural Sweet Drops Sweetener, Hazelnut, Non-GMO, 2 Fl Oz (Pack of 3)</t>
        </is>
      </c>
      <c r="G650">
        <v>1</v>
      </c>
      <c r="H650" s="2" t="str">
        <f>HYPERLINK("https://www.amazon.com/dp/B0BJJTZ1RF", "https://www.amazon.com/dp/B0BJJTZ1RF")</f>
      </c>
      <c r="I650" s="3">
        <v>1603</v>
      </c>
      <c r="J650" s="4">
        <v>9.05</v>
      </c>
      <c r="K650" s="5">
        <v>0.213</v>
      </c>
      <c r="L650" s="15">
        <v>0.4114</v>
      </c>
      <c r="M650" t="inlineStr">
        <is>
          <t>True</t>
        </is>
      </c>
      <c r="N650" t="inlineStr">
        <is>
          <t>Grocery &amp; Gourmet Food</t>
        </is>
      </c>
      <c r="O650" s="6">
        <v>5294</v>
      </c>
      <c r="P650" s="6">
        <v>4204</v>
      </c>
      <c r="Q650" s="6">
        <v>3245</v>
      </c>
      <c r="R650" s="6">
        <v>118</v>
      </c>
      <c r="S650" s="7">
        <v>22</v>
      </c>
      <c r="T650" s="7">
        <v>42.49</v>
      </c>
      <c r="U650">
        <v>42.54</v>
      </c>
      <c r="V650" s="8">
        <v>0</v>
      </c>
      <c r="W650" s="7">
        <v>0</v>
      </c>
      <c r="X650" s="7">
        <v>0</v>
      </c>
      <c r="Y650">
        <v>0.84</v>
      </c>
      <c r="Z650" s="8">
        <v>0</v>
      </c>
      <c r="AB650">
        <v>0</v>
      </c>
      <c r="AC650">
        <v>0</v>
      </c>
      <c r="AD650">
        <v>7</v>
      </c>
      <c r="AE650">
        <v>0</v>
      </c>
      <c r="AF650">
        <v>7</v>
      </c>
      <c r="AG650">
        <v>5</v>
      </c>
      <c r="AH650">
        <v>9</v>
      </c>
      <c r="AI650" t="inlineStr">
        <is>
          <t>False</t>
        </is>
      </c>
      <c r="AJ650" s="2" t="str">
        <f>HYPERLINK("https://keepa.com/#!product/1-B0BJJTZ1RF", "https://keepa.com/#!product/1-B0BJJTZ1RF")</f>
      </c>
      <c r="AK650" s="2" t="str">
        <f>HYPERLINK("https://camelcamelcamel.com/search?sq=B0BJJTZ1RF", "https://camelcamelcamel.com/search?sq=B0BJJTZ1RF")</f>
      </c>
      <c r="AL650" t="inlineStr">
        <is>
          <t/>
        </is>
      </c>
      <c r="AM650" s="10">
        <v>45417.11111111111</v>
      </c>
      <c r="AN650" t="inlineStr">
        <is>
          <t>SweetLeaf Natural Sweet Drops Sweetener, Hazelnut, Non-GMO, 2 Fl Oz (Pack of 3)</t>
        </is>
      </c>
      <c r="AO650" t="inlineStr">
        <is>
          <t>500</t>
        </is>
      </c>
      <c r="AP650" t="inlineStr">
        <is>
          <t>TAKE ALL</t>
        </is>
      </c>
    </row>
    <row r="651">
      <c r="A651" t="inlineStr">
        <is>
          <t>B0BJNP7DF9</t>
        </is>
      </c>
      <c r="B651" t="inlineStr">
        <is>
          <t>False</t>
        </is>
      </c>
      <c r="C651" t="inlineStr">
        <is>
          <t>B0BJNP7DF9</t>
        </is>
      </c>
      <c r="D651" t="inlineStr">
        <is>
          <t>Flamingo</t>
        </is>
      </c>
      <c r="E651" t="inlineStr">
        <is>
          <t>False</t>
        </is>
      </c>
      <c r="F651" t="inlineStr">
        <is>
          <t>Flamingo Women’s Pubic Hair Wax Kit - 48 Wax Strips</t>
        </is>
      </c>
      <c r="G651">
        <v>1</v>
      </c>
      <c r="H651" s="2" t="str">
        <f>HYPERLINK("https://www.amazon.com/dp/B0BJNP7DF9", "https://www.amazon.com/dp/B0BJNP7DF9")</f>
      </c>
      <c r="I651" s="3">
        <v>1974</v>
      </c>
      <c r="J651" s="11">
        <v>0.07</v>
      </c>
      <c r="K651" s="5">
        <v>0.0039000000000000003</v>
      </c>
      <c r="L651" s="5">
        <v>0.0072</v>
      </c>
      <c r="M651" t="inlineStr">
        <is>
          <t>True</t>
        </is>
      </c>
      <c r="N651" t="inlineStr">
        <is>
          <t>Beauty &amp; Personal Care</t>
        </is>
      </c>
      <c r="O651" s="6">
        <v>9489</v>
      </c>
      <c r="P651" s="6">
        <v>7139</v>
      </c>
      <c r="Q651" s="6">
        <v>3957</v>
      </c>
      <c r="R651" s="6">
        <v>200</v>
      </c>
      <c r="S651" s="7">
        <v>9.75</v>
      </c>
      <c r="T651" s="7">
        <v>17.98</v>
      </c>
      <c r="U651">
        <v>19.43</v>
      </c>
      <c r="V651" s="8">
        <v>0</v>
      </c>
      <c r="W651" s="7">
        <v>0</v>
      </c>
      <c r="X651" s="7">
        <v>0</v>
      </c>
      <c r="Y651">
        <v>0.4</v>
      </c>
      <c r="Z651" s="9">
        <v>1</v>
      </c>
      <c r="AB651">
        <v>0</v>
      </c>
      <c r="AC651">
        <v>0</v>
      </c>
      <c r="AD651">
        <v>7</v>
      </c>
      <c r="AE651">
        <v>3</v>
      </c>
      <c r="AF651">
        <v>4</v>
      </c>
      <c r="AG651">
        <v>2</v>
      </c>
      <c r="AH651">
        <v>3</v>
      </c>
      <c r="AI651" t="inlineStr">
        <is>
          <t>False</t>
        </is>
      </c>
      <c r="AJ651" s="2" t="str">
        <f>HYPERLINK("https://keepa.com/#!product/1-B0BJNP7DF9", "https://keepa.com/#!product/1-B0BJNP7DF9")</f>
      </c>
      <c r="AK651" s="2" t="str">
        <f>HYPERLINK("https://camelcamelcamel.com/search?sq=B0BJNP7DF9", "https://camelcamelcamel.com/search?sq=B0BJNP7DF9")</f>
      </c>
      <c r="AL651" t="inlineStr">
        <is>
          <t/>
        </is>
      </c>
      <c r="AM651" s="10">
        <v>45417.11111111111</v>
      </c>
      <c r="AN651" t="inlineStr">
        <is>
          <t>Flamingo Womenâ€™s Pubic Hair Wax Kit - 48 Wax Strips</t>
        </is>
      </c>
      <c r="AO651" t="inlineStr">
        <is>
          <t>1000</t>
        </is>
      </c>
      <c r="AP651" t="inlineStr">
        <is>
          <t>TAKE ALL</t>
        </is>
      </c>
    </row>
    <row r="652">
      <c r="A652" t="inlineStr">
        <is>
          <t>B0BJZ3YNN5</t>
        </is>
      </c>
      <c r="B652" t="inlineStr">
        <is>
          <t>False</t>
        </is>
      </c>
      <c r="C652" t="inlineStr">
        <is>
          <t>B0BJZ3YNN5</t>
        </is>
      </c>
      <c r="D652" t="inlineStr">
        <is>
          <t>Dell</t>
        </is>
      </c>
      <c r="E652" t="inlineStr">
        <is>
          <t>True</t>
        </is>
      </c>
      <c r="F652" t="inlineStr">
        <is>
          <t>Dell UltraSharp U3423WE 34.1" WQHD Curved Screen WLED LCD Monitor - 21:9</t>
        </is>
      </c>
      <c r="G652">
        <v>1</v>
      </c>
      <c r="H652" s="2" t="str">
        <f>HYPERLINK("https://www.amazon.com/dp/B0BJZ3YNN5", "https://www.amazon.com/dp/B0BJZ3YNN5")</f>
      </c>
      <c r="I652" s="3">
        <v>112</v>
      </c>
      <c r="J652" s="4">
        <v>24.08</v>
      </c>
      <c r="K652" s="5">
        <v>0.0385</v>
      </c>
      <c r="L652" s="5">
        <v>0.048600000000000004</v>
      </c>
      <c r="M652" t="inlineStr">
        <is>
          <t>True</t>
        </is>
      </c>
      <c r="N652" t="inlineStr">
        <is>
          <t>Electronics</t>
        </is>
      </c>
      <c r="O652" s="6">
        <v>30981</v>
      </c>
      <c r="P652" s="6">
        <v>40731</v>
      </c>
      <c r="Q652" s="6">
        <v>9801</v>
      </c>
      <c r="R652" s="6">
        <v>152</v>
      </c>
      <c r="S652" s="7">
        <v>495</v>
      </c>
      <c r="T652" s="7">
        <v>625</v>
      </c>
      <c r="U652">
        <v>674.34</v>
      </c>
      <c r="V652" s="8">
        <v>0</v>
      </c>
      <c r="W652" s="7">
        <v>0</v>
      </c>
      <c r="X652" s="7">
        <v>0</v>
      </c>
      <c r="Y652">
        <v>30.05</v>
      </c>
      <c r="Z652" s="9">
        <v>0.9</v>
      </c>
      <c r="AB652">
        <v>0</v>
      </c>
      <c r="AC652">
        <v>0</v>
      </c>
      <c r="AD652">
        <v>19</v>
      </c>
      <c r="AE652">
        <v>3</v>
      </c>
      <c r="AF652">
        <v>11</v>
      </c>
      <c r="AG652">
        <v>2</v>
      </c>
      <c r="AH652">
        <v>0</v>
      </c>
      <c r="AI652" t="inlineStr">
        <is>
          <t>False</t>
        </is>
      </c>
      <c r="AJ652" s="2" t="str">
        <f>HYPERLINK("https://keepa.com/#!product/1-B0BJZ3YNN5", "https://keepa.com/#!product/1-B0BJZ3YNN5")</f>
      </c>
      <c r="AK652" s="2" t="str">
        <f>HYPERLINK("https://camelcamelcamel.com/search?sq=B0BJZ3YNN5", "https://camelcamelcamel.com/search?sq=B0BJZ3YNN5")</f>
      </c>
      <c r="AL652" t="inlineStr">
        <is>
          <t/>
        </is>
      </c>
      <c r="AM652" s="10">
        <v>45417.11111111111</v>
      </c>
      <c r="AN652" t="inlineStr">
        <is>
          <t>Dell UltraSharp U3423WE 34.1" WQHD Curved Screen WLED LCD Monitor - 21:9</t>
        </is>
      </c>
      <c r="AO652" t="inlineStr">
        <is>
          <t>300</t>
        </is>
      </c>
      <c r="AP652" t="inlineStr">
        <is>
          <t>100</t>
        </is>
      </c>
    </row>
    <row r="653">
      <c r="A653" t="inlineStr">
        <is>
          <t>B0BL8Z3DY1</t>
        </is>
      </c>
      <c r="B653" t="inlineStr">
        <is>
          <t>False</t>
        </is>
      </c>
      <c r="C653" t="inlineStr">
        <is>
          <t>B0BL8Z3DY1</t>
        </is>
      </c>
      <c r="D653" t="inlineStr">
        <is>
          <t>Bully</t>
        </is>
      </c>
      <c r="E653" t="inlineStr">
        <is>
          <t>False</t>
        </is>
      </c>
      <c r="F653" t="inlineStr">
        <is>
          <t>Bully UTV Black Utility Box</t>
        </is>
      </c>
      <c r="G653">
        <v>1</v>
      </c>
      <c r="H653" s="2" t="str">
        <f>HYPERLINK("https://www.amazon.com/dp/B0BL8Z3DY1", "https://www.amazon.com/dp/B0BL8Z3DY1")</f>
      </c>
      <c r="I653" s="14">
        <v>5</v>
      </c>
      <c r="J653" s="12">
        <v>-11.46</v>
      </c>
      <c r="K653" s="13">
        <v>-0.1751</v>
      </c>
      <c r="L653" s="13">
        <v>-0.2028</v>
      </c>
      <c r="M653" t="inlineStr">
        <is>
          <t>False</t>
        </is>
      </c>
      <c r="N653" t="inlineStr">
        <is>
          <t>Automotive Parts and Accessories</t>
        </is>
      </c>
      <c r="P653" s="6">
        <v>0</v>
      </c>
      <c r="Q653" s="6">
        <v>0</v>
      </c>
      <c r="R653" s="6">
        <v>0</v>
      </c>
      <c r="S653" s="7">
        <v>56.5</v>
      </c>
      <c r="T653" s="7">
        <v>65.45</v>
      </c>
      <c r="U653">
        <v>74.11</v>
      </c>
      <c r="V653" s="8">
        <v>0</v>
      </c>
      <c r="W653" s="7">
        <v>0</v>
      </c>
      <c r="X653" s="7">
        <v>0</v>
      </c>
      <c r="Y653">
        <v>7.9</v>
      </c>
      <c r="Z653" s="9">
        <v>1</v>
      </c>
      <c r="AB653">
        <v>0</v>
      </c>
      <c r="AC653">
        <v>0</v>
      </c>
      <c r="AD653">
        <v>1</v>
      </c>
      <c r="AE653">
        <v>1</v>
      </c>
      <c r="AF653">
        <v>0</v>
      </c>
      <c r="AG653">
        <v>1</v>
      </c>
      <c r="AH653">
        <v>0</v>
      </c>
      <c r="AI653" t="inlineStr">
        <is>
          <t>False</t>
        </is>
      </c>
      <c r="AJ653" s="2" t="str">
        <f>HYPERLINK("https://keepa.com/#!product/1-B0BL8Z3DY1", "https://keepa.com/#!product/1-B0BL8Z3DY1")</f>
      </c>
      <c r="AK653" s="2" t="str">
        <f>HYPERLINK("https://camelcamelcamel.com/search?sq=B0BL8Z3DY1", "https://camelcamelcamel.com/search?sq=B0BL8Z3DY1")</f>
      </c>
      <c r="AL653" t="inlineStr">
        <is>
          <t/>
        </is>
      </c>
      <c r="AM653" s="10">
        <v>45417.11111111111</v>
      </c>
      <c r="AN653" t="inlineStr">
        <is>
          <t>UTV Black Utility Box</t>
        </is>
      </c>
      <c r="AO653" t="inlineStr">
        <is>
          <t>200</t>
        </is>
      </c>
      <c r="AP653" t="inlineStr">
        <is>
          <t>TAKE ALL</t>
        </is>
      </c>
    </row>
    <row r="654">
      <c r="A654" t="inlineStr">
        <is>
          <t>B0BLH2RM75</t>
        </is>
      </c>
      <c r="B654" t="inlineStr">
        <is>
          <t>False</t>
        </is>
      </c>
      <c r="C654" t="inlineStr">
        <is>
          <t>B0BLH2RM75</t>
        </is>
      </c>
      <c r="D654" t="inlineStr">
        <is>
          <t>Nicebay</t>
        </is>
      </c>
      <c r="E654" t="inlineStr">
        <is>
          <t>False</t>
        </is>
      </c>
      <c r="F654" t="inlineStr">
        <is>
          <t>Nicebay® Curling Iron, 1 1/4 Inch Hair Curling Iron with Ceramic Coating, Professional Curling Wand, Fast Heating up to 430°F, Temperature LED Display, Wide Voltage for Worldwide, 60 Mins Auto Off</t>
        </is>
      </c>
      <c r="G654">
        <v>1</v>
      </c>
      <c r="H654" s="2" t="str">
        <f>HYPERLINK("https://www.amazon.com/dp/B0BLH2RM75", "https://www.amazon.com/dp/B0BLH2RM75")</f>
      </c>
      <c r="I654" s="3">
        <v>419</v>
      </c>
      <c r="J654" s="4">
        <v>14.18</v>
      </c>
      <c r="K654" s="15">
        <v>0.3024</v>
      </c>
      <c r="L654" s="15">
        <v>0.652</v>
      </c>
      <c r="M654" t="inlineStr">
        <is>
          <t>True</t>
        </is>
      </c>
      <c r="N654" t="inlineStr">
        <is>
          <t>Beauty &amp; Personal Care</t>
        </is>
      </c>
      <c r="O654" s="6">
        <v>35434</v>
      </c>
      <c r="P654" s="6">
        <v>44281</v>
      </c>
      <c r="Q654" s="6">
        <v>4777</v>
      </c>
      <c r="R654" s="6">
        <v>159</v>
      </c>
      <c r="S654" s="7">
        <v>21.75</v>
      </c>
      <c r="T654" s="7">
        <v>46.89</v>
      </c>
      <c r="U654">
        <v>42.84</v>
      </c>
      <c r="V654" s="8">
        <v>0</v>
      </c>
      <c r="W654" s="7">
        <v>0</v>
      </c>
      <c r="X654" s="7">
        <v>0</v>
      </c>
      <c r="Y654">
        <v>0.44</v>
      </c>
      <c r="Z654" s="9">
        <v>0.5</v>
      </c>
      <c r="AB654">
        <v>0</v>
      </c>
      <c r="AC654">
        <v>0</v>
      </c>
      <c r="AD654">
        <v>7</v>
      </c>
      <c r="AE654">
        <v>3</v>
      </c>
      <c r="AF654">
        <v>4</v>
      </c>
      <c r="AG654">
        <v>3</v>
      </c>
      <c r="AH654">
        <v>3</v>
      </c>
      <c r="AI654" t="inlineStr">
        <is>
          <t>False</t>
        </is>
      </c>
      <c r="AJ654" s="2" t="str">
        <f>HYPERLINK("https://keepa.com/#!product/1-B0BLH2RM75", "https://keepa.com/#!product/1-B0BLH2RM75")</f>
      </c>
      <c r="AK654" s="2" t="str">
        <f>HYPERLINK("https://camelcamelcamel.com/search?sq=B0BLH2RM75", "https://camelcamelcamel.com/search?sq=B0BLH2RM75")</f>
      </c>
      <c r="AL654" t="inlineStr">
        <is>
          <t/>
        </is>
      </c>
      <c r="AM654" s="10">
        <v>45417.11111111111</v>
      </c>
      <c r="AN654" t="inlineStr">
        <is>
          <t>Nicebay Curling Iron, 1 1/4 Inch Hair Curling Iron with Ceramic Coating, Professional Curling Wand, Fast Heating up to 430Â°F, Temperature LED Display, Wide Voltage for Worldwide, 60 Mins Auto Off</t>
        </is>
      </c>
      <c r="AO654" t="inlineStr">
        <is>
          <t>300</t>
        </is>
      </c>
      <c r="AP654" t="inlineStr">
        <is>
          <t>TAKE ALL</t>
        </is>
      </c>
    </row>
    <row r="655">
      <c r="A655" t="inlineStr">
        <is>
          <t>B0BM3C13B6</t>
        </is>
      </c>
      <c r="B655" t="inlineStr">
        <is>
          <t>False</t>
        </is>
      </c>
      <c r="C655" t="inlineStr">
        <is>
          <t>B0BM3C13B6</t>
        </is>
      </c>
      <c r="D655" t="inlineStr">
        <is>
          <t>MÜELLERHOME</t>
        </is>
      </c>
      <c r="E655" t="inlineStr">
        <is>
          <t>False</t>
        </is>
      </c>
      <c r="F655" t="inlineStr">
        <is>
          <t>Mueller 12-Cup Drip Coffee Maker - Borosilicate Carafe, Auto-Off, Reusable Filter, Anti-Drip, Keep-Warm Function, Clear Water Level Window Coffee Machine, Ideal for Home or Office</t>
        </is>
      </c>
      <c r="G655">
        <v>1</v>
      </c>
      <c r="H655" s="2" t="str">
        <f>HYPERLINK("https://www.amazon.com/dp/B0BM3C13B6", "https://www.amazon.com/dp/B0BM3C13B6")</f>
      </c>
      <c r="I655" s="3">
        <v>3948</v>
      </c>
      <c r="J655" s="12">
        <v>-3.68</v>
      </c>
      <c r="K655" s="13">
        <v>-0.1542</v>
      </c>
      <c r="L655" s="13">
        <v>-0.24530000000000002</v>
      </c>
      <c r="M655" t="inlineStr">
        <is>
          <t>True</t>
        </is>
      </c>
      <c r="N655" t="inlineStr">
        <is>
          <t>Home &amp; Kitchen</t>
        </is>
      </c>
      <c r="O655" s="6">
        <v>4515</v>
      </c>
      <c r="P655" s="6">
        <v>4918</v>
      </c>
      <c r="Q655" s="6">
        <v>882</v>
      </c>
      <c r="R655" s="6">
        <v>272</v>
      </c>
      <c r="S655" s="7">
        <v>15</v>
      </c>
      <c r="T655" s="7">
        <v>23.87</v>
      </c>
      <c r="U655">
        <v>28.46</v>
      </c>
      <c r="V655" s="8">
        <v>0</v>
      </c>
      <c r="W655" s="7">
        <v>0</v>
      </c>
      <c r="X655" s="7">
        <v>0</v>
      </c>
      <c r="Y655">
        <v>4.03</v>
      </c>
      <c r="Z655" s="8">
        <v>0</v>
      </c>
      <c r="AB655">
        <v>0</v>
      </c>
      <c r="AC655">
        <v>0</v>
      </c>
      <c r="AD655">
        <v>6</v>
      </c>
      <c r="AE655">
        <v>4</v>
      </c>
      <c r="AF655">
        <v>0</v>
      </c>
      <c r="AG655">
        <v>1</v>
      </c>
      <c r="AH655">
        <v>0</v>
      </c>
      <c r="AI655" t="inlineStr">
        <is>
          <t>False</t>
        </is>
      </c>
      <c r="AJ655" s="2" t="str">
        <f>HYPERLINK("https://keepa.com/#!product/1-B0BM3C13B6", "https://keepa.com/#!product/1-B0BM3C13B6")</f>
      </c>
      <c r="AK655" s="2" t="str">
        <f>HYPERLINK("https://camelcamelcamel.com/search?sq=B0BM3C13B6", "https://camelcamelcamel.com/search?sq=B0BM3C13B6")</f>
      </c>
      <c r="AL655" t="inlineStr">
        <is>
          <t/>
        </is>
      </c>
      <c r="AM655" s="10">
        <v>45417.11111111111</v>
      </c>
      <c r="AN655" t="inlineStr">
        <is>
          <t>Mueller 12-Cup Drip Coffee Maker - Borosilicate Carafe, Auto-Off, Reusable Filter, Anti-Drip, Keep-Warm Function, Clear Water Level Window Coffee Machine, Ideal for Home or Office</t>
        </is>
      </c>
      <c r="AO655" t="inlineStr">
        <is>
          <t>2240</t>
        </is>
      </c>
      <c r="AP655" t="inlineStr">
        <is>
          <t>500</t>
        </is>
      </c>
    </row>
    <row r="656">
      <c r="A656" t="inlineStr">
        <is>
          <t>B0BNJW92L5</t>
        </is>
      </c>
      <c r="B656" t="inlineStr">
        <is>
          <t>False</t>
        </is>
      </c>
      <c r="C656" t="inlineStr">
        <is>
          <t>B0BNJW92L5</t>
        </is>
      </c>
      <c r="D656" t="inlineStr">
        <is>
          <t>5-hour ENERGY</t>
        </is>
      </c>
      <c r="E656" t="inlineStr">
        <is>
          <t>False</t>
        </is>
      </c>
      <c r="F656" t="inlineStr">
        <is>
          <t>5-hour ENERGY Extra Strength Energy Shot | Hawaiian Breeze Flavor | 1.93 oz. | 24 Count | Sugar-Free &amp; Zero Calories | B-Vitamins &amp; Amino Acids | 230mg Caffeinated Energy Shot | Dietary Supplement</t>
        </is>
      </c>
      <c r="G656">
        <v>1</v>
      </c>
      <c r="H656" s="2" t="str">
        <f>HYPERLINK("https://www.amazon.com/dp/B0BNJW92L5", "https://www.amazon.com/dp/B0BNJW92L5")</f>
      </c>
      <c r="I656" s="3">
        <v>6805</v>
      </c>
      <c r="J656" s="4">
        <v>7.41</v>
      </c>
      <c r="K656" s="5">
        <v>0.1482</v>
      </c>
      <c r="L656" s="5">
        <v>0.268</v>
      </c>
      <c r="M656" t="inlineStr">
        <is>
          <t>True</t>
        </is>
      </c>
      <c r="N656" t="inlineStr">
        <is>
          <t>Health &amp; Household</t>
        </is>
      </c>
      <c r="O656" s="6">
        <v>3790</v>
      </c>
      <c r="P656" s="6">
        <v>3465</v>
      </c>
      <c r="Q656" s="6">
        <v>2584</v>
      </c>
      <c r="R656" s="6">
        <v>286</v>
      </c>
      <c r="S656" s="7">
        <v>27.65</v>
      </c>
      <c r="T656" s="7">
        <v>50</v>
      </c>
      <c r="U656">
        <v>49.79</v>
      </c>
      <c r="V656" s="8">
        <v>0</v>
      </c>
      <c r="W656" s="7">
        <v>0</v>
      </c>
      <c r="X656" s="7">
        <v>0</v>
      </c>
      <c r="Y656">
        <v>4.06</v>
      </c>
      <c r="Z656" s="8">
        <v>0</v>
      </c>
      <c r="AB656">
        <v>0</v>
      </c>
      <c r="AC656">
        <v>0</v>
      </c>
      <c r="AD656">
        <v>21</v>
      </c>
      <c r="AE656">
        <v>4</v>
      </c>
      <c r="AF656">
        <v>17</v>
      </c>
      <c r="AG656">
        <v>3</v>
      </c>
      <c r="AH656">
        <v>11</v>
      </c>
      <c r="AI656" t="inlineStr">
        <is>
          <t>False</t>
        </is>
      </c>
      <c r="AJ656" s="2" t="str">
        <f>HYPERLINK("https://keepa.com/#!product/1-B0BNJW92L5", "https://keepa.com/#!product/1-B0BNJW92L5")</f>
      </c>
      <c r="AK656" s="2" t="str">
        <f>HYPERLINK("https://camelcamelcamel.com/search?sq=B0BNJW92L5", "https://camelcamelcamel.com/search?sq=B0BNJW92L5")</f>
      </c>
      <c r="AL656" t="inlineStr">
        <is>
          <t/>
        </is>
      </c>
      <c r="AM656" s="10">
        <v>45417.11111111111</v>
      </c>
      <c r="AN656" t="inlineStr">
        <is>
          <t>5-hour ENERGY Extra Strength Energy Shot | Hawaiian Breeze Flavor | 1.93 oz. | 24 Count | Sugar-Free &amp; Zero Calories | B-Vitamins &amp; Amino Acids | 230mg Caffeinated Energy Shot | Dietary Supplement</t>
        </is>
      </c>
      <c r="AO656" t="inlineStr">
        <is>
          <t>200</t>
        </is>
      </c>
      <c r="AP656" t="inlineStr">
        <is>
          <t>TAKE ALL</t>
        </is>
      </c>
    </row>
    <row r="657">
      <c r="A657" t="inlineStr">
        <is>
          <t>B0BP88J155</t>
        </is>
      </c>
      <c r="B657" t="inlineStr">
        <is>
          <t>False</t>
        </is>
      </c>
      <c r="C657" t="inlineStr">
        <is>
          <t>B0BP88J155</t>
        </is>
      </c>
      <c r="D657" t="inlineStr">
        <is>
          <t>Pet Naturals</t>
        </is>
      </c>
      <c r="E657" t="inlineStr">
        <is>
          <t>False</t>
        </is>
      </c>
      <c r="F657" t="inlineStr">
        <is>
          <t>Pet Naturals Allergy Plus Calming Supplement for Dogs, Soft Chew, Duck Flavor, 60 Ct.</t>
        </is>
      </c>
      <c r="G657">
        <v>1</v>
      </c>
      <c r="H657" s="2" t="str">
        <f>HYPERLINK("https://www.amazon.com/dp/B0BP88J155", "https://www.amazon.com/dp/B0BP88J155")</f>
      </c>
      <c r="I657" s="3">
        <v>5951</v>
      </c>
      <c r="J657" s="11">
        <v>1.12</v>
      </c>
      <c r="K657" s="5">
        <v>0.0953</v>
      </c>
      <c r="L657" s="5">
        <v>0.2263</v>
      </c>
      <c r="M657" t="inlineStr">
        <is>
          <t>True</t>
        </is>
      </c>
      <c r="N657" t="inlineStr">
        <is>
          <t>Pet Supplies</t>
        </is>
      </c>
      <c r="O657" s="6">
        <v>1365</v>
      </c>
      <c r="P657" s="6">
        <v>1269</v>
      </c>
      <c r="Q657" s="6">
        <v>369</v>
      </c>
      <c r="R657" s="6">
        <v>166</v>
      </c>
      <c r="S657" s="7">
        <v>4.95</v>
      </c>
      <c r="T657" s="7">
        <v>11.75</v>
      </c>
      <c r="U657">
        <v>10.89</v>
      </c>
      <c r="V657" s="8">
        <v>0</v>
      </c>
      <c r="W657" s="7">
        <v>0</v>
      </c>
      <c r="X657" s="7">
        <v>0</v>
      </c>
      <c r="Y657">
        <v>0.22</v>
      </c>
      <c r="Z657" s="9">
        <v>1</v>
      </c>
      <c r="AB657">
        <v>0</v>
      </c>
      <c r="AC657">
        <v>0</v>
      </c>
      <c r="AD657">
        <v>1</v>
      </c>
      <c r="AE657">
        <v>1</v>
      </c>
      <c r="AF657">
        <v>0</v>
      </c>
      <c r="AG657">
        <v>1</v>
      </c>
      <c r="AH657">
        <v>5</v>
      </c>
      <c r="AI657" t="inlineStr">
        <is>
          <t>False</t>
        </is>
      </c>
      <c r="AJ657" s="2" t="str">
        <f>HYPERLINK("https://keepa.com/#!product/1-B0BP88J155", "https://keepa.com/#!product/1-B0BP88J155")</f>
      </c>
      <c r="AK657" s="2" t="str">
        <f>HYPERLINK("https://camelcamelcamel.com/search?sq=B0BP88J155", "https://camelcamelcamel.com/search?sq=B0BP88J155")</f>
      </c>
      <c r="AL657" t="inlineStr">
        <is>
          <t/>
        </is>
      </c>
      <c r="AM657" s="10">
        <v>45417.11111111111</v>
      </c>
      <c r="AN657" t="inlineStr">
        <is>
          <t>Pet Naturals Allergy Plus Calming Supplement for Dogs, Soft Chew, Duck Flavor, 60 Ct.</t>
        </is>
      </c>
      <c r="AO657" t="inlineStr">
        <is>
          <t>6000</t>
        </is>
      </c>
      <c r="AP657" t="inlineStr">
        <is>
          <t>3000</t>
        </is>
      </c>
    </row>
    <row r="658">
      <c r="A658" t="inlineStr">
        <is>
          <t>B0BPDG1331</t>
        </is>
      </c>
      <c r="B658" t="inlineStr">
        <is>
          <t>False</t>
        </is>
      </c>
      <c r="C658" t="inlineStr">
        <is>
          <t>B0BPDG1331</t>
        </is>
      </c>
      <c r="D658" t="inlineStr">
        <is>
          <t>Magic Bullet</t>
        </is>
      </c>
      <c r="E658" t="inlineStr">
        <is>
          <t>True</t>
        </is>
      </c>
      <c r="F658" t="inlineStr">
        <is>
          <t>magic bullet Blender, Small, Black, 11 Piece Set</t>
        </is>
      </c>
      <c r="G658">
        <v>1</v>
      </c>
      <c r="H658" s="2" t="str">
        <f>HYPERLINK("https://www.amazon.com/dp/B0BPDG1331", "https://www.amazon.com/dp/B0BPDG1331")</f>
      </c>
      <c r="I658" s="3">
        <v>27683</v>
      </c>
      <c r="J658" s="12">
        <v>-0.52</v>
      </c>
      <c r="K658" s="13">
        <v>-0.013000000000000001</v>
      </c>
      <c r="L658" s="13">
        <v>-0.019299999999999998</v>
      </c>
      <c r="M658" t="inlineStr">
        <is>
          <t>True</t>
        </is>
      </c>
      <c r="N658" t="inlineStr">
        <is>
          <t>Kitchen &amp; Dining</t>
        </is>
      </c>
      <c r="O658" s="6">
        <v>21</v>
      </c>
      <c r="P658" s="6">
        <v>24</v>
      </c>
      <c r="Q658" s="6">
        <v>10</v>
      </c>
      <c r="R658" s="6">
        <v>196</v>
      </c>
      <c r="S658" s="7">
        <v>27</v>
      </c>
      <c r="T658" s="7">
        <v>39.88</v>
      </c>
      <c r="U658">
        <v>41.64</v>
      </c>
      <c r="V658" s="8">
        <v>0</v>
      </c>
      <c r="W658" s="7">
        <v>0</v>
      </c>
      <c r="X658" s="7">
        <v>0</v>
      </c>
      <c r="Y658">
        <v>3.28</v>
      </c>
      <c r="Z658" s="9">
        <v>0.93</v>
      </c>
      <c r="AB658">
        <v>0</v>
      </c>
      <c r="AC658">
        <v>0</v>
      </c>
      <c r="AD658">
        <v>2</v>
      </c>
      <c r="AE658">
        <v>0</v>
      </c>
      <c r="AF658">
        <v>2</v>
      </c>
      <c r="AG658">
        <v>0</v>
      </c>
      <c r="AH658">
        <v>4</v>
      </c>
      <c r="AI658" t="inlineStr">
        <is>
          <t>False</t>
        </is>
      </c>
      <c r="AJ658" s="2" t="str">
        <f>HYPERLINK("https://keepa.com/#!product/1-B0BPDG1331", "https://keepa.com/#!product/1-B0BPDG1331")</f>
      </c>
      <c r="AK658" s="2" t="str">
        <f>HYPERLINK("https://camelcamelcamel.com/search?sq=B0BPDG1331", "https://camelcamelcamel.com/search?sq=B0BPDG1331")</f>
      </c>
      <c r="AL658" t="inlineStr">
        <is>
          <t/>
        </is>
      </c>
      <c r="AM658" s="10">
        <v>45417.11111111111</v>
      </c>
      <c r="AN658" t="inlineStr">
        <is>
          <t>Nutribullet Hot Offer!</t>
        </is>
      </c>
      <c r="AO658" t="inlineStr">
        <is>
          <t>300</t>
        </is>
      </c>
      <c r="AP658" t="inlineStr">
        <is>
          <t>TAKE ALL</t>
        </is>
      </c>
    </row>
    <row r="659">
      <c r="A659" t="inlineStr">
        <is>
          <t>B0BPX2FTZ5</t>
        </is>
      </c>
      <c r="B659" t="inlineStr">
        <is>
          <t>False</t>
        </is>
      </c>
      <c r="C659" t="inlineStr">
        <is>
          <t>B0BPX2FTZ5</t>
        </is>
      </c>
      <c r="D659" t="inlineStr">
        <is>
          <t>Beekeeper's Naturals</t>
        </is>
      </c>
      <c r="E659" t="inlineStr">
        <is>
          <t>False</t>
        </is>
      </c>
      <c r="F659" t="inlineStr">
        <is>
          <t>Beekeeper's Naturals Soothing Mint Eucalyptus Cough Drops, Immune Support with Vitamin D, Zinc and Propolis, Cooling &amp; Throat Soothing Lozenges, 14 Ct</t>
        </is>
      </c>
      <c r="G659">
        <v>1</v>
      </c>
      <c r="H659" s="2" t="str">
        <f>HYPERLINK("https://www.amazon.com/dp/B0BPX2FTZ5", "https://www.amazon.com/dp/B0BPX2FTZ5")</f>
      </c>
      <c r="I659" s="3">
        <v>4656</v>
      </c>
      <c r="J659" s="12">
        <v>-0.09</v>
      </c>
      <c r="K659" s="13">
        <v>-0.0121</v>
      </c>
      <c r="L659" s="13">
        <v>-0.0225</v>
      </c>
      <c r="M659" t="inlineStr">
        <is>
          <t>True</t>
        </is>
      </c>
      <c r="N659" t="inlineStr">
        <is>
          <t>Health &amp; Household</t>
        </is>
      </c>
      <c r="O659" s="6">
        <v>5719</v>
      </c>
      <c r="P659" s="6">
        <v>4037</v>
      </c>
      <c r="Q659" s="6">
        <v>2180</v>
      </c>
      <c r="R659" s="6">
        <v>300</v>
      </c>
      <c r="S659" s="7">
        <v>4</v>
      </c>
      <c r="T659" s="7">
        <v>7.43</v>
      </c>
      <c r="U659">
        <v>8.65</v>
      </c>
      <c r="V659" s="8">
        <v>0</v>
      </c>
      <c r="W659" s="7">
        <v>0</v>
      </c>
      <c r="X659" s="7">
        <v>0</v>
      </c>
      <c r="Y659">
        <v>0.13</v>
      </c>
      <c r="Z659" s="8">
        <v>0</v>
      </c>
      <c r="AB659">
        <v>0</v>
      </c>
      <c r="AC659">
        <v>0</v>
      </c>
      <c r="AD659">
        <v>6</v>
      </c>
      <c r="AE659">
        <v>5</v>
      </c>
      <c r="AF659">
        <v>1</v>
      </c>
      <c r="AG659">
        <v>1</v>
      </c>
      <c r="AH659">
        <v>5</v>
      </c>
      <c r="AI659" t="inlineStr">
        <is>
          <t>False</t>
        </is>
      </c>
      <c r="AJ659" s="2" t="str">
        <f>HYPERLINK("https://keepa.com/#!product/1-B0BPX2FTZ5", "https://keepa.com/#!product/1-B0BPX2FTZ5")</f>
      </c>
      <c r="AK659" s="2" t="str">
        <f>HYPERLINK("https://camelcamelcamel.com/search?sq=B0BPX2FTZ5", "https://camelcamelcamel.com/search?sq=B0BPX2FTZ5")</f>
      </c>
      <c r="AL659" t="inlineStr">
        <is>
          <t/>
        </is>
      </c>
      <c r="AM659" s="10">
        <v>45417.11111111111</v>
      </c>
      <c r="AN659" t="inlineStr">
        <is>
          <t>Beekeeper's Naturals Soothing Mint Eucalyptus Cough Drops, Immune Support with Vitamin D, Zinc and Propolis, Cooling &amp; Throat Soothing Lozenges, 14 Ct</t>
        </is>
      </c>
      <c r="AO659" t="inlineStr">
        <is>
          <t>2000</t>
        </is>
      </c>
      <c r="AP659" t="inlineStr">
        <is>
          <t>1000</t>
        </is>
      </c>
    </row>
    <row r="660">
      <c r="A660" t="inlineStr">
        <is>
          <t>B0BQ1DJMV8</t>
        </is>
      </c>
      <c r="B660" t="inlineStr">
        <is>
          <t>False</t>
        </is>
      </c>
      <c r="C660" t="inlineStr">
        <is>
          <t>B0BQ1DJMV8</t>
        </is>
      </c>
      <c r="D660" t="inlineStr">
        <is>
          <t>Poly</t>
        </is>
      </c>
      <c r="E660" t="inlineStr">
        <is>
          <t>False</t>
        </is>
      </c>
      <c r="F660" t="inlineStr">
        <is>
          <t>Poly Voyager Free 60+ UC True Wireless Earbuds (Plantronics) – Noise-Canceling Mics for Clear Calls – ANC – Smart Charge Case w/Touch Controls–Works w/iPhone,Android,PC/Mac,Zoom,Teams–Amazon Exclusive</t>
        </is>
      </c>
      <c r="G660">
        <v>1</v>
      </c>
      <c r="H660" s="2" t="str">
        <f>HYPERLINK("https://www.amazon.com/dp/B0BQ1DJMV8", "https://www.amazon.com/dp/B0BQ1DJMV8")</f>
      </c>
      <c r="I660" s="3">
        <v>67</v>
      </c>
      <c r="J660" s="4">
        <v>70.46</v>
      </c>
      <c r="K660" s="5">
        <v>0.2349</v>
      </c>
      <c r="L660" s="15">
        <v>0.36229999999999996</v>
      </c>
      <c r="M660" t="inlineStr">
        <is>
          <t>True</t>
        </is>
      </c>
      <c r="N660" t="inlineStr">
        <is>
          <t>Electronics</t>
        </is>
      </c>
      <c r="O660" s="6">
        <v>46625</v>
      </c>
      <c r="P660" s="6">
        <v>22379</v>
      </c>
      <c r="Q660" s="6">
        <v>8688</v>
      </c>
      <c r="R660" s="6">
        <v>193</v>
      </c>
      <c r="S660" s="7">
        <v>194.5</v>
      </c>
      <c r="T660" s="7">
        <v>299.99</v>
      </c>
      <c r="U660">
        <v>291.06</v>
      </c>
      <c r="V660" s="8">
        <v>0</v>
      </c>
      <c r="W660" s="7">
        <v>0</v>
      </c>
      <c r="X660" s="7">
        <v>0</v>
      </c>
      <c r="Y660">
        <v>0.41</v>
      </c>
      <c r="Z660" s="9">
        <v>1</v>
      </c>
      <c r="AB660">
        <v>0</v>
      </c>
      <c r="AC660">
        <v>0</v>
      </c>
      <c r="AD660">
        <v>20</v>
      </c>
      <c r="AE660">
        <v>1</v>
      </c>
      <c r="AF660">
        <v>0</v>
      </c>
      <c r="AG660">
        <v>1</v>
      </c>
      <c r="AH660">
        <v>6</v>
      </c>
      <c r="AI660" t="inlineStr">
        <is>
          <t>True</t>
        </is>
      </c>
      <c r="AJ660" s="2" t="str">
        <f>HYPERLINK("https://keepa.com/#!product/1-B0BQ1DJMV8", "https://keepa.com/#!product/1-B0BQ1DJMV8")</f>
      </c>
      <c r="AK660" s="2" t="str">
        <f>HYPERLINK("https://camelcamelcamel.com/search?sq=B0BQ1DJMV8", "https://camelcamelcamel.com/search?sq=B0BQ1DJMV8")</f>
      </c>
      <c r="AL660" t="inlineStr">
        <is>
          <t/>
        </is>
      </c>
      <c r="AM660" s="10">
        <v>45417.11111111111</v>
      </c>
      <c r="AN660" t="inlineStr">
        <is>
          <t>Poly Voyager Free 60+ UC True Wireless Earbuds (Plantronics) â€“ Noise-Canceling Mics for Clear Calls â€“ ANC â€“ Smart Charge Case w/Touch Controlsâ€“Works w/iPhone,Android,PC/Mac,Zoom,Teamsâ€“Ama...</t>
        </is>
      </c>
      <c r="AO660" t="inlineStr">
        <is>
          <t>300</t>
        </is>
      </c>
      <c r="AP660" t="inlineStr">
        <is>
          <t>TAKE ALL</t>
        </is>
      </c>
    </row>
    <row r="661">
      <c r="A661" t="inlineStr">
        <is>
          <t>B0BQ51S5BL</t>
        </is>
      </c>
      <c r="B661" t="inlineStr">
        <is>
          <t>False</t>
        </is>
      </c>
      <c r="C661" t="inlineStr">
        <is>
          <t>B0BQ51S5BL</t>
        </is>
      </c>
      <c r="D661" t="inlineStr">
        <is>
          <t>Liquid I.V.</t>
        </is>
      </c>
      <c r="E661" t="inlineStr">
        <is>
          <t>False</t>
        </is>
      </c>
      <c r="F661" t="inlineStr">
        <is>
          <t>Liquid I.V. Hydration Multiplier - Strawberry Lemonade - Hydration Powder Packets | Electrolyte Powder Drink Mix | Easy Open Single-Serving Sticks | Non-GMO |1 Pack (16 Servings)</t>
        </is>
      </c>
      <c r="G661">
        <v>16</v>
      </c>
      <c r="H661" s="2" t="str">
        <f>HYPERLINK("https://www.amazon.com/dp/B0BQ51S5BL", "https://www.amazon.com/dp/B0BQ51S5BL")</f>
      </c>
      <c r="I661" s="3">
        <v>128330</v>
      </c>
      <c r="J661" s="12">
        <v>-119.17</v>
      </c>
      <c r="K661" s="13">
        <v>-5.416799999999999</v>
      </c>
      <c r="L661" s="13">
        <v>-0.8974</v>
      </c>
      <c r="M661" t="inlineStr">
        <is>
          <t>True</t>
        </is>
      </c>
      <c r="N661" t="inlineStr">
        <is>
          <t>Health &amp; Household</t>
        </is>
      </c>
      <c r="O661" s="6">
        <v>7</v>
      </c>
      <c r="P661" s="6">
        <v>6</v>
      </c>
      <c r="Q661" s="6">
        <v>1</v>
      </c>
      <c r="R661" s="6">
        <v>71</v>
      </c>
      <c r="S661" s="7">
        <v>8.3</v>
      </c>
      <c r="T661" s="7">
        <v>22</v>
      </c>
      <c r="U661">
        <v>20.96</v>
      </c>
      <c r="V661" s="8">
        <v>0</v>
      </c>
      <c r="W661" s="7">
        <v>0</v>
      </c>
      <c r="X661" s="7">
        <v>0</v>
      </c>
      <c r="Y661">
        <v>0.64</v>
      </c>
      <c r="Z661" s="9">
        <v>0.04</v>
      </c>
      <c r="AB661">
        <v>0</v>
      </c>
      <c r="AC661">
        <v>0</v>
      </c>
      <c r="AD661">
        <v>15</v>
      </c>
      <c r="AE661">
        <v>8</v>
      </c>
      <c r="AF661">
        <v>7</v>
      </c>
      <c r="AG661">
        <v>2</v>
      </c>
      <c r="AH661">
        <v>67</v>
      </c>
      <c r="AI661" t="inlineStr">
        <is>
          <t>False</t>
        </is>
      </c>
      <c r="AJ661" s="2" t="str">
        <f>HYPERLINK("https://keepa.com/#!product/1-B0BQ51S5BL", "https://keepa.com/#!product/1-B0BQ51S5BL")</f>
      </c>
      <c r="AK661" s="2" t="str">
        <f>HYPERLINK("https://camelcamelcamel.com/search?sq=B0BQ51S5BL", "https://camelcamelcamel.com/search?sq=B0BQ51S5BL")</f>
      </c>
      <c r="AL661" t="inlineStr">
        <is>
          <t/>
        </is>
      </c>
      <c r="AM661" s="10">
        <v>45417.11111111111</v>
      </c>
      <c r="AN661" t="inlineStr">
        <is>
          <t>Liquid I.V. Hydration Multiplier - Strawberry Lemonade - Hydration Powder Packets | Electrolyte Drink Mix | Easy Open Single-Serving Stick | Non-GMO |16 Sticks</t>
        </is>
      </c>
      <c r="AO661" t="inlineStr">
        <is>
          <t>26 pallets</t>
        </is>
      </c>
      <c r="AP661" t="inlineStr">
        <is>
          <t>5 pallets</t>
        </is>
      </c>
    </row>
    <row r="662">
      <c r="A662" t="inlineStr">
        <is>
          <t>B0BQ58QQGH</t>
        </is>
      </c>
      <c r="B662" t="inlineStr">
        <is>
          <t>False</t>
        </is>
      </c>
      <c r="C662" t="inlineStr">
        <is>
          <t>B0BQ58QQGH</t>
        </is>
      </c>
      <c r="D662" t="inlineStr">
        <is>
          <t>Liquid I.V.</t>
        </is>
      </c>
      <c r="E662" t="inlineStr">
        <is>
          <t>False</t>
        </is>
      </c>
      <c r="F662" t="inlineStr">
        <is>
          <t>Liquid I.V. Hydration Multiplier - Seaberry - Hydration Powder Packets | Electrolyte Powder Drink Mix | Easy Open Single-Serving Sticks | Non-GMO | 3 Pack (48 Servings)</t>
        </is>
      </c>
      <c r="G662">
        <v>48</v>
      </c>
      <c r="H662" s="2" t="str">
        <f>HYPERLINK("https://www.amazon.com/dp/B0BQ58QQGH", "https://www.amazon.com/dp/B0BQ58QQGH")</f>
      </c>
      <c r="I662" s="14">
        <v>5</v>
      </c>
      <c r="J662" s="12">
        <v>-1293.27</v>
      </c>
      <c r="K662" s="13">
        <v>-19.3054</v>
      </c>
      <c r="L662" s="13">
        <v>-0.9623</v>
      </c>
      <c r="M662" t="inlineStr">
        <is>
          <t>False</t>
        </is>
      </c>
      <c r="N662" t="inlineStr">
        <is>
          <t>Health and Beauty</t>
        </is>
      </c>
      <c r="P662" s="6">
        <v>6</v>
      </c>
      <c r="Q662" s="6">
        <v>1</v>
      </c>
      <c r="R662" s="6">
        <v>65</v>
      </c>
      <c r="S662" s="7">
        <v>28</v>
      </c>
      <c r="T662" s="7">
        <v>66.99</v>
      </c>
      <c r="U662">
        <v>51.07</v>
      </c>
      <c r="V662" s="8">
        <v>0</v>
      </c>
      <c r="W662" s="7">
        <v>0</v>
      </c>
      <c r="X662" s="7">
        <v>0</v>
      </c>
      <c r="Y662">
        <v>1.98</v>
      </c>
      <c r="Z662" s="8">
        <v>0</v>
      </c>
      <c r="AB662">
        <v>0</v>
      </c>
      <c r="AC662">
        <v>0</v>
      </c>
      <c r="AD662">
        <v>4</v>
      </c>
      <c r="AE662">
        <v>3</v>
      </c>
      <c r="AF662">
        <v>1</v>
      </c>
      <c r="AG662">
        <v>2</v>
      </c>
      <c r="AH662">
        <v>67</v>
      </c>
      <c r="AI662" t="inlineStr">
        <is>
          <t>False</t>
        </is>
      </c>
      <c r="AJ662" s="2" t="str">
        <f>HYPERLINK("https://keepa.com/#!product/1-B0BQ58QQGH", "https://keepa.com/#!product/1-B0BQ58QQGH")</f>
      </c>
      <c r="AK662" s="2" t="str">
        <f>HYPERLINK("https://camelcamelcamel.com/search?sq=B0BQ58QQGH", "https://camelcamelcamel.com/search?sq=B0BQ58QQGH")</f>
      </c>
      <c r="AL662" t="inlineStr">
        <is>
          <t/>
        </is>
      </c>
      <c r="AM662" s="10">
        <v>45417.11111111111</v>
      </c>
      <c r="AN662" t="inlineStr">
        <is>
          <t>Liquid I.V. Hydration Multiplier - Seaberry - Hydration Powder Packets | Electrolyte Drink Mix | Easy Open Single-Serving Stick | Non-GMO | 48 Sticks</t>
        </is>
      </c>
      <c r="AO662" t="inlineStr">
        <is>
          <t>3600 units of 3 packs</t>
        </is>
      </c>
      <c r="AP662" t="inlineStr">
        <is>
          <t>1000 units of 3 packs</t>
        </is>
      </c>
    </row>
    <row r="663">
      <c r="A663" t="inlineStr">
        <is>
          <t>B0BQJ6W3D8</t>
        </is>
      </c>
      <c r="B663" t="inlineStr">
        <is>
          <t>False</t>
        </is>
      </c>
      <c r="C663" t="inlineStr">
        <is>
          <t>B0BQJ6W3D8</t>
        </is>
      </c>
      <c r="D663" t="inlineStr">
        <is>
          <t>TISSCARE</t>
        </is>
      </c>
      <c r="E663" t="inlineStr">
        <is>
          <t>False</t>
        </is>
      </c>
      <c r="F663" t="inlineStr">
        <is>
          <t>TISSCARE Foot Massager Shiatsu Foot Massager with Heat for Neuropathy and Plantar Fasciitis - Feet Massager for Circulation and Pain Relief, Mothers Day Gifts.</t>
        </is>
      </c>
      <c r="G663">
        <v>1</v>
      </c>
      <c r="H663" s="2" t="str">
        <f>HYPERLINK("https://www.amazon.com/dp/B0BQJ6W3D8", "https://www.amazon.com/dp/B0BQJ6W3D8")</f>
      </c>
      <c r="I663" s="3">
        <v>737</v>
      </c>
      <c r="J663" s="4">
        <v>68.21</v>
      </c>
      <c r="K663" s="15">
        <v>0.31010000000000004</v>
      </c>
      <c r="L663" s="15">
        <v>0.718</v>
      </c>
      <c r="M663" t="inlineStr">
        <is>
          <t>True</t>
        </is>
      </c>
      <c r="N663" t="inlineStr">
        <is>
          <t>Health &amp; Household</t>
        </is>
      </c>
      <c r="O663" s="6">
        <v>28303</v>
      </c>
      <c r="P663" s="6">
        <v>30399</v>
      </c>
      <c r="Q663" s="6">
        <v>13114</v>
      </c>
      <c r="R663" s="6">
        <v>159</v>
      </c>
      <c r="S663" s="7">
        <v>95</v>
      </c>
      <c r="T663" s="7">
        <v>219.99</v>
      </c>
      <c r="U663">
        <v>210.16</v>
      </c>
      <c r="V663" s="8">
        <v>0</v>
      </c>
      <c r="W663" s="7">
        <v>0</v>
      </c>
      <c r="X663" s="7">
        <v>0</v>
      </c>
      <c r="Y663">
        <v>18.4</v>
      </c>
      <c r="Z663" s="8">
        <v>0</v>
      </c>
      <c r="AB663">
        <v>0</v>
      </c>
      <c r="AC663">
        <v>0</v>
      </c>
      <c r="AD663">
        <v>2</v>
      </c>
      <c r="AE663">
        <v>2</v>
      </c>
      <c r="AF663">
        <v>0</v>
      </c>
      <c r="AG663">
        <v>1</v>
      </c>
      <c r="AH663">
        <v>4</v>
      </c>
      <c r="AI663" t="inlineStr">
        <is>
          <t>True</t>
        </is>
      </c>
      <c r="AJ663" s="2" t="str">
        <f>HYPERLINK("https://keepa.com/#!product/1-B0BQJ6W3D8", "https://keepa.com/#!product/1-B0BQJ6W3D8")</f>
      </c>
      <c r="AK663" s="2" t="str">
        <f>HYPERLINK("https://camelcamelcamel.com/search?sq=B0BQJ6W3D8", "https://camelcamelcamel.com/search?sq=B0BQJ6W3D8")</f>
      </c>
      <c r="AL663" t="inlineStr">
        <is>
          <t/>
        </is>
      </c>
      <c r="AM663" s="10">
        <v>45417.11111111111</v>
      </c>
      <c r="AN663" t="inlineStr">
        <is>
          <t>TISSCARE Foot Massager - Shiatsu Foot Massager with Heat for Neuropathy and Plantar Fasciitis - Feet Massager for Circulation and Pain Relief.</t>
        </is>
      </c>
      <c r="AO663" t="inlineStr">
        <is>
          <t>180</t>
        </is>
      </c>
      <c r="AP663" t="inlineStr">
        <is>
          <t>TAKE ALL</t>
        </is>
      </c>
    </row>
    <row r="664">
      <c r="A664" t="inlineStr">
        <is>
          <t>B0BQQF89BD</t>
        </is>
      </c>
      <c r="B664" t="inlineStr">
        <is>
          <t>False</t>
        </is>
      </c>
      <c r="C664" t="inlineStr">
        <is>
          <t>B0BQQF89BD</t>
        </is>
      </c>
      <c r="D664" t="inlineStr">
        <is>
          <t>Flamingo</t>
        </is>
      </c>
      <c r="E664" t="inlineStr">
        <is>
          <t>False</t>
        </is>
      </c>
      <c r="F664" t="inlineStr">
        <is>
          <t>Flamingo Women's Wax Kit</t>
        </is>
      </c>
      <c r="G664">
        <v>1</v>
      </c>
      <c r="H664" s="2" t="str">
        <f>HYPERLINK("https://www.amazon.com/dp/B0BQQF89BD", "https://www.amazon.com/dp/B0BQQF89BD")</f>
      </c>
      <c r="I664" s="3">
        <v>1974</v>
      </c>
      <c r="M664" t="inlineStr">
        <is>
          <t>True</t>
        </is>
      </c>
      <c r="N664" t="inlineStr">
        <is>
          <t>Beauty &amp; Personal Care</t>
        </is>
      </c>
      <c r="O664" s="6">
        <v>9489</v>
      </c>
      <c r="P664" s="6">
        <v>7226</v>
      </c>
      <c r="Q664" s="6">
        <v>4244</v>
      </c>
      <c r="R664" s="6">
        <v>15</v>
      </c>
      <c r="S664" s="7">
        <v>8.25</v>
      </c>
      <c r="U664">
        <v>0</v>
      </c>
      <c r="X664" s="7">
        <v>0</v>
      </c>
      <c r="Y664">
        <v>0</v>
      </c>
      <c r="Z664" s="8">
        <v>0</v>
      </c>
      <c r="AB664">
        <v>0</v>
      </c>
      <c r="AC664">
        <v>0</v>
      </c>
      <c r="AD664">
        <v>0</v>
      </c>
      <c r="AE664">
        <v>0</v>
      </c>
      <c r="AF664">
        <v>0</v>
      </c>
      <c r="AG664">
        <v>0</v>
      </c>
      <c r="AH664">
        <v>3</v>
      </c>
      <c r="AI664" t="inlineStr">
        <is>
          <t>False</t>
        </is>
      </c>
      <c r="AJ664" s="2" t="str">
        <f>HYPERLINK("https://keepa.com/#!product/1-B0BQQF89BD", "https://keepa.com/#!product/1-B0BQQF89BD")</f>
      </c>
      <c r="AK664" s="2" t="str">
        <f>HYPERLINK("https://camelcamelcamel.com/search?sq=B0BQQF89BD", "https://camelcamelcamel.com/search?sq=B0BQQF89BD")</f>
      </c>
      <c r="AL664" t="inlineStr">
        <is>
          <t/>
        </is>
      </c>
      <c r="AM664" s="10">
        <v>45417.11111111111</v>
      </c>
      <c r="AN664" t="inlineStr">
        <is>
          <t>Flamingo Womenâ€™s Face Waxing Kit, 40 Wax Strips</t>
        </is>
      </c>
      <c r="AO664" t="inlineStr">
        <is>
          <t>1200</t>
        </is>
      </c>
      <c r="AP664" t="inlineStr">
        <is>
          <t>600</t>
        </is>
      </c>
    </row>
    <row r="665">
      <c r="A665" t="inlineStr">
        <is>
          <t>B0BS4DL6HN</t>
        </is>
      </c>
      <c r="B665" t="inlineStr">
        <is>
          <t>False</t>
        </is>
      </c>
      <c r="C665" t="inlineStr">
        <is>
          <t>B0BS4DL6HN</t>
        </is>
      </c>
      <c r="D665" t="inlineStr">
        <is>
          <t>Brixley</t>
        </is>
      </c>
      <c r="E665" t="inlineStr">
        <is>
          <t>False</t>
        </is>
      </c>
      <c r="F665" t="inlineStr">
        <is>
          <t>Brixley Crossbody Bag Sling Purse for Women Men Girls Travel, Multi Position Fanny Back Pack</t>
        </is>
      </c>
      <c r="G665">
        <v>1</v>
      </c>
      <c r="H665" s="2" t="str">
        <f>HYPERLINK("https://www.amazon.com/dp/B0BS4DL6HN", "https://www.amazon.com/dp/B0BS4DL6HN")</f>
      </c>
      <c r="I665" s="3">
        <v>3143</v>
      </c>
      <c r="M665" t="inlineStr">
        <is>
          <t>True</t>
        </is>
      </c>
      <c r="N665" t="inlineStr">
        <is>
          <t>Clothing, Shoes &amp; Jewelry</t>
        </is>
      </c>
      <c r="O665" s="6">
        <v>7245</v>
      </c>
      <c r="P665" s="6">
        <v>0</v>
      </c>
      <c r="Q665" s="6">
        <v>0</v>
      </c>
      <c r="R665" s="6">
        <v>0</v>
      </c>
      <c r="S665" s="7">
        <v>14.75</v>
      </c>
      <c r="U665">
        <v>0</v>
      </c>
      <c r="X665" s="7">
        <v>0</v>
      </c>
      <c r="Y665">
        <v>0.8</v>
      </c>
      <c r="Z665" s="8">
        <v>0</v>
      </c>
      <c r="AB665">
        <v>0</v>
      </c>
      <c r="AC665">
        <v>0</v>
      </c>
      <c r="AD665">
        <v>0</v>
      </c>
      <c r="AE665">
        <v>0</v>
      </c>
      <c r="AF665">
        <v>0</v>
      </c>
      <c r="AG665">
        <v>0</v>
      </c>
      <c r="AH665">
        <v>5</v>
      </c>
      <c r="AI665" t="inlineStr">
        <is>
          <t>False</t>
        </is>
      </c>
      <c r="AJ665" s="2" t="str">
        <f>HYPERLINK("https://keepa.com/#!product/1-B0BS4DL6HN", "https://keepa.com/#!product/1-B0BS4DL6HN")</f>
      </c>
      <c r="AK665" s="2" t="str">
        <f>HYPERLINK("https://camelcamelcamel.com/search?sq=B0BS4DL6HN", "https://camelcamelcamel.com/search?sq=B0BS4DL6HN")</f>
      </c>
      <c r="AL665" t="inlineStr">
        <is>
          <t/>
        </is>
      </c>
      <c r="AM665" s="10">
        <v>45417.11111111111</v>
      </c>
      <c r="AN665" t="inlineStr">
        <is>
          <t>Brixley Crossbody Bag Sling Purse for Women Men Girls Travel, Multi Position Fanny Back Pack</t>
        </is>
      </c>
      <c r="AO665" t="inlineStr">
        <is>
          <t>1000 (each color)</t>
        </is>
      </c>
      <c r="AP665" t="inlineStr">
        <is>
          <t>250</t>
        </is>
      </c>
    </row>
    <row r="666">
      <c r="A666" t="inlineStr">
        <is>
          <t>B0BS71JMJH</t>
        </is>
      </c>
      <c r="B666" t="inlineStr">
        <is>
          <t>False</t>
        </is>
      </c>
      <c r="C666" t="inlineStr">
        <is>
          <t>B0BS71JMJH</t>
        </is>
      </c>
      <c r="D666" t="inlineStr">
        <is>
          <t>Chefman</t>
        </is>
      </c>
      <c r="E666" t="inlineStr">
        <is>
          <t>False</t>
        </is>
      </c>
      <c r="F666" t="inlineStr">
        <is>
          <t>Chefman Electric Tea Kettle, 1.8 Liter Hot Water Electric Kettle Temperature Control Water Boiler with 5 Presets, Tri-Colored LED Lights, Keep Warm, Automatic Shutoff, Rose</t>
        </is>
      </c>
      <c r="G666">
        <v>1</v>
      </c>
      <c r="H666" s="2" t="str">
        <f>HYPERLINK("https://www.amazon.com/dp/B0BS71JMJH", "https://www.amazon.com/dp/B0BS71JMJH")</f>
      </c>
      <c r="I666" s="3">
        <v>542</v>
      </c>
      <c r="J666" s="11">
        <v>2.12</v>
      </c>
      <c r="K666" s="5">
        <v>0.037000000000000005</v>
      </c>
      <c r="L666" s="5">
        <v>0.061</v>
      </c>
      <c r="M666" t="inlineStr">
        <is>
          <t>True</t>
        </is>
      </c>
      <c r="N666" t="inlineStr">
        <is>
          <t>Home &amp; Kitchen</t>
        </is>
      </c>
      <c r="O666" s="6">
        <v>50175</v>
      </c>
      <c r="P666" s="6">
        <v>35441</v>
      </c>
      <c r="Q666" s="6">
        <v>5177</v>
      </c>
      <c r="R666" s="6">
        <v>190</v>
      </c>
      <c r="S666" s="7">
        <v>34.75</v>
      </c>
      <c r="T666" s="7">
        <v>57.22</v>
      </c>
      <c r="U666">
        <v>61.33</v>
      </c>
      <c r="V666" s="8">
        <v>0</v>
      </c>
      <c r="W666" s="7">
        <v>0</v>
      </c>
      <c r="X666" s="7">
        <v>0</v>
      </c>
      <c r="Y666">
        <v>2.73</v>
      </c>
      <c r="Z666" s="9">
        <v>1</v>
      </c>
      <c r="AB666">
        <v>0</v>
      </c>
      <c r="AC666">
        <v>0</v>
      </c>
      <c r="AD666">
        <v>8</v>
      </c>
      <c r="AE666">
        <v>3</v>
      </c>
      <c r="AF666">
        <v>1</v>
      </c>
      <c r="AG666">
        <v>2</v>
      </c>
      <c r="AH666">
        <v>10</v>
      </c>
      <c r="AI666" t="inlineStr">
        <is>
          <t>False</t>
        </is>
      </c>
      <c r="AJ666" s="2" t="str">
        <f>HYPERLINK("https://keepa.com/#!product/1-B0BS71JMJH", "https://keepa.com/#!product/1-B0BS71JMJH")</f>
      </c>
      <c r="AK666" s="2" t="str">
        <f>HYPERLINK("https://camelcamelcamel.com/search?sq=B0BS71JMJH", "https://camelcamelcamel.com/search?sq=B0BS71JMJH")</f>
      </c>
      <c r="AL666" t="inlineStr">
        <is>
          <t/>
        </is>
      </c>
      <c r="AM666" s="10">
        <v>45417.11111111111</v>
      </c>
      <c r="AN666" t="inlineStr">
        <is>
          <t>Chefman Electric Tea Kettle, 1.8 Liter Hot Water Electric Kettle Temperature Control Water Boiler with 5 Presets, Tri-Colored LED Lights, Keep Warm, Automatic Shutoff, Rose</t>
        </is>
      </c>
      <c r="AO666" t="inlineStr">
        <is>
          <t>151</t>
        </is>
      </c>
      <c r="AP666" t="inlineStr">
        <is>
          <t>TAKE ALL</t>
        </is>
      </c>
    </row>
    <row r="667">
      <c r="A667" t="inlineStr">
        <is>
          <t>B0BSHFX3K3</t>
        </is>
      </c>
      <c r="B667" t="inlineStr">
        <is>
          <t>False</t>
        </is>
      </c>
      <c r="C667" t="inlineStr">
        <is>
          <t>B0BSHFX3K3</t>
        </is>
      </c>
      <c r="D667" t="inlineStr">
        <is>
          <t>Apple</t>
        </is>
      </c>
      <c r="E667" t="inlineStr">
        <is>
          <t>True</t>
        </is>
      </c>
      <c r="F667" t="inlineStr">
        <is>
          <t>Apple 2023 MacBook Pro Laptop M2 Max chip with 12‑core CPU and 38‑core GPU: 16.2-inch Liquid Retina XDR Display, 32GB Unified Memory, 1TB SSD Storage. Works with iPhone/iPad; Space Gray</t>
        </is>
      </c>
      <c r="G667">
        <v>1</v>
      </c>
      <c r="H667" s="2" t="str">
        <f>HYPERLINK("https://www.amazon.com/dp/B0BSHFX3K3", "https://www.amazon.com/dp/B0BSHFX3K3")</f>
      </c>
      <c r="I667" s="3">
        <v>590</v>
      </c>
      <c r="J667" s="4">
        <v>92.8</v>
      </c>
      <c r="K667" s="5">
        <v>0.029900000000000003</v>
      </c>
      <c r="L667" s="5">
        <v>0.0337</v>
      </c>
      <c r="M667" t="inlineStr">
        <is>
          <t>True</t>
        </is>
      </c>
      <c r="N667" t="inlineStr">
        <is>
          <t>Computers &amp; Accessories</t>
        </is>
      </c>
      <c r="O667" s="6">
        <v>849</v>
      </c>
      <c r="P667" s="6">
        <v>7430</v>
      </c>
      <c r="Q667" s="6">
        <v>654</v>
      </c>
      <c r="R667" s="6">
        <v>119</v>
      </c>
      <c r="S667" s="7">
        <v>2750</v>
      </c>
      <c r="T667" s="7">
        <v>3099.95</v>
      </c>
      <c r="U667">
        <v>3477.17</v>
      </c>
      <c r="V667" s="8">
        <v>0</v>
      </c>
      <c r="W667" s="7">
        <v>0</v>
      </c>
      <c r="X667" s="7">
        <v>0</v>
      </c>
      <c r="Y667">
        <v>8.31</v>
      </c>
      <c r="Z667" s="9">
        <v>0.13</v>
      </c>
      <c r="AB667">
        <v>0</v>
      </c>
      <c r="AC667">
        <v>0</v>
      </c>
      <c r="AD667">
        <v>5</v>
      </c>
      <c r="AE667">
        <v>1</v>
      </c>
      <c r="AF667">
        <v>2</v>
      </c>
      <c r="AG667">
        <v>1</v>
      </c>
      <c r="AH667">
        <v>6</v>
      </c>
      <c r="AI667" t="inlineStr">
        <is>
          <t>True</t>
        </is>
      </c>
      <c r="AJ667" s="2" t="str">
        <f>HYPERLINK("https://keepa.com/#!product/1-B0BSHFX3K3", "https://keepa.com/#!product/1-B0BSHFX3K3")</f>
      </c>
      <c r="AK667" s="2" t="str">
        <f>HYPERLINK("https://camelcamelcamel.com/search?sq=B0BSHFX3K3", "https://camelcamelcamel.com/search?sq=B0BSHFX3K3")</f>
      </c>
      <c r="AL667" t="inlineStr">
        <is>
          <t/>
        </is>
      </c>
      <c r="AM667" s="10">
        <v>45417.11111111111</v>
      </c>
      <c r="AN667" t="inlineStr">
        <is>
          <t>Apple 2023 MacBook Pro Laptop M2 Max chip with 12â€‘core CPU and 38â€‘core GPU: 16.2-inch Liquid Retina XDR Display, 32GB Unified Memory, 1TB SSD Storage. Works with iPhone/iPad; Space Gray</t>
        </is>
      </c>
      <c r="AO667" t="inlineStr">
        <is>
          <t>100</t>
        </is>
      </c>
      <c r="AP667" t="inlineStr">
        <is>
          <t>TAKE ALL</t>
        </is>
      </c>
    </row>
    <row r="668">
      <c r="A668" t="inlineStr">
        <is>
          <t>B0BSVGFD9M</t>
        </is>
      </c>
      <c r="B668" t="inlineStr">
        <is>
          <t>False</t>
        </is>
      </c>
      <c r="C668" t="inlineStr">
        <is>
          <t>B0BSVGFD9M</t>
        </is>
      </c>
      <c r="D668" t="inlineStr">
        <is>
          <t>Centrum</t>
        </is>
      </c>
      <c r="E668" t="inlineStr">
        <is>
          <t>False</t>
        </is>
      </c>
      <c r="F668" t="inlineStr">
        <is>
          <t>Centrum Minis Silver Multivitamin for Men 50 Plus, Multimineral Supplement, Vitamin D3, B and Zinc, Non-GMO,160 Tablets,Supports Memory and Cognition in Older Adults</t>
        </is>
      </c>
      <c r="G668">
        <v>1</v>
      </c>
      <c r="H668" s="2" t="str">
        <f>HYPERLINK("https://www.amazon.com/dp/B0BSVGFD9M", "https://www.amazon.com/dp/B0BSVGFD9M")</f>
      </c>
      <c r="I668" s="3">
        <v>1415</v>
      </c>
      <c r="J668" s="12">
        <v>-0.62</v>
      </c>
      <c r="K668" s="13">
        <v>-0.069</v>
      </c>
      <c r="L668" s="13">
        <v>-0.10779999999999999</v>
      </c>
      <c r="M668" t="inlineStr">
        <is>
          <t>True</t>
        </is>
      </c>
      <c r="N668" t="inlineStr">
        <is>
          <t>Health &amp; Household</t>
        </is>
      </c>
      <c r="O668" s="6">
        <v>17054</v>
      </c>
      <c r="P668" s="6">
        <v>21660</v>
      </c>
      <c r="Q668" s="6">
        <v>15194</v>
      </c>
      <c r="R668" s="6">
        <v>135</v>
      </c>
      <c r="S668" s="7">
        <v>5.75</v>
      </c>
      <c r="T668" s="7">
        <v>8.99</v>
      </c>
      <c r="U668">
        <v>9.16</v>
      </c>
      <c r="V668" s="8">
        <v>0</v>
      </c>
      <c r="W668" s="7">
        <v>0</v>
      </c>
      <c r="X668" s="7">
        <v>0</v>
      </c>
      <c r="Y668">
        <v>0.35</v>
      </c>
      <c r="Z668" s="8">
        <v>0</v>
      </c>
      <c r="AB668">
        <v>0</v>
      </c>
      <c r="AC668">
        <v>0</v>
      </c>
      <c r="AD668">
        <v>12</v>
      </c>
      <c r="AE668">
        <v>2</v>
      </c>
      <c r="AF668">
        <v>10</v>
      </c>
      <c r="AG668">
        <v>1</v>
      </c>
      <c r="AH668">
        <v>0</v>
      </c>
      <c r="AI668" t="inlineStr">
        <is>
          <t>False</t>
        </is>
      </c>
      <c r="AJ668" s="2" t="str">
        <f>HYPERLINK("https://keepa.com/#!product/1-B0BSVGFD9M", "https://keepa.com/#!product/1-B0BSVGFD9M")</f>
      </c>
      <c r="AK668" s="2" t="str">
        <f>HYPERLINK("https://camelcamelcamel.com/search?sq=B0BSVGFD9M", "https://camelcamelcamel.com/search?sq=B0BSVGFD9M")</f>
      </c>
      <c r="AL668" t="inlineStr">
        <is>
          <t/>
        </is>
      </c>
      <c r="AM668" s="10">
        <v>45417.11111111111</v>
      </c>
      <c r="AN668" t="inlineStr">
        <is>
          <t>Centrum Minis Silver Multivitamin for Men 50 Plus, Multimineral Supplement, Vitamin D3, B and Zinc, Non-GMO,160 Tablets,Supports Memory and Cognition in Older Adults</t>
        </is>
      </c>
      <c r="AO668" t="inlineStr">
        <is>
          <t>2400</t>
        </is>
      </c>
      <c r="AP668" t="inlineStr">
        <is>
          <t>1200</t>
        </is>
      </c>
    </row>
    <row r="669">
      <c r="A669" t="inlineStr">
        <is>
          <t>B0BT23VBLJ</t>
        </is>
      </c>
      <c r="B669" t="inlineStr">
        <is>
          <t>False</t>
        </is>
      </c>
      <c r="C669" t="inlineStr">
        <is>
          <t>B0BT23VBLJ</t>
        </is>
      </c>
      <c r="D669" t="inlineStr">
        <is>
          <t>Jocko Fuel</t>
        </is>
      </c>
      <c r="E669" t="inlineStr">
        <is>
          <t>False</t>
        </is>
      </c>
      <c r="F669" t="inlineStr">
        <is>
          <t>Jocko Fuel Creatine Monohydrate Powder - Creatine for Men &amp; Women, Supplement for Athletic Performance &amp; Muscle Health, 90 Servings 16 oz (Unflavored)</t>
        </is>
      </c>
      <c r="G669">
        <v>1</v>
      </c>
      <c r="H669" s="2" t="str">
        <f>HYPERLINK("https://www.amazon.com/dp/B0BT23VBLJ", "https://www.amazon.com/dp/B0BT23VBLJ")</f>
      </c>
      <c r="I669" s="3">
        <v>5362</v>
      </c>
      <c r="J669" s="12">
        <v>-1.1</v>
      </c>
      <c r="K669" s="13">
        <v>-0.0383</v>
      </c>
      <c r="L669" s="13">
        <v>-0.0537</v>
      </c>
      <c r="M669" t="inlineStr">
        <is>
          <t>True</t>
        </is>
      </c>
      <c r="N669" t="inlineStr">
        <is>
          <t>Health &amp; Household</t>
        </is>
      </c>
      <c r="O669" s="6">
        <v>4919</v>
      </c>
      <c r="P669" s="6">
        <v>3773</v>
      </c>
      <c r="Q669" s="6">
        <v>1516</v>
      </c>
      <c r="R669" s="6">
        <v>297</v>
      </c>
      <c r="S669" s="7">
        <v>20.5</v>
      </c>
      <c r="T669" s="7">
        <v>28.75</v>
      </c>
      <c r="U669">
        <v>35.37</v>
      </c>
      <c r="V669" s="8">
        <v>0</v>
      </c>
      <c r="W669" s="7">
        <v>0</v>
      </c>
      <c r="X669" s="7">
        <v>0</v>
      </c>
      <c r="Y669">
        <v>1.19</v>
      </c>
      <c r="Z669" s="8">
        <v>0</v>
      </c>
      <c r="AB669">
        <v>0</v>
      </c>
      <c r="AC669">
        <v>0</v>
      </c>
      <c r="AD669">
        <v>22</v>
      </c>
      <c r="AE669">
        <v>17</v>
      </c>
      <c r="AF669">
        <v>5</v>
      </c>
      <c r="AG669">
        <v>7</v>
      </c>
      <c r="AH669">
        <v>0</v>
      </c>
      <c r="AI669" t="inlineStr">
        <is>
          <t>False</t>
        </is>
      </c>
      <c r="AJ669" s="2" t="str">
        <f>HYPERLINK("https://keepa.com/#!product/1-B0BT23VBLJ", "https://keepa.com/#!product/1-B0BT23VBLJ")</f>
      </c>
      <c r="AK669" s="2" t="str">
        <f>HYPERLINK("https://camelcamelcamel.com/search?sq=B0BT23VBLJ", "https://camelcamelcamel.com/search?sq=B0BT23VBLJ")</f>
      </c>
      <c r="AL669" t="inlineStr">
        <is>
          <t/>
        </is>
      </c>
      <c r="AM669" s="10">
        <v>45417.11111111111</v>
      </c>
      <c r="AN669" t="inlineStr">
        <is>
          <t>Jocko Fuel Creatine Monohydrate Powder - Creatine for Men &amp; Women, Supplement for Athletic Performance &amp; Muscle Health, 90 Servings 16 oz (Unflavored)</t>
        </is>
      </c>
      <c r="AO669" t="inlineStr">
        <is>
          <t>3000</t>
        </is>
      </c>
      <c r="AP669" t="inlineStr">
        <is>
          <t>1000</t>
        </is>
      </c>
    </row>
    <row r="670">
      <c r="A670" t="inlineStr">
        <is>
          <t>B0BTSRJ4MY</t>
        </is>
      </c>
      <c r="B670" t="inlineStr">
        <is>
          <t>False</t>
        </is>
      </c>
      <c r="C670" t="inlineStr">
        <is>
          <t>B0BTSRJ4MY</t>
        </is>
      </c>
      <c r="D670" t="inlineStr">
        <is>
          <t>The Cold Pod</t>
        </is>
      </c>
      <c r="E670" t="inlineStr">
        <is>
          <t>False</t>
        </is>
      </c>
      <c r="F670" t="inlineStr">
        <is>
          <t>Ice Bath Tub for Athletes with Cover: 85 Gallons Cold Plunge Tub for Recovery, Multiple Layered Portable Ice Bath Plunge Pool by The Cold Pod</t>
        </is>
      </c>
      <c r="G670">
        <v>1</v>
      </c>
      <c r="H670" s="2" t="str">
        <f>HYPERLINK("https://www.amazon.com/dp/B0BTSRJ4MY", "https://www.amazon.com/dp/B0BTSRJ4MY")</f>
      </c>
      <c r="I670" s="14">
        <v>5</v>
      </c>
      <c r="J670" s="4">
        <v>10.34</v>
      </c>
      <c r="K670" s="5">
        <v>0.10880000000000001</v>
      </c>
      <c r="L670" s="5">
        <v>0.1814</v>
      </c>
      <c r="M670" t="inlineStr">
        <is>
          <t>True</t>
        </is>
      </c>
      <c r="N670" t="inlineStr">
        <is>
          <t>Home Improvement</t>
        </is>
      </c>
      <c r="P670" s="6">
        <v>3381</v>
      </c>
      <c r="Q670" s="6">
        <v>915</v>
      </c>
      <c r="R670" s="6">
        <v>190</v>
      </c>
      <c r="S670" s="7">
        <v>57</v>
      </c>
      <c r="T670" s="7">
        <v>95</v>
      </c>
      <c r="U670">
        <v>115.1</v>
      </c>
      <c r="V670" s="8">
        <v>0</v>
      </c>
      <c r="W670" s="7">
        <v>0</v>
      </c>
      <c r="X670" s="7">
        <v>0</v>
      </c>
      <c r="Y670">
        <v>9.33</v>
      </c>
      <c r="Z670" s="8">
        <v>0</v>
      </c>
      <c r="AB670">
        <v>0</v>
      </c>
      <c r="AC670">
        <v>0</v>
      </c>
      <c r="AD670">
        <v>9</v>
      </c>
      <c r="AE670">
        <v>2</v>
      </c>
      <c r="AF670">
        <v>2</v>
      </c>
      <c r="AG670">
        <v>1</v>
      </c>
      <c r="AH670">
        <v>2</v>
      </c>
      <c r="AI670" t="inlineStr">
        <is>
          <t>False</t>
        </is>
      </c>
      <c r="AJ670" s="2" t="str">
        <f>HYPERLINK("https://keepa.com/#!product/1-B0BTSRJ4MY", "https://keepa.com/#!product/1-B0BTSRJ4MY")</f>
      </c>
      <c r="AK670" s="2" t="str">
        <f>HYPERLINK("https://camelcamelcamel.com/search?sq=B0BTSRJ4MY", "https://camelcamelcamel.com/search?sq=B0BTSRJ4MY")</f>
      </c>
      <c r="AL670" t="inlineStr">
        <is>
          <t/>
        </is>
      </c>
      <c r="AM670" s="10">
        <v>45417.11111111111</v>
      </c>
      <c r="AN670" t="inlineStr">
        <is>
          <t>Ice Bath Tub for Athletes with Cover: 85 Gallons Cold Plunge Tub for Recovery, Multiple Layered Portable Ice Bath Plunge Pool by The Cold Pod</t>
        </is>
      </c>
      <c r="AO670" t="inlineStr">
        <is>
          <t>300</t>
        </is>
      </c>
      <c r="AP670" t="inlineStr">
        <is>
          <t/>
        </is>
      </c>
    </row>
    <row r="671">
      <c r="A671" t="inlineStr">
        <is>
          <t>B0BTZ6B3MX</t>
        </is>
      </c>
      <c r="B671" t="inlineStr">
        <is>
          <t>False</t>
        </is>
      </c>
      <c r="C671" t="inlineStr">
        <is>
          <t>B0BTZ6B3MX</t>
        </is>
      </c>
      <c r="D671" t="inlineStr">
        <is>
          <t>Sunwarrior</t>
        </is>
      </c>
      <c r="E671" t="inlineStr">
        <is>
          <t>False</t>
        </is>
      </c>
      <c r="F671" t="inlineStr">
        <is>
          <t>Sunwarrior Vegan Protein Powder Organic Plant-Based Protein | BCAA Amino Acids Hemp Seed Plant Protein | Soy Free Dairy Free Gluten Free Synthetic Free Non-GMO | Vanilla 30 Servings | Warrior Blend</t>
        </is>
      </c>
      <c r="G671">
        <v>1</v>
      </c>
      <c r="H671" s="2" t="str">
        <f>HYPERLINK("https://www.amazon.com/dp/B0BTZ6B3MX", "https://www.amazon.com/dp/B0BTZ6B3MX")</f>
      </c>
      <c r="I671" s="3">
        <v>16130</v>
      </c>
      <c r="J671" s="4">
        <v>7.61</v>
      </c>
      <c r="K671" s="5">
        <v>0.19030000000000002</v>
      </c>
      <c r="L671" s="15">
        <v>0.3712</v>
      </c>
      <c r="M671" t="inlineStr">
        <is>
          <t>True</t>
        </is>
      </c>
      <c r="N671" t="inlineStr">
        <is>
          <t>Health &amp; Household</t>
        </is>
      </c>
      <c r="O671" s="6">
        <v>1260</v>
      </c>
      <c r="P671" s="6">
        <v>1273</v>
      </c>
      <c r="Q671" s="6">
        <v>844</v>
      </c>
      <c r="R671" s="6">
        <v>244</v>
      </c>
      <c r="S671" s="7">
        <v>20.5</v>
      </c>
      <c r="T671" s="7">
        <v>39.98</v>
      </c>
      <c r="U671">
        <v>39.55</v>
      </c>
      <c r="V671" s="8">
        <v>0</v>
      </c>
      <c r="W671" s="7">
        <v>0</v>
      </c>
      <c r="X671" s="7">
        <v>0</v>
      </c>
      <c r="Y671">
        <v>1.99</v>
      </c>
      <c r="Z671" s="8">
        <v>0</v>
      </c>
      <c r="AB671">
        <v>0</v>
      </c>
      <c r="AC671">
        <v>0</v>
      </c>
      <c r="AD671">
        <v>3</v>
      </c>
      <c r="AE671">
        <v>2</v>
      </c>
      <c r="AF671">
        <v>1</v>
      </c>
      <c r="AG671">
        <v>2</v>
      </c>
      <c r="AH671">
        <v>19</v>
      </c>
      <c r="AI671" t="inlineStr">
        <is>
          <t>False</t>
        </is>
      </c>
      <c r="AJ671" s="2" t="str">
        <f>HYPERLINK("https://keepa.com/#!product/1-B0BTZ6B3MX", "https://keepa.com/#!product/1-B0BTZ6B3MX")</f>
      </c>
      <c r="AK671" s="2" t="str">
        <f>HYPERLINK("https://camelcamelcamel.com/search?sq=B0BTZ6B3MX", "https://camelcamelcamel.com/search?sq=B0BTZ6B3MX")</f>
      </c>
      <c r="AL671" t="inlineStr">
        <is>
          <t/>
        </is>
      </c>
      <c r="AM671" s="10">
        <v>45417.11111111111</v>
      </c>
      <c r="AN671" t="inlineStr">
        <is>
          <t>SW Vanilla Flavor Offer</t>
        </is>
      </c>
      <c r="AO671" t="inlineStr">
        <is>
          <t>2000</t>
        </is>
      </c>
      <c r="AP671" t="inlineStr">
        <is>
          <t>250</t>
        </is>
      </c>
    </row>
    <row r="672">
      <c r="A672" t="inlineStr">
        <is>
          <t>B0BV2VZ4KP</t>
        </is>
      </c>
      <c r="B672" t="inlineStr">
        <is>
          <t>False</t>
        </is>
      </c>
      <c r="C672" t="inlineStr">
        <is>
          <t>B0BV2VZ4KP</t>
        </is>
      </c>
      <c r="D672" t="inlineStr">
        <is>
          <t>Centrum</t>
        </is>
      </c>
      <c r="E672" t="inlineStr">
        <is>
          <t>False</t>
        </is>
      </c>
      <c r="F672" t="inlineStr">
        <is>
          <t>Centrum MultiGummies Multi+ Dual Action Mental Focus Adult Multivitamin with Caffeine from Green Tea, Supports Mental Focus, Attention and Alertness, Lemon/Orange Flavors - 90 Count</t>
        </is>
      </c>
      <c r="G672">
        <v>1</v>
      </c>
      <c r="H672" s="2" t="str">
        <f>HYPERLINK("https://www.amazon.com/dp/B0BV2VZ4KP", "https://www.amazon.com/dp/B0BV2VZ4KP")</f>
      </c>
      <c r="I672" s="3">
        <v>1191</v>
      </c>
      <c r="J672" s="12">
        <v>-1.04</v>
      </c>
      <c r="K672" s="13">
        <v>-0.1157</v>
      </c>
      <c r="L672" s="13">
        <v>-0.1891</v>
      </c>
      <c r="M672" t="inlineStr">
        <is>
          <t>True</t>
        </is>
      </c>
      <c r="N672" t="inlineStr">
        <is>
          <t>Health &amp; Household</t>
        </is>
      </c>
      <c r="O672" s="6">
        <v>19597</v>
      </c>
      <c r="P672" s="6">
        <v>24076</v>
      </c>
      <c r="Q672" s="6">
        <v>16232</v>
      </c>
      <c r="R672" s="6">
        <v>183</v>
      </c>
      <c r="S672" s="7">
        <v>5.5</v>
      </c>
      <c r="T672" s="7">
        <v>8.99</v>
      </c>
      <c r="U672">
        <v>11.43</v>
      </c>
      <c r="V672" s="8">
        <v>0</v>
      </c>
      <c r="W672" s="7">
        <v>0</v>
      </c>
      <c r="X672" s="7">
        <v>0</v>
      </c>
      <c r="Y672">
        <v>1.01</v>
      </c>
      <c r="Z672" s="9">
        <v>1</v>
      </c>
      <c r="AB672">
        <v>0</v>
      </c>
      <c r="AC672">
        <v>0</v>
      </c>
      <c r="AD672">
        <v>14</v>
      </c>
      <c r="AE672">
        <v>5</v>
      </c>
      <c r="AF672">
        <v>9</v>
      </c>
      <c r="AG672">
        <v>2</v>
      </c>
      <c r="AH672">
        <v>0</v>
      </c>
      <c r="AI672" t="inlineStr">
        <is>
          <t>False</t>
        </is>
      </c>
      <c r="AJ672" s="2" t="str">
        <f>HYPERLINK("https://keepa.com/#!product/1-B0BV2VZ4KP", "https://keepa.com/#!product/1-B0BV2VZ4KP")</f>
      </c>
      <c r="AK672" s="2" t="str">
        <f>HYPERLINK("https://camelcamelcamel.com/search?sq=B0BV2VZ4KP", "https://camelcamelcamel.com/search?sq=B0BV2VZ4KP")</f>
      </c>
      <c r="AL672" t="inlineStr">
        <is>
          <t/>
        </is>
      </c>
      <c r="AM672" s="10">
        <v>45417.11111111111</v>
      </c>
      <c r="AN672" t="inlineStr">
        <is>
          <t>Centrum MultiGummies Multi+ Dual Action Mental Focus Adult Multivitamin with Caffeine from Green Tea, Supports Mental Focus, Attention and Alertness, Lemon/Orange Flavors - 90 Count</t>
        </is>
      </c>
      <c r="AO672" t="inlineStr">
        <is>
          <t>500</t>
        </is>
      </c>
      <c r="AP672" t="inlineStr">
        <is>
          <t>TAKE ALL</t>
        </is>
      </c>
    </row>
    <row r="673">
      <c r="A673" t="inlineStr">
        <is>
          <t>B0BV4NML7X</t>
        </is>
      </c>
      <c r="B673" t="inlineStr">
        <is>
          <t>False</t>
        </is>
      </c>
      <c r="C673" t="inlineStr">
        <is>
          <t>B0BV4NML7X</t>
        </is>
      </c>
      <c r="D673" t="inlineStr">
        <is>
          <t>Dove</t>
        </is>
      </c>
      <c r="E673" t="inlineStr">
        <is>
          <t>True</t>
        </is>
      </c>
      <c r="F673" t="inlineStr">
        <is>
          <t>Dove Body Wash with Pump Relaxing Lavender Oil &amp; Chamomile 3 Count for Renewed, Healthy-Looking Skin Gentle Skin Cleanser with 24hr Renewing MicroMoisture 30.6 oz</t>
        </is>
      </c>
      <c r="G673">
        <v>1</v>
      </c>
      <c r="H673" s="2" t="str">
        <f>HYPERLINK("https://www.amazon.com/dp/B0BV4NML7X", "https://www.amazon.com/dp/B0BV4NML7X")</f>
      </c>
      <c r="I673" s="3">
        <v>8684</v>
      </c>
      <c r="J673" s="11">
        <v>3.5</v>
      </c>
      <c r="K673" s="5">
        <v>0.11699999999999999</v>
      </c>
      <c r="L673" s="5">
        <v>0.2593</v>
      </c>
      <c r="M673" t="inlineStr">
        <is>
          <t>True</t>
        </is>
      </c>
      <c r="N673" t="inlineStr">
        <is>
          <t>Beauty &amp; Personal Care</t>
        </is>
      </c>
      <c r="O673" s="6">
        <v>1782</v>
      </c>
      <c r="P673" s="6">
        <v>2390</v>
      </c>
      <c r="Q673" s="6">
        <v>750</v>
      </c>
      <c r="R673" s="6">
        <v>314</v>
      </c>
      <c r="S673" s="7">
        <v>13.5</v>
      </c>
      <c r="T673" s="7">
        <v>29.91</v>
      </c>
      <c r="U673">
        <v>29.38</v>
      </c>
      <c r="V673" s="8">
        <v>0</v>
      </c>
      <c r="W673" s="7">
        <v>0</v>
      </c>
      <c r="X673" s="7">
        <v>0</v>
      </c>
      <c r="Y673">
        <v>6.94</v>
      </c>
      <c r="Z673" s="9">
        <v>1</v>
      </c>
      <c r="AB673">
        <v>0</v>
      </c>
      <c r="AC673">
        <v>0</v>
      </c>
      <c r="AD673">
        <v>11</v>
      </c>
      <c r="AE673">
        <v>2</v>
      </c>
      <c r="AF673">
        <v>9</v>
      </c>
      <c r="AG673">
        <v>2</v>
      </c>
      <c r="AH673">
        <v>8</v>
      </c>
      <c r="AI673" t="inlineStr">
        <is>
          <t>False</t>
        </is>
      </c>
      <c r="AJ673" s="2" t="str">
        <f>HYPERLINK("https://keepa.com/#!product/1-B0BV4NML7X", "https://keepa.com/#!product/1-B0BV4NML7X")</f>
      </c>
      <c r="AK673" s="2" t="str">
        <f>HYPERLINK("https://camelcamelcamel.com/search?sq=B0BV4NML7X", "https://camelcamelcamel.com/search?sq=B0BV4NML7X")</f>
      </c>
      <c r="AL673" t="inlineStr">
        <is>
          <t/>
        </is>
      </c>
      <c r="AM673" s="10">
        <v>45417.11111111111</v>
      </c>
      <c r="AN673" t="inlineStr">
        <is>
          <t>Dove Body Wash with Pump Relaxing Lavender Oil &amp; Chamomile 3 Count for Renewed, Healthy-Looking Skin Gentle Skin Cleanser with 24hr Renewing MicroMoisture 30.6 oz</t>
        </is>
      </c>
      <c r="AO673" t="inlineStr">
        <is>
          <t>2400</t>
        </is>
      </c>
      <c r="AP673" t="inlineStr">
        <is>
          <t>1200</t>
        </is>
      </c>
    </row>
    <row r="674">
      <c r="A674" t="inlineStr">
        <is>
          <t>B0BVDW9D5Z</t>
        </is>
      </c>
      <c r="B674" t="inlineStr">
        <is>
          <t>False</t>
        </is>
      </c>
      <c r="C674" t="inlineStr">
        <is>
          <t>B0BVDW9D5Z</t>
        </is>
      </c>
      <c r="D674" t="inlineStr">
        <is>
          <t>MICA BEAUTY</t>
        </is>
      </c>
      <c r="E674" t="inlineStr">
        <is>
          <t>False</t>
        </is>
      </c>
      <c r="F674" t="inlineStr">
        <is>
          <t>Mica Beauty Mini Skincare Refrigerator-Thermo Electric Cooler and Warmer perfect for a Bedroom, Dorm, Office,Desktop and Travel 4 Liter</t>
        </is>
      </c>
      <c r="G674">
        <v>1</v>
      </c>
      <c r="H674" s="2" t="str">
        <f>HYPERLINK("https://www.amazon.com/dp/B0BVDW9D5Z", "https://www.amazon.com/dp/B0BVDW9D5Z")</f>
      </c>
      <c r="I674" s="3">
        <v>348</v>
      </c>
      <c r="J674" s="12">
        <v>-0.49</v>
      </c>
      <c r="K674" s="13">
        <v>-0.0178</v>
      </c>
      <c r="L674" s="13">
        <v>-0.0436</v>
      </c>
      <c r="M674" t="inlineStr">
        <is>
          <t>True</t>
        </is>
      </c>
      <c r="N674" t="inlineStr">
        <is>
          <t>Kitchen &amp; Dining</t>
        </is>
      </c>
      <c r="O674" s="6">
        <v>21306</v>
      </c>
      <c r="P674" s="6">
        <v>9759</v>
      </c>
      <c r="Q674" s="6">
        <v>4747</v>
      </c>
      <c r="R674" s="6">
        <v>171</v>
      </c>
      <c r="S674" s="7">
        <v>11.25</v>
      </c>
      <c r="T674" s="7">
        <v>27.5</v>
      </c>
      <c r="U674">
        <v>29.8</v>
      </c>
      <c r="V674" s="8">
        <v>0</v>
      </c>
      <c r="W674" s="7">
        <v>0</v>
      </c>
      <c r="X674" s="7">
        <v>0</v>
      </c>
      <c r="Y674">
        <v>4.5</v>
      </c>
      <c r="Z674" s="8">
        <v>0</v>
      </c>
      <c r="AB674">
        <v>0</v>
      </c>
      <c r="AC674">
        <v>0</v>
      </c>
      <c r="AD674">
        <v>5</v>
      </c>
      <c r="AE674">
        <v>2</v>
      </c>
      <c r="AF674">
        <v>1</v>
      </c>
      <c r="AG674">
        <v>1</v>
      </c>
      <c r="AH674">
        <v>0</v>
      </c>
      <c r="AI674" t="inlineStr">
        <is>
          <t>False</t>
        </is>
      </c>
      <c r="AJ674" s="2" t="str">
        <f>HYPERLINK("https://keepa.com/#!product/1-B0BVDW9D5Z", "https://keepa.com/#!product/1-B0BVDW9D5Z")</f>
      </c>
      <c r="AK674" s="2" t="str">
        <f>HYPERLINK("https://camelcamelcamel.com/search?sq=B0BVDW9D5Z", "https://camelcamelcamel.com/search?sq=B0BVDW9D5Z")</f>
      </c>
      <c r="AL674" t="inlineStr">
        <is>
          <t/>
        </is>
      </c>
      <c r="AM674" s="10">
        <v>45417.11111111111</v>
      </c>
      <c r="AN674" t="inlineStr">
        <is>
          <t>Mini Skincare Refrigerator-Thermo Electric Cooler and Warmer perfect for a Bedroom, Dorm, Office,Desktop and Travel 4 Liter</t>
        </is>
      </c>
      <c r="AO674" t="inlineStr">
        <is>
          <t>500</t>
        </is>
      </c>
      <c r="AP674" t="inlineStr">
        <is>
          <t>TAKE ALL</t>
        </is>
      </c>
    </row>
    <row r="675">
      <c r="A675" t="inlineStr">
        <is>
          <t>B0BVFXGMLW</t>
        </is>
      </c>
      <c r="B675" t="inlineStr">
        <is>
          <t>False</t>
        </is>
      </c>
      <c r="C675" t="inlineStr">
        <is>
          <t>B0BVFXGMLW</t>
        </is>
      </c>
      <c r="D675" t="inlineStr">
        <is>
          <t>GuruNanda</t>
        </is>
      </c>
      <c r="E675" t="inlineStr">
        <is>
          <t>False</t>
        </is>
      </c>
      <c r="F675" t="inlineStr">
        <is>
          <t>GuruNanda Coconut Oil Pulling with 7 Essential Oils and Vitamin D3, E, K2 (Mickey D), Helps with Fresh Breath, Teeth &amp; Gum Health &amp; More (8 fl oz)</t>
        </is>
      </c>
      <c r="G675">
        <v>1</v>
      </c>
      <c r="H675" s="2" t="str">
        <f>HYPERLINK("https://www.amazon.com/dp/B0BVFXGMLW", "https://www.amazon.com/dp/B0BVFXGMLW")</f>
      </c>
      <c r="I675" s="3">
        <v>87559</v>
      </c>
      <c r="J675" s="11">
        <v>0.96</v>
      </c>
      <c r="K675" s="5">
        <v>0.06860000000000001</v>
      </c>
      <c r="L675" s="5">
        <v>0.1422</v>
      </c>
      <c r="M675" t="inlineStr">
        <is>
          <t>True</t>
        </is>
      </c>
      <c r="N675" t="inlineStr">
        <is>
          <t>Health &amp; Household</t>
        </is>
      </c>
      <c r="O675" s="6">
        <v>34</v>
      </c>
      <c r="P675" s="6">
        <v>11</v>
      </c>
      <c r="Q675" s="6">
        <v>3</v>
      </c>
      <c r="R675" s="6">
        <v>122</v>
      </c>
      <c r="S675" s="7">
        <v>6.75</v>
      </c>
      <c r="T675" s="7">
        <v>13.99</v>
      </c>
      <c r="U675">
        <v>14.7</v>
      </c>
      <c r="V675" s="8">
        <v>0</v>
      </c>
      <c r="W675" s="7">
        <v>0</v>
      </c>
      <c r="X675" s="7">
        <v>0</v>
      </c>
      <c r="Y675">
        <v>0.75</v>
      </c>
      <c r="Z675" s="8">
        <v>0</v>
      </c>
      <c r="AB675">
        <v>0</v>
      </c>
      <c r="AC675">
        <v>0</v>
      </c>
      <c r="AD675">
        <v>9</v>
      </c>
      <c r="AE675">
        <v>2</v>
      </c>
      <c r="AF675">
        <v>7</v>
      </c>
      <c r="AG675">
        <v>1</v>
      </c>
      <c r="AH675">
        <v>4</v>
      </c>
      <c r="AI675" t="inlineStr">
        <is>
          <t>False</t>
        </is>
      </c>
      <c r="AJ675" s="2" t="str">
        <f>HYPERLINK("https://keepa.com/#!product/1-B0BVFXGMLW", "https://keepa.com/#!product/1-B0BVFXGMLW")</f>
      </c>
      <c r="AK675" s="2" t="str">
        <f>HYPERLINK("https://camelcamelcamel.com/search?sq=B0BVFXGMLW", "https://camelcamelcamel.com/search?sq=B0BVFXGMLW")</f>
      </c>
      <c r="AL675" t="inlineStr">
        <is>
          <t/>
        </is>
      </c>
      <c r="AM675" s="10">
        <v>45417.11111111111</v>
      </c>
      <c r="AN675" t="inlineStr">
        <is>
          <t>GuruNanda Coconut Oil Pulling with 7 Essential Oils and Vitamin D3, E, K2 (Mickey D), Helps with Fresh Breath, Teeth &amp; Gum Health &amp; More (1x8 fl oz)</t>
        </is>
      </c>
      <c r="AO675" t="inlineStr">
        <is>
          <t>6000</t>
        </is>
      </c>
      <c r="AP675" t="inlineStr">
        <is>
          <t>3000</t>
        </is>
      </c>
    </row>
    <row r="676">
      <c r="A676" t="inlineStr">
        <is>
          <t>B0BVRP18F3</t>
        </is>
      </c>
      <c r="B676" t="inlineStr">
        <is>
          <t>False</t>
        </is>
      </c>
      <c r="C676" t="inlineStr">
        <is>
          <t>B0BVRP18F3</t>
        </is>
      </c>
      <c r="D676" t="inlineStr">
        <is>
          <t>Glade</t>
        </is>
      </c>
      <c r="E676" t="inlineStr">
        <is>
          <t>False</t>
        </is>
      </c>
      <c r="F676" t="inlineStr">
        <is>
          <t>Glade Air Freshener Room Spray, Starlight &amp; Snowflake, 8.3 oz</t>
        </is>
      </c>
      <c r="G676">
        <v>1</v>
      </c>
      <c r="H676" s="2" t="str">
        <f>HYPERLINK("https://www.amazon.com/dp/B0BVRP18F3", "https://www.amazon.com/dp/B0BVRP18F3")</f>
      </c>
      <c r="I676" s="16">
        <v>50</v>
      </c>
      <c r="J676" s="12">
        <v>-2.96</v>
      </c>
      <c r="K676" s="13">
        <v>-0.2978</v>
      </c>
      <c r="L676" s="13">
        <v>-0.37</v>
      </c>
      <c r="M676" t="inlineStr">
        <is>
          <t>True</t>
        </is>
      </c>
      <c r="N676" t="inlineStr">
        <is>
          <t>Health &amp; Household</t>
        </is>
      </c>
      <c r="O676" s="6">
        <v>149200</v>
      </c>
      <c r="P676" s="6">
        <v>128327</v>
      </c>
      <c r="Q676" s="6">
        <v>65583</v>
      </c>
      <c r="R676" s="6">
        <v>92</v>
      </c>
      <c r="S676" s="7">
        <v>8</v>
      </c>
      <c r="T676" s="7">
        <v>9.94</v>
      </c>
      <c r="U676">
        <v>10.76</v>
      </c>
      <c r="V676" s="8">
        <v>0</v>
      </c>
      <c r="W676" s="7">
        <v>0</v>
      </c>
      <c r="X676" s="7">
        <v>0</v>
      </c>
      <c r="Y676">
        <v>0.7</v>
      </c>
      <c r="Z676" s="8">
        <v>0</v>
      </c>
      <c r="AB676">
        <v>0</v>
      </c>
      <c r="AC676">
        <v>0</v>
      </c>
      <c r="AD676">
        <v>7</v>
      </c>
      <c r="AE676">
        <v>2</v>
      </c>
      <c r="AF676">
        <v>5</v>
      </c>
      <c r="AG676">
        <v>2</v>
      </c>
      <c r="AH676">
        <v>5</v>
      </c>
      <c r="AI676" t="inlineStr">
        <is>
          <t>True</t>
        </is>
      </c>
      <c r="AJ676" s="2" t="str">
        <f>HYPERLINK("https://keepa.com/#!product/1-B0BVRP18F3", "https://keepa.com/#!product/1-B0BVRP18F3")</f>
      </c>
      <c r="AK676" s="2" t="str">
        <f>HYPERLINK("https://camelcamelcamel.com/search?sq=B0BVRP18F3", "https://camelcamelcamel.com/search?sq=B0BVRP18F3")</f>
      </c>
      <c r="AL676" t="inlineStr">
        <is>
          <t/>
        </is>
      </c>
      <c r="AM676" s="10">
        <v>45417.11111111111</v>
      </c>
      <c r="AN676" t="inlineStr">
        <is>
          <t>Glade Air Freshener Room Spray, Starlight &amp; Snowflake, 8.3 oz</t>
        </is>
      </c>
      <c r="AO676" t="inlineStr">
        <is>
          <t>500</t>
        </is>
      </c>
      <c r="AP676" t="inlineStr">
        <is>
          <t>TAKE ALL</t>
        </is>
      </c>
    </row>
    <row r="677">
      <c r="A677" t="inlineStr">
        <is>
          <t>B0BVSR8T6M</t>
        </is>
      </c>
      <c r="B677" t="inlineStr">
        <is>
          <t>False</t>
        </is>
      </c>
      <c r="C677" t="inlineStr">
        <is>
          <t>B0BVSR8T6M</t>
        </is>
      </c>
      <c r="D677" t="inlineStr">
        <is>
          <t>ClearSpace</t>
        </is>
      </c>
      <c r="E677" t="inlineStr">
        <is>
          <t>False</t>
        </is>
      </c>
      <c r="F677" t="inlineStr">
        <is>
          <t>ClearSpace Plastic Pantry Organizers and Storage Bins with Removable Dividers – Perfect Kitchen Organization or Pantry Storage – Refrigerator Organizer Bins, Cabinet Organizers (4 Pack)</t>
        </is>
      </c>
      <c r="G677">
        <v>1</v>
      </c>
      <c r="H677" s="2" t="str">
        <f>HYPERLINK("https://www.amazon.com/dp/B0BVSR8T6M", "https://www.amazon.com/dp/B0BVSR8T6M")</f>
      </c>
      <c r="I677" s="3">
        <v>7753</v>
      </c>
      <c r="J677" s="4">
        <v>9.62</v>
      </c>
      <c r="K677" s="5">
        <v>0.24059999999999998</v>
      </c>
      <c r="L677" s="15">
        <v>0.5659000000000001</v>
      </c>
      <c r="M677" t="inlineStr">
        <is>
          <t>True</t>
        </is>
      </c>
      <c r="N677" t="inlineStr">
        <is>
          <t>Kitchen &amp; Dining</t>
        </is>
      </c>
      <c r="O677" s="6">
        <v>408</v>
      </c>
      <c r="P677" s="6">
        <v>570</v>
      </c>
      <c r="Q677" s="6">
        <v>226</v>
      </c>
      <c r="R677" s="6">
        <v>193</v>
      </c>
      <c r="S677" s="7">
        <v>17</v>
      </c>
      <c r="T677" s="7">
        <v>39.99</v>
      </c>
      <c r="U677">
        <v>39.06</v>
      </c>
      <c r="V677" s="8">
        <v>0</v>
      </c>
      <c r="W677" s="7">
        <v>0</v>
      </c>
      <c r="X677" s="7">
        <v>0</v>
      </c>
      <c r="Y677">
        <v>3.75</v>
      </c>
      <c r="Z677" s="8">
        <v>0</v>
      </c>
      <c r="AB677">
        <v>0</v>
      </c>
      <c r="AC677">
        <v>0</v>
      </c>
      <c r="AD677">
        <v>6</v>
      </c>
      <c r="AE677">
        <v>1</v>
      </c>
      <c r="AF677">
        <v>0</v>
      </c>
      <c r="AG677">
        <v>1</v>
      </c>
      <c r="AH677">
        <v>4</v>
      </c>
      <c r="AI677" t="inlineStr">
        <is>
          <t>False</t>
        </is>
      </c>
      <c r="AJ677" s="2" t="str">
        <f>HYPERLINK("https://keepa.com/#!product/1-B0BVSR8T6M", "https://keepa.com/#!product/1-B0BVSR8T6M")</f>
      </c>
      <c r="AK677" s="2" t="str">
        <f>HYPERLINK("https://camelcamelcamel.com/search?sq=B0BVSR8T6M", "https://camelcamelcamel.com/search?sq=B0BVSR8T6M")</f>
      </c>
      <c r="AL677" t="inlineStr">
        <is>
          <t/>
        </is>
      </c>
      <c r="AM677" s="10">
        <v>45417.11111111111</v>
      </c>
      <c r="AN677" t="inlineStr">
        <is>
          <t>ClearSpace Plastic Pantry Organization and Storage Bins with Removable Dividers â€“ Perfect Kitchen Organization or Kitchen Storage â€“ Refrigerator Organizer Bins, Cabinet Organizers (4 Pack)</t>
        </is>
      </c>
      <c r="AO677" t="inlineStr">
        <is>
          <t>800</t>
        </is>
      </c>
      <c r="AP677" t="inlineStr">
        <is>
          <t>TAKE ALL</t>
        </is>
      </c>
    </row>
    <row r="678">
      <c r="A678" t="inlineStr">
        <is>
          <t>B0BVWC1BQ2</t>
        </is>
      </c>
      <c r="B678" t="inlineStr">
        <is>
          <t>False</t>
        </is>
      </c>
      <c r="C678" t="inlineStr">
        <is>
          <t>B0BVWC1BQ2</t>
        </is>
      </c>
      <c r="D678" t="inlineStr">
        <is>
          <t>Fresh Step</t>
        </is>
      </c>
      <c r="E678" t="inlineStr">
        <is>
          <t>False</t>
        </is>
      </c>
      <c r="F678" t="inlineStr">
        <is>
          <t>Fresh Step Crystals Health Monitoring Cat Litter, Unscented, 14 lbs total, (2 Pack of 7lb Bags) (Package May Vary)</t>
        </is>
      </c>
      <c r="G678">
        <v>1</v>
      </c>
      <c r="H678" s="2" t="str">
        <f>HYPERLINK("https://www.amazon.com/dp/B0BVWC1BQ2", "https://www.amazon.com/dp/B0BVWC1BQ2")</f>
      </c>
      <c r="I678" s="3">
        <v>17000</v>
      </c>
      <c r="J678" s="12">
        <v>-17</v>
      </c>
      <c r="K678" s="13">
        <v>-1</v>
      </c>
      <c r="L678" s="13">
        <v>-1</v>
      </c>
      <c r="M678" t="inlineStr">
        <is>
          <t>True</t>
        </is>
      </c>
      <c r="N678" t="inlineStr">
        <is>
          <t>Pet Supplies</t>
        </is>
      </c>
      <c r="O678" s="6">
        <v>315</v>
      </c>
      <c r="P678" s="6">
        <v>540</v>
      </c>
      <c r="Q678" s="6">
        <v>98</v>
      </c>
      <c r="R678" s="6">
        <v>276</v>
      </c>
      <c r="S678" s="7">
        <v>17</v>
      </c>
      <c r="T678" s="7">
        <v>17</v>
      </c>
      <c r="U678">
        <v>39.93</v>
      </c>
      <c r="V678" s="8">
        <v>0</v>
      </c>
      <c r="W678" s="7">
        <v>0</v>
      </c>
      <c r="X678" s="7">
        <v>0</v>
      </c>
      <c r="Y678">
        <v>15.2</v>
      </c>
      <c r="Z678" s="9">
        <v>1</v>
      </c>
      <c r="AB678">
        <v>0</v>
      </c>
      <c r="AC678">
        <v>0</v>
      </c>
      <c r="AD678">
        <v>37</v>
      </c>
      <c r="AE678">
        <v>19</v>
      </c>
      <c r="AF678">
        <v>18</v>
      </c>
      <c r="AG678">
        <v>1</v>
      </c>
      <c r="AH678">
        <v>2</v>
      </c>
      <c r="AI678" t="inlineStr">
        <is>
          <t>False</t>
        </is>
      </c>
      <c r="AJ678" s="2" t="str">
        <f>HYPERLINK("https://keepa.com/#!product/1-B0BVWC1BQ2", "https://keepa.com/#!product/1-B0BVWC1BQ2")</f>
      </c>
      <c r="AK678" s="2" t="str">
        <f>HYPERLINK("https://camelcamelcamel.com/search?sq=B0BVWC1BQ2", "https://camelcamelcamel.com/search?sq=B0BVWC1BQ2")</f>
      </c>
      <c r="AL678" t="inlineStr">
        <is>
          <t/>
        </is>
      </c>
      <c r="AM678" s="10">
        <v>45417.11111111111</v>
      </c>
      <c r="AN678" t="inlineStr">
        <is>
          <t>Fresh Step Crystals Health Monitoring Cat Litter, Unscented, 14 lbs total, (2 Pack of 7lb Bags) (Package May Vary)</t>
        </is>
      </c>
      <c r="AO678" t="inlineStr">
        <is>
          <t>3000</t>
        </is>
      </c>
      <c r="AP678" t="inlineStr">
        <is>
          <t>1000</t>
        </is>
      </c>
    </row>
    <row r="679">
      <c r="A679" t="inlineStr">
        <is>
          <t>B0BWC8W4VH</t>
        </is>
      </c>
      <c r="B679" t="inlineStr">
        <is>
          <t>False</t>
        </is>
      </c>
      <c r="C679" t="inlineStr">
        <is>
          <t>B0BWC8W4VH</t>
        </is>
      </c>
      <c r="D679" t="inlineStr">
        <is>
          <t>Calista</t>
        </is>
      </c>
      <c r="E679" t="inlineStr">
        <is>
          <t>False</t>
        </is>
      </c>
      <c r="F679" t="inlineStr">
        <is>
          <t>Calista Perfecter Pro Plus Heated Round Brush, Professional Styling Brush, Burn-Free Firm Bristles, Ionic and Ceramic Technology (0.5, Rhododendron)</t>
        </is>
      </c>
      <c r="G679">
        <v>1</v>
      </c>
      <c r="H679" s="2" t="str">
        <f>HYPERLINK("https://www.amazon.com/dp/B0BWC8W4VH", "https://www.amazon.com/dp/B0BWC8W4VH")</f>
      </c>
      <c r="I679" s="3">
        <v>856</v>
      </c>
      <c r="J679" s="4">
        <v>39.43</v>
      </c>
      <c r="K679" s="15">
        <v>0.33130000000000004</v>
      </c>
      <c r="L679" s="15">
        <v>0.7105</v>
      </c>
      <c r="M679" t="inlineStr">
        <is>
          <t>True</t>
        </is>
      </c>
      <c r="N679" t="inlineStr">
        <is>
          <t>Beauty &amp; Personal Care</t>
        </is>
      </c>
      <c r="O679" s="6">
        <v>20163</v>
      </c>
      <c r="P679" s="6">
        <v>26692</v>
      </c>
      <c r="Q679" s="6">
        <v>19055</v>
      </c>
      <c r="R679" s="6">
        <v>90</v>
      </c>
      <c r="S679" s="7">
        <v>55.5</v>
      </c>
      <c r="T679" s="7">
        <v>119</v>
      </c>
      <c r="U679">
        <v>119</v>
      </c>
      <c r="V679" s="8">
        <v>0</v>
      </c>
      <c r="W679" s="7">
        <v>0</v>
      </c>
      <c r="X679" s="7">
        <v>0</v>
      </c>
      <c r="Y679">
        <v>1.65</v>
      </c>
      <c r="Z679" s="8">
        <v>0</v>
      </c>
      <c r="AB679">
        <v>0</v>
      </c>
      <c r="AC679">
        <v>0</v>
      </c>
      <c r="AD679">
        <v>1</v>
      </c>
      <c r="AE679">
        <v>1</v>
      </c>
      <c r="AF679">
        <v>0</v>
      </c>
      <c r="AG679">
        <v>1</v>
      </c>
      <c r="AH679">
        <v>8</v>
      </c>
      <c r="AI679" t="inlineStr">
        <is>
          <t>False</t>
        </is>
      </c>
      <c r="AJ679" s="2" t="str">
        <f>HYPERLINK("https://keepa.com/#!product/1-B0BWC8W4VH", "https://keepa.com/#!product/1-B0BWC8W4VH")</f>
      </c>
      <c r="AK679" s="2" t="str">
        <f>HYPERLINK("https://camelcamelcamel.com/search?sq=B0BWC8W4VH", "https://camelcamelcamel.com/search?sq=B0BWC8W4VH")</f>
      </c>
      <c r="AL679" t="inlineStr">
        <is>
          <t/>
        </is>
      </c>
      <c r="AM679" s="10">
        <v>45417.11111111111</v>
      </c>
      <c r="AN679" t="inlineStr">
        <is>
          <t>Calista Perfecter Pro Plus Heated Round Brush, Professional Styling Brush, Burn-Free Firm Bristles, Ionic and Ceramic Technology (0.5, Rhododendron)</t>
        </is>
      </c>
      <c r="AO679" t="inlineStr">
        <is>
          <t>450</t>
        </is>
      </c>
      <c r="AP679" t="inlineStr">
        <is>
          <t>TAKE ALL</t>
        </is>
      </c>
    </row>
    <row r="680">
      <c r="A680" t="inlineStr">
        <is>
          <t>B0BWMBNXG2</t>
        </is>
      </c>
      <c r="B680" t="inlineStr">
        <is>
          <t>False</t>
        </is>
      </c>
      <c r="C680" t="inlineStr">
        <is>
          <t>B0BWMBNXG2</t>
        </is>
      </c>
      <c r="D680" t="inlineStr">
        <is>
          <t>Paul Mitchell</t>
        </is>
      </c>
      <c r="E680" t="inlineStr">
        <is>
          <t>False</t>
        </is>
      </c>
      <c r="F680" t="inlineStr">
        <is>
          <t>Paul Mitchell Awapuhi Shampoo, Original Wash, Balances Moisture, For All Hair Types</t>
        </is>
      </c>
      <c r="G680">
        <v>1</v>
      </c>
      <c r="H680" s="2" t="str">
        <f>HYPERLINK("https://www.amazon.com/dp/B0BWMBNXG2", "https://www.amazon.com/dp/B0BWMBNXG2")</f>
      </c>
      <c r="I680" s="3">
        <v>893</v>
      </c>
      <c r="J680" s="11">
        <v>2.68</v>
      </c>
      <c r="K680" s="5">
        <v>0.1041</v>
      </c>
      <c r="L680" s="5">
        <v>0.2023</v>
      </c>
      <c r="M680" t="inlineStr">
        <is>
          <t>True</t>
        </is>
      </c>
      <c r="N680" t="inlineStr">
        <is>
          <t>Beauty &amp; Personal Care</t>
        </is>
      </c>
      <c r="O680" s="6">
        <v>19365</v>
      </c>
      <c r="P680" s="6">
        <v>9607</v>
      </c>
      <c r="Q680" s="6">
        <v>1088</v>
      </c>
      <c r="R680" s="6">
        <v>180</v>
      </c>
      <c r="S680" s="7">
        <v>13.25</v>
      </c>
      <c r="T680" s="7">
        <v>25.75</v>
      </c>
      <c r="U680">
        <v>25.75</v>
      </c>
      <c r="V680" s="8">
        <v>0</v>
      </c>
      <c r="W680" s="7">
        <v>0</v>
      </c>
      <c r="X680" s="7">
        <v>0</v>
      </c>
      <c r="Y680">
        <v>2.25</v>
      </c>
      <c r="Z680" s="9">
        <v>1</v>
      </c>
      <c r="AB680">
        <v>0</v>
      </c>
      <c r="AC680">
        <v>0</v>
      </c>
      <c r="AD680">
        <v>1</v>
      </c>
      <c r="AE680">
        <v>1</v>
      </c>
      <c r="AF680">
        <v>0</v>
      </c>
      <c r="AG680">
        <v>1</v>
      </c>
      <c r="AH680">
        <v>2</v>
      </c>
      <c r="AI680" t="inlineStr">
        <is>
          <t>False</t>
        </is>
      </c>
      <c r="AJ680" s="2" t="str">
        <f>HYPERLINK("https://keepa.com/#!product/1-B0BWMBNXG2", "https://keepa.com/#!product/1-B0BWMBNXG2")</f>
      </c>
      <c r="AK680" s="2" t="str">
        <f>HYPERLINK("https://camelcamelcamel.com/search?sq=B0BWMBNXG2", "https://camelcamelcamel.com/search?sq=B0BWMBNXG2")</f>
      </c>
      <c r="AL680" t="inlineStr">
        <is>
          <t/>
        </is>
      </c>
      <c r="AM680" s="10">
        <v>45417.11111111111</v>
      </c>
      <c r="AN680" t="inlineStr">
        <is>
          <t>Paul Mitchell Awapuhi Shampoo, Original Wash, Balances Moisture, For All Hair Types</t>
        </is>
      </c>
      <c r="AO680" t="inlineStr">
        <is>
          <t>3216</t>
        </is>
      </c>
      <c r="AP680" t="inlineStr">
        <is>
          <t>1500</t>
        </is>
      </c>
    </row>
    <row r="681">
      <c r="A681" t="inlineStr">
        <is>
          <t>B0BX1YDH8P</t>
        </is>
      </c>
      <c r="B681" t="inlineStr">
        <is>
          <t>False</t>
        </is>
      </c>
      <c r="C681" t="inlineStr">
        <is>
          <t>B0BX1YDH8P</t>
        </is>
      </c>
      <c r="D681" t="inlineStr">
        <is>
          <t>Beneful</t>
        </is>
      </c>
      <c r="E681" t="inlineStr">
        <is>
          <t>False</t>
        </is>
      </c>
      <c r="F681" t="inlineStr">
        <is>
          <t>Beneful IncrediBites with Chicken and Natural Bacon Flavor and Porterhouse Steak Flavor Wet Dog Food Variety Pack - (Pack of 12) 3.5 oz. Cans</t>
        </is>
      </c>
      <c r="G681">
        <v>1</v>
      </c>
      <c r="H681" s="2" t="str">
        <f>HYPERLINK("https://www.amazon.com/dp/B0BX1YDH8P", "https://www.amazon.com/dp/B0BX1YDH8P")</f>
      </c>
      <c r="I681" s="3">
        <v>4704</v>
      </c>
      <c r="J681" s="12">
        <v>-1.1</v>
      </c>
      <c r="K681" s="13">
        <v>-0.08810000000000001</v>
      </c>
      <c r="L681" s="13">
        <v>-0.2444</v>
      </c>
      <c r="M681" t="inlineStr">
        <is>
          <t>True</t>
        </is>
      </c>
      <c r="N681" t="inlineStr">
        <is>
          <t>Pet Supplies</t>
        </is>
      </c>
      <c r="O681" s="6">
        <v>1792</v>
      </c>
      <c r="P681" s="6">
        <v>4076</v>
      </c>
      <c r="Q681" s="6">
        <v>1499</v>
      </c>
      <c r="R681" s="6">
        <v>295</v>
      </c>
      <c r="S681" s="7">
        <v>4.5</v>
      </c>
      <c r="T681" s="7">
        <v>12.48</v>
      </c>
      <c r="U681">
        <v>13.61</v>
      </c>
      <c r="V681" s="8">
        <v>0</v>
      </c>
      <c r="W681" s="7">
        <v>0</v>
      </c>
      <c r="X681" s="7">
        <v>0</v>
      </c>
      <c r="Y681">
        <v>3.31</v>
      </c>
      <c r="Z681" s="9">
        <v>0.98</v>
      </c>
      <c r="AB681">
        <v>0</v>
      </c>
      <c r="AC681">
        <v>0</v>
      </c>
      <c r="AD681">
        <v>11</v>
      </c>
      <c r="AE681">
        <v>3</v>
      </c>
      <c r="AF681">
        <v>8</v>
      </c>
      <c r="AG681">
        <v>1</v>
      </c>
      <c r="AH681">
        <v>0</v>
      </c>
      <c r="AI681" t="inlineStr">
        <is>
          <t>False</t>
        </is>
      </c>
      <c r="AJ681" s="2" t="str">
        <f>HYPERLINK("https://keepa.com/#!product/1-B0BX1YDH8P", "https://keepa.com/#!product/1-B0BX1YDH8P")</f>
      </c>
      <c r="AK681" s="2" t="str">
        <f>HYPERLINK("https://camelcamelcamel.com/search?sq=B0BX1YDH8P", "https://camelcamelcamel.com/search?sq=B0BX1YDH8P")</f>
      </c>
      <c r="AL681" t="inlineStr">
        <is>
          <t/>
        </is>
      </c>
      <c r="AM681" s="10">
        <v>45417.11111111111</v>
      </c>
      <c r="AN681" t="inlineStr">
        <is>
          <t>Beneful IncrediBites with Chicken and Natural Bacon Flavor and Porterhouse Steak Flavor Wet Dog Food Variety Pack - (12) 3.5 Oz. Cans</t>
        </is>
      </c>
      <c r="AO681" t="inlineStr">
        <is>
          <t>3000</t>
        </is>
      </c>
      <c r="AP681" t="inlineStr">
        <is>
          <t>TAKE ALL</t>
        </is>
      </c>
    </row>
    <row r="682">
      <c r="A682" t="inlineStr">
        <is>
          <t>B0BX4LD111</t>
        </is>
      </c>
      <c r="B682" t="inlineStr">
        <is>
          <t>False</t>
        </is>
      </c>
      <c r="C682" t="inlineStr">
        <is>
          <t>B0BX4LD111</t>
        </is>
      </c>
      <c r="D682" t="inlineStr">
        <is>
          <t>PRIME HYDRATION</t>
        </is>
      </c>
      <c r="E682" t="inlineStr">
        <is>
          <t>False</t>
        </is>
      </c>
      <c r="F682" t="inlineStr">
        <is>
          <t>PRIME Energy BLUE RASPBERRY | Zero Sugar Energy Drink | Preworkout Energy | 200mg Caffeine with 355mg of Electrolytes and Coconut Water for Hydration| Vegan | Gluten Free |12 Fluid Ounce | 24 Pack</t>
        </is>
      </c>
      <c r="G682">
        <v>1</v>
      </c>
      <c r="H682" s="2" t="str">
        <f>HYPERLINK("https://www.amazon.com/dp/B0BX4LD111", "https://www.amazon.com/dp/B0BX4LD111")</f>
      </c>
      <c r="I682" s="3">
        <v>5080</v>
      </c>
      <c r="J682" s="11">
        <v>1.57</v>
      </c>
      <c r="K682" s="5">
        <v>0.0436</v>
      </c>
      <c r="L682" s="5">
        <v>0.0966</v>
      </c>
      <c r="M682" t="inlineStr">
        <is>
          <t>True</t>
        </is>
      </c>
      <c r="N682" t="inlineStr">
        <is>
          <t>Grocery &amp; Gourmet Food</t>
        </is>
      </c>
      <c r="O682" s="6">
        <v>1037</v>
      </c>
      <c r="P682" s="6">
        <v>2336</v>
      </c>
      <c r="Q682" s="6">
        <v>237</v>
      </c>
      <c r="R682" s="6">
        <v>267</v>
      </c>
      <c r="S682" s="7">
        <v>16.25</v>
      </c>
      <c r="T682" s="7">
        <v>35.99</v>
      </c>
      <c r="U682">
        <v>35.4</v>
      </c>
      <c r="V682" s="8">
        <v>0</v>
      </c>
      <c r="W682" s="7">
        <v>0</v>
      </c>
      <c r="X682" s="7">
        <v>0</v>
      </c>
      <c r="Y682">
        <v>20</v>
      </c>
      <c r="Z682" s="8">
        <v>0</v>
      </c>
      <c r="AB682">
        <v>0</v>
      </c>
      <c r="AC682">
        <v>0</v>
      </c>
      <c r="AD682">
        <v>13</v>
      </c>
      <c r="AE682">
        <v>1</v>
      </c>
      <c r="AF682">
        <v>12</v>
      </c>
      <c r="AG682">
        <v>1</v>
      </c>
      <c r="AH682">
        <v>13</v>
      </c>
      <c r="AI682" t="inlineStr">
        <is>
          <t>False</t>
        </is>
      </c>
      <c r="AJ682" s="2" t="str">
        <f>HYPERLINK("https://keepa.com/#!product/1-B0BX4LD111", "https://keepa.com/#!product/1-B0BX4LD111")</f>
      </c>
      <c r="AK682" s="2" t="str">
        <f>HYPERLINK("https://camelcamelcamel.com/search?sq=B0BX4LD111", "https://camelcamelcamel.com/search?sq=B0BX4LD111")</f>
      </c>
      <c r="AL682" t="inlineStr">
        <is>
          <t/>
        </is>
      </c>
      <c r="AM682" s="10">
        <v>45417.11111111111</v>
      </c>
      <c r="AN682" t="inlineStr">
        <is>
          <t>PRIME Energy BLUE RASPBERRY | Zero Sugar Energy Drink | Preworkout Energy | 200mg Caffeine with 355mg of Electrolytes and Coconut Water for Hydration| Vegan | Gluten Free |12 Fluid Ounce | 24 Pack</t>
        </is>
      </c>
      <c r="AO682" t="inlineStr">
        <is>
          <t>728</t>
        </is>
      </c>
      <c r="AP682" t="inlineStr">
        <is>
          <t>TAKE ALL</t>
        </is>
      </c>
    </row>
    <row r="683">
      <c r="A683" t="inlineStr">
        <is>
          <t>B0BX6MBD52</t>
        </is>
      </c>
      <c r="B683" t="inlineStr">
        <is>
          <t>False</t>
        </is>
      </c>
      <c r="C683" t="inlineStr">
        <is>
          <t>B0BX6MBD52</t>
        </is>
      </c>
      <c r="D683" t="inlineStr">
        <is>
          <t>Dove</t>
        </is>
      </c>
      <c r="E683" t="inlineStr">
        <is>
          <t>True</t>
        </is>
      </c>
      <c r="F683" t="inlineStr">
        <is>
          <t>Dove, Bar Soap Sensitive Skin, 31.7 Ounce</t>
        </is>
      </c>
      <c r="G683">
        <v>1</v>
      </c>
      <c r="H683" s="2" t="str">
        <f>HYPERLINK("https://www.amazon.com/dp/B0BX6MBD52", "https://www.amazon.com/dp/B0BX6MBD52")</f>
      </c>
      <c r="I683" s="3">
        <v>52273</v>
      </c>
      <c r="J683" s="12">
        <v>-9.67</v>
      </c>
      <c r="K683" s="13">
        <v>-0.8051999999999999</v>
      </c>
      <c r="L683" s="13">
        <v>-0.6931999999999999</v>
      </c>
      <c r="M683" t="inlineStr">
        <is>
          <t>True</t>
        </is>
      </c>
      <c r="N683" t="inlineStr">
        <is>
          <t>Beauty &amp; Personal Care</t>
        </is>
      </c>
      <c r="O683" s="6">
        <v>65</v>
      </c>
      <c r="P683" s="6">
        <v>58</v>
      </c>
      <c r="Q683" s="6">
        <v>29</v>
      </c>
      <c r="R683" s="6">
        <v>246</v>
      </c>
      <c r="S683" s="7">
        <v>13.95</v>
      </c>
      <c r="T683" s="7">
        <v>12.01</v>
      </c>
      <c r="U683">
        <v>25.84</v>
      </c>
      <c r="V683" s="8">
        <v>0</v>
      </c>
      <c r="W683" s="7">
        <v>0</v>
      </c>
      <c r="X683" s="7">
        <v>0</v>
      </c>
      <c r="Y683">
        <v>2.2</v>
      </c>
      <c r="Z683" s="8">
        <v>0</v>
      </c>
      <c r="AB683">
        <v>0</v>
      </c>
      <c r="AC683">
        <v>0</v>
      </c>
      <c r="AD683">
        <v>15</v>
      </c>
      <c r="AE683">
        <v>12</v>
      </c>
      <c r="AF683">
        <v>3</v>
      </c>
      <c r="AG683">
        <v>2</v>
      </c>
      <c r="AH683">
        <v>39</v>
      </c>
      <c r="AI683" t="inlineStr">
        <is>
          <t>False</t>
        </is>
      </c>
      <c r="AJ683" s="2" t="str">
        <f>HYPERLINK("https://keepa.com/#!product/1-B0BX6MBD52", "https://keepa.com/#!product/1-B0BX6MBD52")</f>
      </c>
      <c r="AK683" s="2" t="str">
        <f>HYPERLINK("https://camelcamelcamel.com/search?sq=B0BX6MBD52", "https://camelcamelcamel.com/search?sq=B0BX6MBD52")</f>
      </c>
      <c r="AL683" t="inlineStr">
        <is>
          <t/>
        </is>
      </c>
      <c r="AM683" s="10">
        <v>45417.11111111111</v>
      </c>
      <c r="AN683" t="inlineStr">
        <is>
          <t>Dove, Bar Soap Sensitive Skin, 31.7 Ounce</t>
        </is>
      </c>
      <c r="AO683" t="inlineStr">
        <is>
          <t>210</t>
        </is>
      </c>
      <c r="AP683" t="inlineStr">
        <is>
          <t>TAKE ALL</t>
        </is>
      </c>
    </row>
    <row r="684">
      <c r="A684" t="inlineStr">
        <is>
          <t>B0BXFW4S3X</t>
        </is>
      </c>
      <c r="B684" t="inlineStr">
        <is>
          <t>False</t>
        </is>
      </c>
      <c r="C684" t="inlineStr">
        <is>
          <t>B0BXFW4S3X</t>
        </is>
      </c>
      <c r="D684" t="inlineStr">
        <is>
          <t>Samsung</t>
        </is>
      </c>
      <c r="E684" t="inlineStr">
        <is>
          <t>True</t>
        </is>
      </c>
      <c r="F684" t="inlineStr">
        <is>
          <t>SAMSUNG BESPOKE Jet Cordless Stick Vacuum Cleaner w/ Clean Station, Powerful Multi-Surface Floor Cleaning for Carpet, Hardwood, Tile, 5-Layer Filter, Lightweight, VS20A9500AW/AA, 2023, Misty White</t>
        </is>
      </c>
      <c r="G684">
        <v>1</v>
      </c>
      <c r="H684" s="2" t="str">
        <f>HYPERLINK("https://www.amazon.com/dp/B0BXFW4S3X", "https://www.amazon.com/dp/B0BXFW4S3X")</f>
      </c>
      <c r="I684" s="3">
        <v>188</v>
      </c>
      <c r="J684" s="4">
        <v>144.97</v>
      </c>
      <c r="K684" s="5">
        <v>0.223</v>
      </c>
      <c r="L684" s="15">
        <v>0.45299999999999996</v>
      </c>
      <c r="M684" t="inlineStr">
        <is>
          <t>True</t>
        </is>
      </c>
      <c r="N684" t="inlineStr">
        <is>
          <t>Home &amp; Kitchen</t>
        </is>
      </c>
      <c r="O684" s="6">
        <v>131655</v>
      </c>
      <c r="P684" s="6">
        <v>110227</v>
      </c>
      <c r="Q684" s="6">
        <v>27783</v>
      </c>
      <c r="R684" s="6">
        <v>161</v>
      </c>
      <c r="S684" s="7">
        <v>320</v>
      </c>
      <c r="T684" s="7">
        <v>649.99</v>
      </c>
      <c r="U684">
        <v>636.22</v>
      </c>
      <c r="V684" s="8">
        <v>0</v>
      </c>
      <c r="W684" s="7">
        <v>0</v>
      </c>
      <c r="X684" s="7">
        <v>0</v>
      </c>
      <c r="Y684">
        <v>28.5</v>
      </c>
      <c r="Z684" s="9">
        <v>1</v>
      </c>
      <c r="AB684">
        <v>0</v>
      </c>
      <c r="AC684">
        <v>0</v>
      </c>
      <c r="AD684">
        <v>14</v>
      </c>
      <c r="AE684">
        <v>1</v>
      </c>
      <c r="AF684">
        <v>1</v>
      </c>
      <c r="AG684">
        <v>1</v>
      </c>
      <c r="AH684">
        <v>3</v>
      </c>
      <c r="AI684" t="inlineStr">
        <is>
          <t>True</t>
        </is>
      </c>
      <c r="AJ684" s="2" t="str">
        <f>HYPERLINK("https://keepa.com/#!product/1-B0BXFW4S3X", "https://keepa.com/#!product/1-B0BXFW4S3X")</f>
      </c>
      <c r="AK684" s="2" t="str">
        <f>HYPERLINK("https://camelcamelcamel.com/search?sq=B0BXFW4S3X", "https://camelcamelcamel.com/search?sq=B0BXFW4S3X")</f>
      </c>
      <c r="AL684" t="inlineStr">
        <is>
          <t/>
        </is>
      </c>
      <c r="AM684" s="10">
        <v>45417.11111111111</v>
      </c>
      <c r="AN684" t="inlineStr">
        <is>
          <t>SAMSUNG Offer</t>
        </is>
      </c>
      <c r="AO684" t="inlineStr">
        <is>
          <t>320</t>
        </is>
      </c>
      <c r="AP684" t="inlineStr">
        <is>
          <t>TAKE ALL</t>
        </is>
      </c>
    </row>
    <row r="685">
      <c r="A685" t="inlineStr">
        <is>
          <t>B0BXSMWTP8</t>
        </is>
      </c>
      <c r="B685" t="inlineStr">
        <is>
          <t>False</t>
        </is>
      </c>
      <c r="C685" t="inlineStr">
        <is>
          <t>B0BXSMWTP8</t>
        </is>
      </c>
      <c r="D685" t="inlineStr">
        <is>
          <t>amzchef</t>
        </is>
      </c>
      <c r="E685" t="inlineStr">
        <is>
          <t>False</t>
        </is>
      </c>
      <c r="F685" t="inlineStr">
        <is>
          <t>Cold Press Juicer, AMZCHEF Compact Slow Masticating Juicer, 3" Wide Chute juicer machines, Upgraded Non-Clogging Filter, High Yield Juice, 250W Power (Black)</t>
        </is>
      </c>
      <c r="G685">
        <v>1</v>
      </c>
      <c r="H685" s="2" t="str">
        <f>HYPERLINK("https://www.amazon.com/dp/B0BXSMWTP8", "https://www.amazon.com/dp/B0BXSMWTP8")</f>
      </c>
      <c r="I685" s="14">
        <v>5</v>
      </c>
      <c r="J685" s="4">
        <v>80.52</v>
      </c>
      <c r="K685" s="15">
        <v>0.40259999999999996</v>
      </c>
      <c r="L685" s="15">
        <v>1.0065</v>
      </c>
      <c r="M685" t="inlineStr">
        <is>
          <t>True</t>
        </is>
      </c>
      <c r="N685" t="inlineStr">
        <is>
          <t>Kitchen &amp; Dining</t>
        </is>
      </c>
      <c r="O685" s="6">
        <v>2262880</v>
      </c>
      <c r="P685" s="6">
        <v>2227890</v>
      </c>
      <c r="Q685" s="6">
        <v>2210293</v>
      </c>
      <c r="R685" s="6">
        <v>0</v>
      </c>
      <c r="S685" s="7">
        <v>80</v>
      </c>
      <c r="T685" s="7">
        <v>199.99</v>
      </c>
      <c r="U685">
        <v>0</v>
      </c>
      <c r="V685" s="8">
        <v>0</v>
      </c>
      <c r="W685" s="7">
        <v>0</v>
      </c>
      <c r="X685" s="7">
        <v>0</v>
      </c>
      <c r="Y685">
        <v>5.42</v>
      </c>
      <c r="Z685" s="8">
        <v>0</v>
      </c>
      <c r="AB685">
        <v>0</v>
      </c>
      <c r="AC685">
        <v>0</v>
      </c>
      <c r="AD685">
        <v>1</v>
      </c>
      <c r="AE685">
        <v>1</v>
      </c>
      <c r="AF685">
        <v>0</v>
      </c>
      <c r="AG685">
        <v>0</v>
      </c>
      <c r="AH685">
        <v>0</v>
      </c>
      <c r="AI685" t="inlineStr">
        <is>
          <t>False</t>
        </is>
      </c>
      <c r="AJ685" s="2" t="str">
        <f>HYPERLINK("https://keepa.com/#!product/1-B0BXSMWTP8", "https://keepa.com/#!product/1-B0BXSMWTP8")</f>
      </c>
      <c r="AK685" s="2" t="str">
        <f>HYPERLINK("https://camelcamelcamel.com/search?sq=B0BXSMWTP8", "https://camelcamelcamel.com/search?sq=B0BXSMWTP8")</f>
      </c>
      <c r="AL685" t="inlineStr">
        <is>
          <t/>
        </is>
      </c>
      <c r="AM685" s="10">
        <v>45417.11111111111</v>
      </c>
      <c r="AN685" t="inlineStr">
        <is>
          <t>Cold Press Juicer, AMZCHEF Compact Slow Masticating Juicer, 3" Wide Chute juicer machines, Upgraded Non-Clogging Filter, High Yield Juice, 250W Power (Black)</t>
        </is>
      </c>
      <c r="AO685" t="inlineStr">
        <is>
          <t>100</t>
        </is>
      </c>
      <c r="AP685" t="inlineStr">
        <is>
          <t>TAKE ALL</t>
        </is>
      </c>
    </row>
    <row r="686">
      <c r="A686" t="inlineStr">
        <is>
          <t>B0BYLVCCY3</t>
        </is>
      </c>
      <c r="B686" t="inlineStr">
        <is>
          <t>False</t>
        </is>
      </c>
      <c r="C686" t="inlineStr">
        <is>
          <t>B0BYLVCCY3</t>
        </is>
      </c>
      <c r="D686" t="inlineStr">
        <is>
          <t>RAW</t>
        </is>
      </c>
      <c r="E686" t="inlineStr">
        <is>
          <t>False</t>
        </is>
      </c>
      <c r="F686" t="inlineStr">
        <is>
          <t>RAW Whey Isolate Protein Powder, Birthday Cake (CBUM Itholate Protein) - 100% Grass-Fed Sports Nutrition Powder for Muscle Growth &amp; Recovery - Low-Fat, Low Carb - 25 Servings</t>
        </is>
      </c>
      <c r="G686">
        <v>1</v>
      </c>
      <c r="H686" s="2" t="str">
        <f>HYPERLINK("https://www.amazon.com/dp/B0BYLVCCY3", "https://www.amazon.com/dp/B0BYLVCCY3")</f>
      </c>
      <c r="I686" s="3">
        <v>2220</v>
      </c>
      <c r="J686" s="12">
        <v>-2.42</v>
      </c>
      <c r="K686" s="13">
        <v>-0.0637</v>
      </c>
      <c r="L686" s="13">
        <v>-0.0849</v>
      </c>
      <c r="M686" t="inlineStr">
        <is>
          <t>True</t>
        </is>
      </c>
      <c r="N686" t="inlineStr">
        <is>
          <t>Health &amp; Household</t>
        </is>
      </c>
      <c r="O686" s="6">
        <v>11633</v>
      </c>
      <c r="P686" s="6">
        <v>8703</v>
      </c>
      <c r="Q686" s="6">
        <v>5281</v>
      </c>
      <c r="R686" s="6">
        <v>260</v>
      </c>
      <c r="S686" s="7">
        <v>28.5</v>
      </c>
      <c r="T686" s="7">
        <v>38</v>
      </c>
      <c r="U686">
        <v>41.08</v>
      </c>
      <c r="V686" s="8">
        <v>0</v>
      </c>
      <c r="W686" s="7">
        <v>0</v>
      </c>
      <c r="X686" s="7">
        <v>0</v>
      </c>
      <c r="Y686">
        <v>2.2</v>
      </c>
      <c r="Z686" s="9">
        <v>0.43</v>
      </c>
      <c r="AB686">
        <v>0</v>
      </c>
      <c r="AC686">
        <v>0</v>
      </c>
      <c r="AD686">
        <v>7</v>
      </c>
      <c r="AE686">
        <v>4</v>
      </c>
      <c r="AF686">
        <v>3</v>
      </c>
      <c r="AG686">
        <v>1</v>
      </c>
      <c r="AH686">
        <v>6</v>
      </c>
      <c r="AI686" t="inlineStr">
        <is>
          <t>False</t>
        </is>
      </c>
      <c r="AJ686" s="2" t="str">
        <f>HYPERLINK("https://keepa.com/#!product/1-B0BYLVCCY3", "https://keepa.com/#!product/1-B0BYLVCCY3")</f>
      </c>
      <c r="AK686" s="2" t="str">
        <f>HYPERLINK("https://camelcamelcamel.com/search?sq=B0BYLVCCY3", "https://camelcamelcamel.com/search?sq=B0BYLVCCY3")</f>
      </c>
      <c r="AL686" t="inlineStr">
        <is>
          <t/>
        </is>
      </c>
      <c r="AM686" s="10">
        <v>45417.11111111111</v>
      </c>
      <c r="AN686" t="inlineStr">
        <is>
          <t>RAW Whey Isolate Protein Powder, Birthday Cake (CBUM Itholate Protein) - 100% Grass-Fed Sports Nutrition Powder for Muscle Growth &amp; Recovery - Low-Fat, Low Carb - 25 Servings</t>
        </is>
      </c>
      <c r="AO686" t="inlineStr">
        <is>
          <t>122</t>
        </is>
      </c>
      <c r="AP686" t="inlineStr">
        <is>
          <t>TAKE ALL</t>
        </is>
      </c>
    </row>
    <row r="687">
      <c r="A687" t="inlineStr">
        <is>
          <t>B0BYNVZTW1</t>
        </is>
      </c>
      <c r="B687" t="inlineStr">
        <is>
          <t>False</t>
        </is>
      </c>
      <c r="C687" t="inlineStr">
        <is>
          <t>B0BYNVZTW1</t>
        </is>
      </c>
      <c r="D687" t="inlineStr">
        <is>
          <t>historyoo</t>
        </is>
      </c>
      <c r="E687" t="inlineStr">
        <is>
          <t>False</t>
        </is>
      </c>
      <c r="F687" t="inlineStr">
        <is>
          <t>historyoo Solar Garden Light, 4Pack Outdoor Lights Solar Firefly Lights Solar Lights Outdoor Waterproof, Decor Lights for Garden Yard Patio Pathway, Solar Christmas Lights for Outside Warm Light</t>
        </is>
      </c>
      <c r="G687">
        <v>1</v>
      </c>
      <c r="H687" s="2" t="str">
        <f>HYPERLINK("https://www.amazon.com/dp/B0BYNVZTW1", "https://www.amazon.com/dp/B0BYNVZTW1")</f>
      </c>
      <c r="I687" s="3">
        <v>111</v>
      </c>
      <c r="M687" t="inlineStr">
        <is>
          <t>True</t>
        </is>
      </c>
      <c r="N687" t="inlineStr">
        <is>
          <t>Tools &amp; Home Improvement</t>
        </is>
      </c>
      <c r="O687" s="6">
        <v>80732</v>
      </c>
      <c r="P687" s="6">
        <v>34850</v>
      </c>
      <c r="Q687" s="6">
        <v>545</v>
      </c>
      <c r="R687" s="6">
        <v>166</v>
      </c>
      <c r="S687" s="7">
        <v>6.25</v>
      </c>
      <c r="U687">
        <v>15.07</v>
      </c>
      <c r="X687" s="7">
        <v>0</v>
      </c>
      <c r="Y687">
        <v>1.64</v>
      </c>
      <c r="Z687" s="8">
        <v>0</v>
      </c>
      <c r="AB687">
        <v>0</v>
      </c>
      <c r="AC687">
        <v>0</v>
      </c>
      <c r="AD687">
        <v>0</v>
      </c>
      <c r="AE687">
        <v>0</v>
      </c>
      <c r="AF687">
        <v>0</v>
      </c>
      <c r="AG687">
        <v>0</v>
      </c>
      <c r="AH687">
        <v>1</v>
      </c>
      <c r="AI687" t="inlineStr">
        <is>
          <t>False</t>
        </is>
      </c>
      <c r="AJ687" s="2" t="str">
        <f>HYPERLINK("https://keepa.com/#!product/1-B0BYNVZTW1", "https://keepa.com/#!product/1-B0BYNVZTW1")</f>
      </c>
      <c r="AK687" s="2" t="str">
        <f>HYPERLINK("https://camelcamelcamel.com/search?sq=B0BYNVZTW1", "https://camelcamelcamel.com/search?sq=B0BYNVZTW1")</f>
      </c>
      <c r="AL687" t="inlineStr">
        <is>
          <t/>
        </is>
      </c>
      <c r="AM687" s="10">
        <v>45417.11111111111</v>
      </c>
      <c r="AN687" t="inlineStr">
        <is>
          <t>historyoo Solar Garden Light, 4Pack Outdoor Lights Solar Firefly Lights Solar Lights Outdoor Waterproof, Decor Lights for Garden Yard Patio Pathway, Solar Christmas Lights for Outside Warm Light</t>
        </is>
      </c>
      <c r="AO687" t="inlineStr">
        <is>
          <t>3500</t>
        </is>
      </c>
      <c r="AP687" t="inlineStr">
        <is>
          <t>TAKE ALL</t>
        </is>
      </c>
    </row>
    <row r="688">
      <c r="A688" t="inlineStr">
        <is>
          <t>B0BYQXR9QB</t>
        </is>
      </c>
      <c r="B688" t="inlineStr">
        <is>
          <t>False</t>
        </is>
      </c>
      <c r="C688" t="inlineStr">
        <is>
          <t>B0BYQXR9QB</t>
        </is>
      </c>
      <c r="D688" t="inlineStr">
        <is>
          <t>Rip Van Wafels</t>
        </is>
      </c>
      <c r="E688" t="inlineStr">
        <is>
          <t>False</t>
        </is>
      </c>
      <c r="F688" t="inlineStr">
        <is>
          <t>Rip Van Keto Wafer Cookies - Healthy Vegan Snack - Non GMO, Low Carb, Low Sugar (2g), Low Calorie - 16 Count (Pumpkin Spice)</t>
        </is>
      </c>
      <c r="G688">
        <v>1</v>
      </c>
      <c r="H688" s="2" t="str">
        <f>HYPERLINK("https://www.amazon.com/dp/B0BYQXR9QB", "https://www.amazon.com/dp/B0BYQXR9QB")</f>
      </c>
      <c r="I688" s="3">
        <v>9099</v>
      </c>
      <c r="J688" s="11">
        <v>3.83</v>
      </c>
      <c r="K688" s="5">
        <v>0.17420000000000002</v>
      </c>
      <c r="L688" s="15">
        <v>0.3737</v>
      </c>
      <c r="M688" t="inlineStr">
        <is>
          <t>True</t>
        </is>
      </c>
      <c r="N688" t="inlineStr">
        <is>
          <t>Grocery &amp; Gourmet Food</t>
        </is>
      </c>
      <c r="O688" s="6">
        <v>304</v>
      </c>
      <c r="P688" s="6">
        <v>256</v>
      </c>
      <c r="Q688" s="6">
        <v>84</v>
      </c>
      <c r="R688" s="6">
        <v>235</v>
      </c>
      <c r="S688" s="7">
        <v>10.25</v>
      </c>
      <c r="T688" s="7">
        <v>21.99</v>
      </c>
      <c r="U688">
        <v>19.45</v>
      </c>
      <c r="V688" s="8">
        <v>0</v>
      </c>
      <c r="W688" s="7">
        <v>0</v>
      </c>
      <c r="X688" s="7">
        <v>0</v>
      </c>
      <c r="Y688">
        <v>0.95</v>
      </c>
      <c r="Z688" s="8">
        <v>0</v>
      </c>
      <c r="AB688">
        <v>0</v>
      </c>
      <c r="AC688">
        <v>0</v>
      </c>
      <c r="AD688">
        <v>3</v>
      </c>
      <c r="AE688">
        <v>3</v>
      </c>
      <c r="AF688">
        <v>0</v>
      </c>
      <c r="AG688">
        <v>2</v>
      </c>
      <c r="AH688">
        <v>7</v>
      </c>
      <c r="AI688" t="inlineStr">
        <is>
          <t>False</t>
        </is>
      </c>
      <c r="AJ688" s="2" t="str">
        <f>HYPERLINK("https://keepa.com/#!product/1-B0BYQXR9QB", "https://keepa.com/#!product/1-B0BYQXR9QB")</f>
      </c>
      <c r="AK688" s="2" t="str">
        <f>HYPERLINK("https://camelcamelcamel.com/search?sq=B0BYQXR9QB", "https://camelcamelcamel.com/search?sq=B0BYQXR9QB")</f>
      </c>
      <c r="AL688" t="inlineStr">
        <is>
          <t/>
        </is>
      </c>
      <c r="AM688" s="10">
        <v>45417.11111111111</v>
      </c>
      <c r="AN688" t="inlineStr">
        <is>
          <t>Rip Van Keto Wafer Cookies - Healthy Vegan Snack - Non GMO, Low Carb, Low Sugar (2g), Low Calorie - 16 Count (Pumpkin Spice)</t>
        </is>
      </c>
      <c r="AO688" t="inlineStr">
        <is>
          <t>2000</t>
        </is>
      </c>
      <c r="AP688" t="inlineStr">
        <is>
          <t>TAKE ALL</t>
        </is>
      </c>
    </row>
    <row r="689">
      <c r="A689" t="inlineStr">
        <is>
          <t>B0BZ149HPJ</t>
        </is>
      </c>
      <c r="B689" t="inlineStr">
        <is>
          <t>False</t>
        </is>
      </c>
      <c r="C689" t="inlineStr">
        <is>
          <t>B0BZ149HPJ</t>
        </is>
      </c>
      <c r="D689" t="inlineStr">
        <is>
          <t>LG</t>
        </is>
      </c>
      <c r="E689" t="inlineStr">
        <is>
          <t>False</t>
        </is>
      </c>
      <c r="F689" t="inlineStr">
        <is>
          <t>LG SP7R 7.1 Channel High Res Audio Sound Bar with Rear Speaker Kit</t>
        </is>
      </c>
      <c r="G689">
        <v>1</v>
      </c>
      <c r="H689" s="2" t="str">
        <f>HYPERLINK("https://www.amazon.com/dp/B0BZ149HPJ", "https://www.amazon.com/dp/B0BZ149HPJ")</f>
      </c>
      <c r="I689" s="14">
        <v>5</v>
      </c>
      <c r="J689" s="4">
        <v>105.4</v>
      </c>
      <c r="K689" s="15">
        <v>0.3109</v>
      </c>
      <c r="L689" s="15">
        <v>0.6486</v>
      </c>
      <c r="M689" t="inlineStr">
        <is>
          <t>True</t>
        </is>
      </c>
      <c r="N689" t="inlineStr">
        <is>
          <t>Electronics</t>
        </is>
      </c>
      <c r="O689" s="6">
        <v>449855</v>
      </c>
      <c r="P689" s="6">
        <v>276893</v>
      </c>
      <c r="Q689" s="6">
        <v>52794</v>
      </c>
      <c r="R689" s="6">
        <v>21</v>
      </c>
      <c r="S689" s="7">
        <v>162.5</v>
      </c>
      <c r="T689" s="7">
        <v>339</v>
      </c>
      <c r="U689">
        <v>322.27</v>
      </c>
      <c r="V689" s="8">
        <v>0</v>
      </c>
      <c r="W689" s="7">
        <v>0</v>
      </c>
      <c r="X689" s="7">
        <v>0</v>
      </c>
      <c r="Y689">
        <v>37.28</v>
      </c>
      <c r="Z689" s="8">
        <v>0</v>
      </c>
      <c r="AB689">
        <v>0</v>
      </c>
      <c r="AC689">
        <v>0</v>
      </c>
      <c r="AD689">
        <v>3</v>
      </c>
      <c r="AE689">
        <v>0</v>
      </c>
      <c r="AF689">
        <v>2</v>
      </c>
      <c r="AG689">
        <v>0</v>
      </c>
      <c r="AH689">
        <v>0</v>
      </c>
      <c r="AI689" t="inlineStr">
        <is>
          <t>True</t>
        </is>
      </c>
      <c r="AJ689" s="2" t="str">
        <f>HYPERLINK("https://keepa.com/#!product/1-B0BZ149HPJ", "https://keepa.com/#!product/1-B0BZ149HPJ")</f>
      </c>
      <c r="AK689" s="2" t="str">
        <f>HYPERLINK("https://camelcamelcamel.com/search?sq=B0BZ149HPJ", "https://camelcamelcamel.com/search?sq=B0BZ149HPJ")</f>
      </c>
      <c r="AL689" t="inlineStr">
        <is>
          <t/>
        </is>
      </c>
      <c r="AM689" s="10">
        <v>45417.11111111111</v>
      </c>
      <c r="AN689" t="inlineStr">
        <is>
          <t>LG SP7R 7.1 Channel High Res Audio Sound Bar with Rear Speaker Kit</t>
        </is>
      </c>
      <c r="AO689" t="inlineStr">
        <is>
          <t>95</t>
        </is>
      </c>
      <c r="AP689" t="inlineStr">
        <is>
          <t>TAKE ALL</t>
        </is>
      </c>
    </row>
    <row r="690">
      <c r="A690" t="inlineStr">
        <is>
          <t>B0BZCRQXG3</t>
        </is>
      </c>
      <c r="B690" t="inlineStr">
        <is>
          <t>False</t>
        </is>
      </c>
      <c r="C690" t="inlineStr">
        <is>
          <t>B0BZCRQXG3</t>
        </is>
      </c>
      <c r="D690" t="inlineStr">
        <is>
          <t>CuteTiger</t>
        </is>
      </c>
      <c r="E690" t="inlineStr">
        <is>
          <t>False</t>
        </is>
      </c>
      <c r="F690" t="inlineStr">
        <is>
          <t>CuteTiger Mangetic Tiles, 100PCS Magnet Building Toys, Magnetic Building Set for Kids, Stacking Blocks, Perfect STEM Toys Gift for Boys and Girls</t>
        </is>
      </c>
      <c r="G690">
        <v>1</v>
      </c>
      <c r="H690" s="2" t="str">
        <f>HYPERLINK("https://www.amazon.com/dp/B0BZCRQXG3", "https://www.amazon.com/dp/B0BZCRQXG3")</f>
      </c>
      <c r="I690" s="3">
        <v>1518</v>
      </c>
      <c r="J690" s="4">
        <v>12.72</v>
      </c>
      <c r="K690" s="5">
        <v>0.2545</v>
      </c>
      <c r="L690" s="15">
        <v>0.5916</v>
      </c>
      <c r="M690" t="inlineStr">
        <is>
          <t>True</t>
        </is>
      </c>
      <c r="N690" t="inlineStr">
        <is>
          <t>Toys &amp; Games</t>
        </is>
      </c>
      <c r="O690" s="6">
        <v>5763</v>
      </c>
      <c r="P690" s="6">
        <v>4025</v>
      </c>
      <c r="Q690" s="6">
        <v>145</v>
      </c>
      <c r="R690" s="6">
        <v>223</v>
      </c>
      <c r="S690" s="7">
        <v>21.5</v>
      </c>
      <c r="T690" s="7">
        <v>49.99</v>
      </c>
      <c r="U690">
        <v>47.63</v>
      </c>
      <c r="V690" s="8">
        <v>0</v>
      </c>
      <c r="W690" s="7">
        <v>0</v>
      </c>
      <c r="X690" s="7">
        <v>0</v>
      </c>
      <c r="Y690">
        <v>6.72</v>
      </c>
      <c r="Z690" s="8">
        <v>0</v>
      </c>
      <c r="AB690">
        <v>0</v>
      </c>
      <c r="AC690">
        <v>0</v>
      </c>
      <c r="AD690">
        <v>1</v>
      </c>
      <c r="AE690">
        <v>1</v>
      </c>
      <c r="AF690">
        <v>0</v>
      </c>
      <c r="AG690">
        <v>1</v>
      </c>
      <c r="AH690">
        <v>2</v>
      </c>
      <c r="AI690" t="inlineStr">
        <is>
          <t>False</t>
        </is>
      </c>
      <c r="AJ690" s="2" t="str">
        <f>HYPERLINK("https://keepa.com/#!product/1-B0BZCRQXG3", "https://keepa.com/#!product/1-B0BZCRQXG3")</f>
      </c>
      <c r="AK690" s="2" t="str">
        <f>HYPERLINK("https://camelcamelcamel.com/search?sq=B0BZCRQXG3", "https://camelcamelcamel.com/search?sq=B0BZCRQXG3")</f>
      </c>
      <c r="AL690" t="inlineStr">
        <is>
          <t/>
        </is>
      </c>
      <c r="AM690" s="10">
        <v>45417.11111111111</v>
      </c>
      <c r="AN690" t="inlineStr">
        <is>
          <t>CuteTiger Mangetic Tiles, 100PCS Magnet Building Toys, Magnetic Building Set for Kids, Stacking Blocks, Perfect STEM Toys Gift for Boys and Girls</t>
        </is>
      </c>
      <c r="AO690" t="inlineStr">
        <is>
          <t>500</t>
        </is>
      </c>
      <c r="AP690" t="inlineStr">
        <is>
          <t>250</t>
        </is>
      </c>
    </row>
    <row r="691">
      <c r="A691" t="inlineStr">
        <is>
          <t>B0BZYHN9KJ</t>
        </is>
      </c>
      <c r="B691" t="inlineStr">
        <is>
          <t>False</t>
        </is>
      </c>
      <c r="C691" t="inlineStr">
        <is>
          <t>B0BZYHN9KJ</t>
        </is>
      </c>
      <c r="D691" t="inlineStr">
        <is>
          <t>litokam</t>
        </is>
      </c>
      <c r="E691" t="inlineStr">
        <is>
          <t>False</t>
        </is>
      </c>
      <c r="F691" t="inlineStr">
        <is>
          <t>litokam Indoor Security Cameras 4 Pack, 2K Pet Camera with Night Vision, 360° Cameras for Home Security with Motion Detection, 2-Way Audio, WiFi Home Camera Compatible with Alexa</t>
        </is>
      </c>
      <c r="G691">
        <v>1</v>
      </c>
      <c r="H691" s="2" t="str">
        <f>HYPERLINK("https://www.amazon.com/dp/B0BZYHN9KJ", "https://www.amazon.com/dp/B0BZYHN9KJ")</f>
      </c>
      <c r="I691" s="14">
        <v>5</v>
      </c>
      <c r="J691" s="4">
        <v>46.92</v>
      </c>
      <c r="K691" s="15">
        <v>0.4692</v>
      </c>
      <c r="L691" s="15">
        <v>1.2347</v>
      </c>
      <c r="M691" t="inlineStr">
        <is>
          <t>False</t>
        </is>
      </c>
      <c r="N691" t="inlineStr">
        <is>
          <t>Dome Surveillance Cameras</t>
        </is>
      </c>
      <c r="O691" s="6">
        <v>13</v>
      </c>
      <c r="P691" s="6">
        <v>0</v>
      </c>
      <c r="Q691" s="6">
        <v>0</v>
      </c>
      <c r="R691" s="6">
        <v>0</v>
      </c>
      <c r="S691" s="7">
        <v>38</v>
      </c>
      <c r="T691" s="7">
        <v>99.99</v>
      </c>
      <c r="U691">
        <v>92.3</v>
      </c>
      <c r="V691" s="8">
        <v>0</v>
      </c>
      <c r="W691" s="7">
        <v>0</v>
      </c>
      <c r="X691" s="7">
        <v>0</v>
      </c>
      <c r="Y691">
        <v>3.37</v>
      </c>
      <c r="Z691" s="8">
        <v>0</v>
      </c>
      <c r="AB691">
        <v>0</v>
      </c>
      <c r="AC691">
        <v>0</v>
      </c>
      <c r="AD691">
        <v>1</v>
      </c>
      <c r="AE691">
        <v>1</v>
      </c>
      <c r="AF691">
        <v>0</v>
      </c>
      <c r="AG691">
        <v>1</v>
      </c>
      <c r="AH691">
        <v>4</v>
      </c>
      <c r="AI691" t="inlineStr">
        <is>
          <t>False</t>
        </is>
      </c>
      <c r="AJ691" s="2" t="str">
        <f>HYPERLINK("https://keepa.com/#!product/1-B0BZYHN9KJ", "https://keepa.com/#!product/1-B0BZYHN9KJ")</f>
      </c>
      <c r="AK691" s="2" t="str">
        <f>HYPERLINK("https://camelcamelcamel.com/search?sq=B0BZYHN9KJ", "https://camelcamelcamel.com/search?sq=B0BZYHN9KJ")</f>
      </c>
      <c r="AL691" t="inlineStr">
        <is>
          <t/>
        </is>
      </c>
      <c r="AM691" s="10">
        <v>45417.11111111111</v>
      </c>
      <c r="AN691" t="inlineStr">
        <is>
          <t>litokam Indoor Security Cameras 4 Pack, 2K Pet Camera with Night Version, 360Â° Smart Cameras with Motion Detection, 2-Way Audio, WiFi Home Camera Compatible with Alexa</t>
        </is>
      </c>
      <c r="AO691" t="inlineStr">
        <is>
          <t>1000</t>
        </is>
      </c>
      <c r="AP691" t="inlineStr">
        <is>
          <t>TAKE ALL</t>
        </is>
      </c>
    </row>
    <row r="692">
      <c r="A692" t="inlineStr">
        <is>
          <t>B0C144HDNN</t>
        </is>
      </c>
      <c r="B692" t="inlineStr">
        <is>
          <t>False</t>
        </is>
      </c>
      <c r="C692" t="inlineStr">
        <is>
          <t>B0C144HDNN</t>
        </is>
      </c>
      <c r="D692" t="inlineStr">
        <is>
          <t>Verkstar</t>
        </is>
      </c>
      <c r="E692" t="inlineStr">
        <is>
          <t>False</t>
        </is>
      </c>
      <c r="F692" t="inlineStr">
        <is>
          <t>Verkstar Karaoke Machine, Portable Bluetooth Karaoke Speaker for Adults Kids, Unique Singing Machine with Two Wireless Microphones Storage Hole, Ideal Gifts for Girls Boys</t>
        </is>
      </c>
      <c r="G692">
        <v>1</v>
      </c>
      <c r="H692" s="2" t="str">
        <f>HYPERLINK("https://www.amazon.com/dp/B0C144HDNN", "https://www.amazon.com/dp/B0C144HDNN")</f>
      </c>
      <c r="I692" s="3">
        <v>2207</v>
      </c>
      <c r="J692" s="12">
        <v>-2.53</v>
      </c>
      <c r="K692" s="13">
        <v>-0.0664</v>
      </c>
      <c r="L692" s="13">
        <v>-0.0904</v>
      </c>
      <c r="M692" t="inlineStr">
        <is>
          <t>True</t>
        </is>
      </c>
      <c r="N692" t="inlineStr">
        <is>
          <t>Musical Instruments</t>
        </is>
      </c>
      <c r="O692" s="6">
        <v>147</v>
      </c>
      <c r="P692" s="6">
        <v>494</v>
      </c>
      <c r="Q692" s="6">
        <v>147</v>
      </c>
      <c r="R692" s="6">
        <v>265</v>
      </c>
      <c r="S692" s="7">
        <v>28</v>
      </c>
      <c r="T692" s="7">
        <v>38.1</v>
      </c>
      <c r="U692">
        <v>45.8</v>
      </c>
      <c r="V692" s="8">
        <v>0</v>
      </c>
      <c r="W692" s="7">
        <v>0</v>
      </c>
      <c r="X692" s="7">
        <v>0</v>
      </c>
      <c r="Y692">
        <v>2.89</v>
      </c>
      <c r="Z692" s="8">
        <v>0</v>
      </c>
      <c r="AB692">
        <v>0</v>
      </c>
      <c r="AC692">
        <v>0</v>
      </c>
      <c r="AD692">
        <v>1</v>
      </c>
      <c r="AE692">
        <v>1</v>
      </c>
      <c r="AF692">
        <v>0</v>
      </c>
      <c r="AG692">
        <v>1</v>
      </c>
      <c r="AH692">
        <v>2</v>
      </c>
      <c r="AI692" t="inlineStr">
        <is>
          <t>True</t>
        </is>
      </c>
      <c r="AJ692" s="2" t="str">
        <f>HYPERLINK("https://keepa.com/#!product/1-B0C144HDNN", "https://keepa.com/#!product/1-B0C144HDNN")</f>
      </c>
      <c r="AK692" s="2" t="str">
        <f>HYPERLINK("https://camelcamelcamel.com/search?sq=B0C144HDNN", "https://camelcamelcamel.com/search?sq=B0C144HDNN")</f>
      </c>
      <c r="AL692" t="inlineStr">
        <is>
          <t/>
        </is>
      </c>
      <c r="AM692" s="10">
        <v>45417.11111111111</v>
      </c>
      <c r="AN692" t="inlineStr">
        <is>
          <t>Verkstar Karaoke Machine, Portable Bluetooth Karaoke Speaker for Adults Kids, Singing Machine with 2 Wireless Mics and Dynamic Lights, Ideal for Girls Boys</t>
        </is>
      </c>
      <c r="AO692" t="inlineStr">
        <is>
          <t>250</t>
        </is>
      </c>
      <c r="AP692" t="inlineStr">
        <is>
          <t>TAKE ALL</t>
        </is>
      </c>
    </row>
    <row r="693">
      <c r="A693" t="inlineStr">
        <is>
          <t>B0C158YCVK</t>
        </is>
      </c>
      <c r="B693" t="inlineStr">
        <is>
          <t>False</t>
        </is>
      </c>
      <c r="C693" t="inlineStr">
        <is>
          <t>B0C158YCVK</t>
        </is>
      </c>
      <c r="D693" t="inlineStr">
        <is>
          <t>Lemme</t>
        </is>
      </c>
      <c r="E693" t="inlineStr">
        <is>
          <t>False</t>
        </is>
      </c>
      <c r="F693" t="inlineStr">
        <is>
          <t>Lemme Burn - Metabolism, Belly Fat Burning + AMPK Activating Supplement for Men &amp; Women w/Clinically Studied Actiponin Gynostemma, Green Tea Extract, Vitamins B6 &amp; B12 - Vegan, Gluten Free, 60 Count</t>
        </is>
      </c>
      <c r="G693">
        <v>1</v>
      </c>
      <c r="H693" s="2" t="str">
        <f>HYPERLINK("https://www.amazon.com/dp/B0C158YCVK", "https://www.amazon.com/dp/B0C158YCVK")</f>
      </c>
      <c r="I693" s="3">
        <v>16385</v>
      </c>
      <c r="J693" s="4">
        <v>8.55</v>
      </c>
      <c r="K693" s="5">
        <v>0.2138</v>
      </c>
      <c r="L693" s="15">
        <v>0.3931</v>
      </c>
      <c r="M693" t="inlineStr">
        <is>
          <t>True</t>
        </is>
      </c>
      <c r="N693" t="inlineStr">
        <is>
          <t>Health &amp; Household</t>
        </is>
      </c>
      <c r="O693" s="6">
        <v>1230</v>
      </c>
      <c r="P693" s="6">
        <v>1184</v>
      </c>
      <c r="Q693" s="6">
        <v>393</v>
      </c>
      <c r="R693" s="6">
        <v>282</v>
      </c>
      <c r="S693" s="7">
        <v>21.75</v>
      </c>
      <c r="T693" s="7">
        <v>39.99</v>
      </c>
      <c r="U693">
        <v>39.9</v>
      </c>
      <c r="V693" s="8">
        <v>0</v>
      </c>
      <c r="W693" s="7">
        <v>0</v>
      </c>
      <c r="X693" s="7">
        <v>0</v>
      </c>
      <c r="Y693">
        <v>0.13</v>
      </c>
      <c r="Z693" s="8">
        <v>0</v>
      </c>
      <c r="AB693">
        <v>0</v>
      </c>
      <c r="AC693">
        <v>0</v>
      </c>
      <c r="AD693">
        <v>1</v>
      </c>
      <c r="AE693">
        <v>1</v>
      </c>
      <c r="AF693">
        <v>0</v>
      </c>
      <c r="AG693">
        <v>1</v>
      </c>
      <c r="AH693">
        <v>2</v>
      </c>
      <c r="AI693" t="inlineStr">
        <is>
          <t>False</t>
        </is>
      </c>
      <c r="AJ693" s="2" t="str">
        <f>HYPERLINK("https://keepa.com/#!product/1-B0C158YCVK", "https://keepa.com/#!product/1-B0C158YCVK")</f>
      </c>
      <c r="AK693" s="2" t="str">
        <f>HYPERLINK("https://camelcamelcamel.com/search?sq=B0C158YCVK", "https://camelcamelcamel.com/search?sq=B0C158YCVK")</f>
      </c>
      <c r="AL693" t="inlineStr">
        <is>
          <t/>
        </is>
      </c>
      <c r="AM693" s="10">
        <v>45417.11111111111</v>
      </c>
      <c r="AN693" t="inlineStr">
        <is>
          <t>Lemme Burn - Metabolism, Belly Fat Burning + AMPK Activating Supplement for Men &amp; Women w/Clinically Studied Actiponin Gynostemma, Green Tea Extract, Vitamins B6 &amp; B12 - Vegan, Gluten Free, 60 Count</t>
        </is>
      </c>
      <c r="AO693" t="inlineStr">
        <is>
          <t>2000</t>
        </is>
      </c>
      <c r="AP693" t="inlineStr">
        <is>
          <t>500</t>
        </is>
      </c>
    </row>
    <row r="694">
      <c r="A694" t="inlineStr">
        <is>
          <t>B0C1GQ54QD</t>
        </is>
      </c>
      <c r="B694" t="inlineStr">
        <is>
          <t>False</t>
        </is>
      </c>
      <c r="C694" t="inlineStr">
        <is>
          <t>B0C1GQ54QD</t>
        </is>
      </c>
      <c r="D694" t="inlineStr">
        <is>
          <t>Cozyplayer</t>
        </is>
      </c>
      <c r="E694" t="inlineStr">
        <is>
          <t>False</t>
        </is>
      </c>
      <c r="F694" t="inlineStr">
        <is>
          <t>Ultra Pain Relief Cooling Pillow for Neck Support, Adjustable Cervical Pillow Cozy Sleeping, Odorless Ergonomic Contour Memory Foam Pillows, Orthopedic Bed Pillow for Side Back Stomach Sleeper</t>
        </is>
      </c>
      <c r="G694">
        <v>1</v>
      </c>
      <c r="H694" s="2" t="str">
        <f>HYPERLINK("https://www.amazon.com/dp/B0C1GQ54QD", "https://www.amazon.com/dp/B0C1GQ54QD")</f>
      </c>
      <c r="I694" s="3">
        <v>26593</v>
      </c>
      <c r="J694" s="4">
        <v>10.76</v>
      </c>
      <c r="K694" s="5">
        <v>0.2691</v>
      </c>
      <c r="L694" s="15">
        <v>0.5896</v>
      </c>
      <c r="M694" t="inlineStr">
        <is>
          <t>True</t>
        </is>
      </c>
      <c r="N694" t="inlineStr">
        <is>
          <t>Health &amp; Household</t>
        </is>
      </c>
      <c r="O694" s="6">
        <v>572</v>
      </c>
      <c r="P694" s="6">
        <v>650</v>
      </c>
      <c r="Q694" s="6">
        <v>139</v>
      </c>
      <c r="R694" s="6">
        <v>290</v>
      </c>
      <c r="S694" s="7">
        <v>18.25</v>
      </c>
      <c r="T694" s="7">
        <v>39.98</v>
      </c>
      <c r="U694">
        <v>39.6</v>
      </c>
      <c r="V694" s="8">
        <v>0</v>
      </c>
      <c r="W694" s="7">
        <v>0</v>
      </c>
      <c r="X694" s="7">
        <v>0</v>
      </c>
      <c r="Y694">
        <v>3.22</v>
      </c>
      <c r="Z694" s="8">
        <v>0</v>
      </c>
      <c r="AB694">
        <v>0</v>
      </c>
      <c r="AC694">
        <v>0</v>
      </c>
      <c r="AD694">
        <v>14</v>
      </c>
      <c r="AE694">
        <v>8</v>
      </c>
      <c r="AF694">
        <v>0</v>
      </c>
      <c r="AG694">
        <v>2</v>
      </c>
      <c r="AH694">
        <v>3</v>
      </c>
      <c r="AI694" t="inlineStr">
        <is>
          <t>False</t>
        </is>
      </c>
      <c r="AJ694" s="2" t="str">
        <f>HYPERLINK("https://keepa.com/#!product/1-B0C1GQ54QD", "https://keepa.com/#!product/1-B0C1GQ54QD")</f>
      </c>
      <c r="AK694" s="2" t="str">
        <f>HYPERLINK("https://camelcamelcamel.com/search?sq=B0C1GQ54QD", "https://camelcamelcamel.com/search?sq=B0C1GQ54QD")</f>
      </c>
      <c r="AL694" t="inlineStr">
        <is>
          <t/>
        </is>
      </c>
      <c r="AM694" s="10">
        <v>45417.11111111111</v>
      </c>
      <c r="AN694" t="inlineStr">
        <is>
          <t>Ultra Pain Relief Cooling Pillow for Neck Support, Adjustable Cervical Pillow Cozy Sleeping, Odorless Ergonomic Contour Memory Foam Pillows, Orthopedic Bed Pillow for Side Back Stomach Sleeper</t>
        </is>
      </c>
      <c r="AO694" t="inlineStr">
        <is>
          <t>882</t>
        </is>
      </c>
      <c r="AP694" t="inlineStr">
        <is>
          <t>TAKE ALL</t>
        </is>
      </c>
    </row>
    <row r="695">
      <c r="A695" t="inlineStr">
        <is>
          <t>B0C1HLK3SY</t>
        </is>
      </c>
      <c r="B695" t="inlineStr">
        <is>
          <t>False</t>
        </is>
      </c>
      <c r="C695" t="inlineStr">
        <is>
          <t>B0C1HLK3SY</t>
        </is>
      </c>
      <c r="D695" t="inlineStr">
        <is>
          <t>Crest</t>
        </is>
      </c>
      <c r="E695" t="inlineStr">
        <is>
          <t>False</t>
        </is>
      </c>
      <c r="F695" t="inlineStr">
        <is>
          <t>Crest 3D White Charcoal Teeth Whitening Toothpaste, Enamel Safe - 2.7 oz (76g) - Pack of 2</t>
        </is>
      </c>
      <c r="G695">
        <v>2</v>
      </c>
      <c r="H695" s="2" t="str">
        <f>HYPERLINK("https://www.amazon.com/dp/B0C1HLK3SY", "https://www.amazon.com/dp/B0C1HLK3SY")</f>
      </c>
      <c r="I695" s="3">
        <v>386</v>
      </c>
      <c r="J695" s="12">
        <v>-7.34</v>
      </c>
      <c r="K695" s="13">
        <v>-0.4959</v>
      </c>
      <c r="L695" s="13">
        <v>-0.45880000000000004</v>
      </c>
      <c r="M695" t="inlineStr">
        <is>
          <t>True</t>
        </is>
      </c>
      <c r="N695" t="inlineStr">
        <is>
          <t>Health &amp; Household</t>
        </is>
      </c>
      <c r="O695" s="6">
        <v>44347</v>
      </c>
      <c r="P695" s="6">
        <v>44045</v>
      </c>
      <c r="Q695" s="6">
        <v>21848</v>
      </c>
      <c r="R695" s="6">
        <v>168</v>
      </c>
      <c r="S695" s="7">
        <v>8</v>
      </c>
      <c r="T695" s="7">
        <v>14.8</v>
      </c>
      <c r="U695">
        <v>18.25</v>
      </c>
      <c r="V695" s="8">
        <v>0</v>
      </c>
      <c r="W695" s="7">
        <v>0</v>
      </c>
      <c r="X695" s="7">
        <v>0</v>
      </c>
      <c r="Y695">
        <v>0.4</v>
      </c>
      <c r="Z695" s="8">
        <v>0</v>
      </c>
      <c r="AB695">
        <v>0</v>
      </c>
      <c r="AC695">
        <v>0</v>
      </c>
      <c r="AD695">
        <v>70</v>
      </c>
      <c r="AE695">
        <v>42</v>
      </c>
      <c r="AF695">
        <v>28</v>
      </c>
      <c r="AG695">
        <v>8</v>
      </c>
      <c r="AH695">
        <v>0</v>
      </c>
      <c r="AI695" t="inlineStr">
        <is>
          <t>False</t>
        </is>
      </c>
      <c r="AJ695" s="2" t="str">
        <f>HYPERLINK("https://keepa.com/#!product/1-B0C1HLK3SY", "https://keepa.com/#!product/1-B0C1HLK3SY")</f>
      </c>
      <c r="AK695" s="2" t="str">
        <f>HYPERLINK("https://camelcamelcamel.com/search?sq=B0C1HLK3SY", "https://camelcamelcamel.com/search?sq=B0C1HLK3SY")</f>
      </c>
      <c r="AL695" t="inlineStr">
        <is>
          <t/>
        </is>
      </c>
      <c r="AM695" s="10">
        <v>45417.11111111111</v>
      </c>
      <c r="AN695" t="inlineStr">
        <is>
          <t>Crest 3D White Charcoal Teeth Whitening Toothpaste, Enamel Safe - 2.7 oz (76g) - Pack of 2</t>
        </is>
      </c>
      <c r="AO695" t="inlineStr">
        <is>
          <t>504</t>
        </is>
      </c>
      <c r="AP695" t="inlineStr">
        <is>
          <t>TAKE ALL</t>
        </is>
      </c>
    </row>
    <row r="696">
      <c r="A696" t="inlineStr">
        <is>
          <t>B0C1KPGNPD</t>
        </is>
      </c>
      <c r="B696" t="inlineStr">
        <is>
          <t>False</t>
        </is>
      </c>
      <c r="C696" t="inlineStr">
        <is>
          <t>B0C1KPGNPD</t>
        </is>
      </c>
      <c r="D696" t="inlineStr">
        <is>
          <t>VOLTAREN</t>
        </is>
      </c>
      <c r="E696" t="inlineStr">
        <is>
          <t>False</t>
        </is>
      </c>
      <c r="F696" t="inlineStr">
        <is>
          <t>Voltaren Joint Health and Bone Strength Dietary Supplement from Voltaren, with UC-II (R) Collagen, Calcium, and Vitamin D for Healthy Aging of Joint Tissue and Cartilage – 30 Count Bottle</t>
        </is>
      </c>
      <c r="G696">
        <v>1</v>
      </c>
      <c r="H696" s="2" t="str">
        <f>HYPERLINK("https://www.amazon.com/dp/B0C1KPGNPD", "https://www.amazon.com/dp/B0C1KPGNPD")</f>
      </c>
      <c r="I696" s="3">
        <v>690</v>
      </c>
      <c r="J696" s="11">
        <v>2.77</v>
      </c>
      <c r="K696" s="5">
        <v>0.1634</v>
      </c>
      <c r="L696" s="15">
        <v>0.34840000000000004</v>
      </c>
      <c r="M696" t="inlineStr">
        <is>
          <t>True</t>
        </is>
      </c>
      <c r="N696" t="inlineStr">
        <is>
          <t>Health &amp; Household</t>
        </is>
      </c>
      <c r="O696" s="6">
        <v>29558</v>
      </c>
      <c r="P696" s="6">
        <v>26769</v>
      </c>
      <c r="Q696" s="6">
        <v>15071</v>
      </c>
      <c r="R696" s="6">
        <v>171</v>
      </c>
      <c r="S696" s="7">
        <v>7.95</v>
      </c>
      <c r="T696" s="7">
        <v>16.95</v>
      </c>
      <c r="U696">
        <v>18.07</v>
      </c>
      <c r="V696" s="8">
        <v>0</v>
      </c>
      <c r="W696" s="7">
        <v>0</v>
      </c>
      <c r="X696" s="7">
        <v>0</v>
      </c>
      <c r="Y696">
        <v>0.18</v>
      </c>
      <c r="Z696" s="9">
        <v>1</v>
      </c>
      <c r="AB696">
        <v>0</v>
      </c>
      <c r="AC696">
        <v>0</v>
      </c>
      <c r="AD696">
        <v>5</v>
      </c>
      <c r="AE696">
        <v>4</v>
      </c>
      <c r="AF696">
        <v>1</v>
      </c>
      <c r="AG696">
        <v>3</v>
      </c>
      <c r="AH696">
        <v>0</v>
      </c>
      <c r="AI696" t="inlineStr">
        <is>
          <t>False</t>
        </is>
      </c>
      <c r="AJ696" s="2" t="str">
        <f>HYPERLINK("https://keepa.com/#!product/1-B0C1KPGNPD", "https://keepa.com/#!product/1-B0C1KPGNPD")</f>
      </c>
      <c r="AK696" s="2" t="str">
        <f>HYPERLINK("https://camelcamelcamel.com/search?sq=B0C1KPGNPD", "https://camelcamelcamel.com/search?sq=B0C1KPGNPD")</f>
      </c>
      <c r="AL696" t="inlineStr">
        <is>
          <t/>
        </is>
      </c>
      <c r="AM696" s="10">
        <v>45417.11111111111</v>
      </c>
      <c r="AN696" t="inlineStr">
        <is>
          <t>Voltaren Joint Health and Bone Strength Dietary Supplement from Voltaren, with UC-II (R) Collagen, Calcium, and Vitamin D for Healthy Aging of Joint Tissue and Cartilage â€“ 30 Count Bottle</t>
        </is>
      </c>
      <c r="AO696" t="inlineStr">
        <is>
          <t>3600</t>
        </is>
      </c>
      <c r="AP696" t="inlineStr">
        <is>
          <t>360</t>
        </is>
      </c>
    </row>
    <row r="697">
      <c r="A697" t="inlineStr">
        <is>
          <t>B0C23PZ69W</t>
        </is>
      </c>
      <c r="B697" t="inlineStr">
        <is>
          <t>False</t>
        </is>
      </c>
      <c r="C697" t="inlineStr">
        <is>
          <t>B0C23PZ69W</t>
        </is>
      </c>
      <c r="D697" t="inlineStr">
        <is>
          <t>FABULETTA</t>
        </is>
      </c>
      <c r="E697" t="inlineStr">
        <is>
          <t>False</t>
        </is>
      </c>
      <c r="F697" t="inlineStr">
        <is>
          <t>FABULETTA Cordless Vacuum Cleaner for Home, Up to 45 Min Runtime 6 in 1 Stick Vacuum Cleaner with Detachable Battery, Super Lightweight, Great for Pet Hair &amp; Carpet &amp; Hard Floor, White</t>
        </is>
      </c>
      <c r="G697">
        <v>1</v>
      </c>
      <c r="H697" s="2" t="str">
        <f>HYPERLINK("https://www.amazon.com/dp/B0C23PZ69W", "https://www.amazon.com/dp/B0C23PZ69W")</f>
      </c>
      <c r="I697" s="3">
        <v>607</v>
      </c>
      <c r="J697" s="4">
        <v>40.33</v>
      </c>
      <c r="K697" s="15">
        <v>0.3103</v>
      </c>
      <c r="L697" s="15">
        <v>0.6722</v>
      </c>
      <c r="M697" t="inlineStr">
        <is>
          <t>True</t>
        </is>
      </c>
      <c r="N697" t="inlineStr">
        <is>
          <t>Home &amp; Kitchen</t>
        </is>
      </c>
      <c r="O697" s="6">
        <v>44677</v>
      </c>
      <c r="P697" s="6">
        <v>62459</v>
      </c>
      <c r="Q697" s="6">
        <v>17203</v>
      </c>
      <c r="R697" s="6">
        <v>130</v>
      </c>
      <c r="S697" s="7">
        <v>60</v>
      </c>
      <c r="T697" s="7">
        <v>129.99</v>
      </c>
      <c r="U697">
        <v>109.82</v>
      </c>
      <c r="V697" s="8">
        <v>0</v>
      </c>
      <c r="W697" s="7">
        <v>0</v>
      </c>
      <c r="X697" s="7">
        <v>0</v>
      </c>
      <c r="Y697">
        <v>7.21</v>
      </c>
      <c r="Z697" s="8">
        <v>0</v>
      </c>
      <c r="AB697">
        <v>0</v>
      </c>
      <c r="AC697">
        <v>0</v>
      </c>
      <c r="AD697">
        <v>1</v>
      </c>
      <c r="AE697">
        <v>1</v>
      </c>
      <c r="AF697">
        <v>0</v>
      </c>
      <c r="AG697">
        <v>1</v>
      </c>
      <c r="AH697">
        <v>4</v>
      </c>
      <c r="AI697" t="inlineStr">
        <is>
          <t>True</t>
        </is>
      </c>
      <c r="AJ697" s="2" t="str">
        <f>HYPERLINK("https://keepa.com/#!product/1-B0C23PZ69W", "https://keepa.com/#!product/1-B0C23PZ69W")</f>
      </c>
      <c r="AK697" s="2" t="str">
        <f>HYPERLINK("https://camelcamelcamel.com/search?sq=B0C23PZ69W", "https://camelcamelcamel.com/search?sq=B0C23PZ69W")</f>
      </c>
      <c r="AL697" t="inlineStr">
        <is>
          <t/>
        </is>
      </c>
      <c r="AM697" s="10">
        <v>45417.11111111111</v>
      </c>
      <c r="AN697" t="inlineStr">
        <is>
          <t>FABULETTA Cordless Vacuum Cleaners for Home, 6 in 1 Cordless Stick Vacuum Cleaner with 250W/24Kpa Powerful Suction, Up to 45 Min Runtime, Great for Pet Hair &amp; Hard Floor, Ultra-Lightweight, White&amp;Blue</t>
        </is>
      </c>
      <c r="AO697" t="inlineStr">
        <is>
          <t>90</t>
        </is>
      </c>
      <c r="AP697" t="inlineStr">
        <is>
          <t>45</t>
        </is>
      </c>
    </row>
    <row r="698">
      <c r="A698" t="inlineStr">
        <is>
          <t>B0C2JBDYKZ</t>
        </is>
      </c>
      <c r="B698" t="inlineStr">
        <is>
          <t>False</t>
        </is>
      </c>
      <c r="C698" t="inlineStr">
        <is>
          <t>B0C2JBDYKZ</t>
        </is>
      </c>
      <c r="D698" t="inlineStr">
        <is>
          <t>Dyson</t>
        </is>
      </c>
      <c r="E698" t="inlineStr">
        <is>
          <t>False</t>
        </is>
      </c>
      <c r="F698" t="inlineStr">
        <is>
          <t>Dyson Gen5outsize Cordless Vacuum Cleaner, Nickel/Blue, Extra Large</t>
        </is>
      </c>
      <c r="G698">
        <v>1</v>
      </c>
      <c r="H698" s="2" t="str">
        <f>HYPERLINK("https://www.amazon.com/dp/B0C2JBDYKZ", "https://www.amazon.com/dp/B0C2JBDYKZ")</f>
      </c>
      <c r="I698" s="3">
        <v>2008</v>
      </c>
      <c r="J698" s="12">
        <v>-12.44</v>
      </c>
      <c r="K698" s="13">
        <v>-0.015</v>
      </c>
      <c r="L698" s="13">
        <v>-0.0179</v>
      </c>
      <c r="M698" t="inlineStr">
        <is>
          <t>True</t>
        </is>
      </c>
      <c r="N698" t="inlineStr">
        <is>
          <t>Home &amp; Kitchen</t>
        </is>
      </c>
      <c r="O698" s="6">
        <v>11528</v>
      </c>
      <c r="P698" s="6">
        <v>11636</v>
      </c>
      <c r="Q698" s="6">
        <v>5465</v>
      </c>
      <c r="R698" s="6">
        <v>180</v>
      </c>
      <c r="S698" s="7">
        <v>695</v>
      </c>
      <c r="T698" s="7">
        <v>828</v>
      </c>
      <c r="U698">
        <v>857.83</v>
      </c>
      <c r="V698" s="8">
        <v>0</v>
      </c>
      <c r="W698" s="7">
        <v>0</v>
      </c>
      <c r="X698" s="7">
        <v>0</v>
      </c>
      <c r="Y698">
        <v>21.25</v>
      </c>
      <c r="Z698" s="9">
        <v>0.98</v>
      </c>
      <c r="AB698">
        <v>0</v>
      </c>
      <c r="AC698">
        <v>0</v>
      </c>
      <c r="AD698">
        <v>25</v>
      </c>
      <c r="AE698">
        <v>6</v>
      </c>
      <c r="AF698">
        <v>5</v>
      </c>
      <c r="AG698">
        <v>2</v>
      </c>
      <c r="AH698">
        <v>2</v>
      </c>
      <c r="AI698" t="inlineStr">
        <is>
          <t>True</t>
        </is>
      </c>
      <c r="AJ698" s="2" t="str">
        <f>HYPERLINK("https://keepa.com/#!product/1-B0C2JBDYKZ", "https://keepa.com/#!product/1-B0C2JBDYKZ")</f>
      </c>
      <c r="AK698" s="2" t="str">
        <f>HYPERLINK("https://camelcamelcamel.com/search?sq=B0C2JBDYKZ", "https://camelcamelcamel.com/search?sq=B0C2JBDYKZ")</f>
      </c>
      <c r="AL698" t="inlineStr">
        <is>
          <t/>
        </is>
      </c>
      <c r="AM698" s="10">
        <v>45417.11111111111</v>
      </c>
      <c r="AN698" t="inlineStr">
        <is>
          <t>Dyson Gen5outsize Cordless Vacuum Cleaner, Nickel/Blue, Extra Large</t>
        </is>
      </c>
      <c r="AO698" t="inlineStr">
        <is>
          <t>1008</t>
        </is>
      </c>
      <c r="AP698" t="inlineStr">
        <is>
          <t>200</t>
        </is>
      </c>
    </row>
    <row r="699">
      <c r="A699" t="inlineStr">
        <is>
          <t>B0C2JLSD6K</t>
        </is>
      </c>
      <c r="B699" t="inlineStr">
        <is>
          <t>False</t>
        </is>
      </c>
      <c r="C699" t="inlineStr">
        <is>
          <t>B0C2JLSD6K</t>
        </is>
      </c>
      <c r="D699" t="inlineStr">
        <is>
          <t>PRIME HYDRATION</t>
        </is>
      </c>
      <c r="E699" t="inlineStr">
        <is>
          <t>False</t>
        </is>
      </c>
      <c r="F699" t="inlineStr">
        <is>
          <t>PRIME Hydration STRAWBERRY WATERMELON | Sports Drinks | Electrolyte Enhanced for Ultimate Hydration | 250mg BCAAs | B Vitamins | Antioxidants | 2g Of Sugar | 16.9 Fluid Ounce | 12 Pack</t>
        </is>
      </c>
      <c r="G699">
        <v>1</v>
      </c>
      <c r="H699" s="2" t="str">
        <f>HYPERLINK("https://www.amazon.com/dp/B0C2JLSD6K", "https://www.amazon.com/dp/B0C2JLSD6K")</f>
      </c>
      <c r="I699" s="3">
        <v>11661</v>
      </c>
      <c r="J699" s="11">
        <v>0.48</v>
      </c>
      <c r="K699" s="5">
        <v>0.0209</v>
      </c>
      <c r="L699" s="5">
        <v>0.06</v>
      </c>
      <c r="M699" t="inlineStr">
        <is>
          <t>True</t>
        </is>
      </c>
      <c r="N699" t="inlineStr">
        <is>
          <t>Health &amp; Household</t>
        </is>
      </c>
      <c r="O699" s="6">
        <v>1966</v>
      </c>
      <c r="P699" s="6">
        <v>5162</v>
      </c>
      <c r="Q699" s="6">
        <v>778</v>
      </c>
      <c r="R699" s="6">
        <v>237</v>
      </c>
      <c r="S699" s="7">
        <v>8</v>
      </c>
      <c r="T699" s="7">
        <v>22.99</v>
      </c>
      <c r="U699">
        <v>23.28</v>
      </c>
      <c r="V699" s="8">
        <v>0</v>
      </c>
      <c r="W699" s="7">
        <v>0</v>
      </c>
      <c r="X699" s="7">
        <v>0</v>
      </c>
      <c r="Y699">
        <v>14.51</v>
      </c>
      <c r="Z699" s="8">
        <v>0</v>
      </c>
      <c r="AB699">
        <v>0</v>
      </c>
      <c r="AC699">
        <v>0</v>
      </c>
      <c r="AD699">
        <v>20</v>
      </c>
      <c r="AE699">
        <v>2</v>
      </c>
      <c r="AF699">
        <v>18</v>
      </c>
      <c r="AG699">
        <v>1</v>
      </c>
      <c r="AH699">
        <v>11</v>
      </c>
      <c r="AI699" t="inlineStr">
        <is>
          <t>False</t>
        </is>
      </c>
      <c r="AJ699" s="2" t="str">
        <f>HYPERLINK("https://keepa.com/#!product/1-B0C2JLSD6K", "https://keepa.com/#!product/1-B0C2JLSD6K")</f>
      </c>
      <c r="AK699" s="2" t="str">
        <f>HYPERLINK("https://camelcamelcamel.com/search?sq=B0C2JLSD6K", "https://camelcamelcamel.com/search?sq=B0C2JLSD6K")</f>
      </c>
      <c r="AL699" t="inlineStr">
        <is>
          <t/>
        </is>
      </c>
      <c r="AM699" s="10">
        <v>45417.11111111111</v>
      </c>
      <c r="AN699" t="inlineStr">
        <is>
          <t>PRIME Hydration STRAWBERRY WATERMELON | Sports Drinks | Electrolyte Enhanced for Ultimate Hydration | 250mg BCAAs | B Vitamins | Antioxidants | 2g Of Sugar | 16.9 Fluid Ounce | 12 Pack</t>
        </is>
      </c>
      <c r="AO699" t="inlineStr">
        <is>
          <t>2476</t>
        </is>
      </c>
      <c r="AP699" t="inlineStr">
        <is>
          <t>TAKE ALL</t>
        </is>
      </c>
    </row>
    <row r="700">
      <c r="A700" t="inlineStr">
        <is>
          <t>B0C34CQRJT</t>
        </is>
      </c>
      <c r="B700" t="inlineStr">
        <is>
          <t>False</t>
        </is>
      </c>
      <c r="C700" t="inlineStr">
        <is>
          <t>B0C34CQRJT</t>
        </is>
      </c>
      <c r="D700" t="inlineStr">
        <is>
          <t>Orgain</t>
        </is>
      </c>
      <c r="E700" t="inlineStr">
        <is>
          <t>False</t>
        </is>
      </c>
      <c r="F700" t="inlineStr">
        <is>
          <t>Orgain Organic Vegan Protein Powder, Churro Caramel Swirl - 21g Plant Based Protein, Gluten Free, Dairy Free, Lactose Free, Soy Free, No Sugar Added, Kosher, For Smoothies &amp; Shakes - 1.02lb</t>
        </is>
      </c>
      <c r="G700">
        <v>1</v>
      </c>
      <c r="H700" s="2" t="str">
        <f>HYPERLINK("https://www.amazon.com/dp/B0C34CQRJT", "https://www.amazon.com/dp/B0C34CQRJT")</f>
      </c>
      <c r="I700" s="14">
        <v>5</v>
      </c>
      <c r="M700" t="inlineStr">
        <is>
          <t>True</t>
        </is>
      </c>
      <c r="N700" t="inlineStr">
        <is>
          <t>Climate Pledge Friendly</t>
        </is>
      </c>
      <c r="O700" s="6">
        <v>11643</v>
      </c>
      <c r="P700" s="6">
        <v>1295</v>
      </c>
      <c r="Q700" s="6">
        <v>31</v>
      </c>
      <c r="R700" s="6">
        <v>57</v>
      </c>
      <c r="S700" s="7">
        <v>13.75</v>
      </c>
      <c r="U700">
        <v>25.63</v>
      </c>
      <c r="X700" s="7">
        <v>0</v>
      </c>
      <c r="Y700">
        <v>1.32</v>
      </c>
      <c r="Z700" s="9">
        <v>0.9</v>
      </c>
      <c r="AB700">
        <v>0</v>
      </c>
      <c r="AC700">
        <v>0</v>
      </c>
      <c r="AD700">
        <v>0</v>
      </c>
      <c r="AE700">
        <v>0</v>
      </c>
      <c r="AF700">
        <v>0</v>
      </c>
      <c r="AG700">
        <v>0</v>
      </c>
      <c r="AH700">
        <v>2</v>
      </c>
      <c r="AI700" t="inlineStr">
        <is>
          <t>False</t>
        </is>
      </c>
      <c r="AJ700" s="2" t="str">
        <f>HYPERLINK("https://keepa.com/#!product/1-B0C34CQRJT", "https://keepa.com/#!product/1-B0C34CQRJT")</f>
      </c>
      <c r="AK700" s="2" t="str">
        <f>HYPERLINK("https://camelcamelcamel.com/search?sq=B0C34CQRJT", "https://camelcamelcamel.com/search?sq=B0C34CQRJT")</f>
      </c>
      <c r="AL700" t="inlineStr">
        <is>
          <t/>
        </is>
      </c>
      <c r="AM700" s="10">
        <v>45417.11111111111</v>
      </c>
      <c r="AN700" t="inlineStr">
        <is>
          <t>Orgain Organic Vegan Protein Powder, Churro Caramel Swirl - 21g Plant Based Protein, Gluten Free, Dairy Free, Lactose Free, Soy Free, No Sugar Added, Kosher, For Smoothies &amp; Shakes - 1.02lb</t>
        </is>
      </c>
      <c r="AO700" t="inlineStr">
        <is>
          <t>2000</t>
        </is>
      </c>
      <c r="AP700" t="inlineStr">
        <is>
          <t>500</t>
        </is>
      </c>
    </row>
    <row r="701">
      <c r="A701" t="inlineStr">
        <is>
          <t>B0C3NJCS6V</t>
        </is>
      </c>
      <c r="B701" t="inlineStr">
        <is>
          <t>False</t>
        </is>
      </c>
      <c r="C701" t="inlineStr">
        <is>
          <t>B0C3NJCS6V</t>
        </is>
      </c>
      <c r="D701" t="inlineStr">
        <is>
          <t>Peet's Coffee</t>
        </is>
      </c>
      <c r="E701" t="inlineStr">
        <is>
          <t>False</t>
        </is>
      </c>
      <c r="F701" t="inlineStr">
        <is>
          <t>Peet's Flavored Coffee, Hazelnut Mocha Ground Coffee, 30 Ounces (Three Bags of 10oz), Light Roast</t>
        </is>
      </c>
      <c r="G701">
        <v>1</v>
      </c>
      <c r="H701" s="2" t="str">
        <f>HYPERLINK("https://www.amazon.com/dp/B0C3NJCS6V", "https://www.amazon.com/dp/B0C3NJCS6V")</f>
      </c>
      <c r="I701" s="3">
        <v>11214</v>
      </c>
      <c r="J701" s="11">
        <v>3.13</v>
      </c>
      <c r="K701" s="5">
        <v>0.0958</v>
      </c>
      <c r="L701" s="5">
        <v>0.16690000000000002</v>
      </c>
      <c r="M701" t="inlineStr">
        <is>
          <t>True</t>
        </is>
      </c>
      <c r="N701" t="inlineStr">
        <is>
          <t>Grocery &amp; Gourmet Food</t>
        </is>
      </c>
      <c r="O701" s="6">
        <v>172</v>
      </c>
      <c r="P701" s="6">
        <v>271</v>
      </c>
      <c r="Q701" s="6">
        <v>138</v>
      </c>
      <c r="R701" s="6">
        <v>225</v>
      </c>
      <c r="S701" s="7">
        <v>18.75</v>
      </c>
      <c r="T701" s="7">
        <v>32.67</v>
      </c>
      <c r="U701">
        <v>32.15</v>
      </c>
      <c r="V701" s="8">
        <v>0</v>
      </c>
      <c r="W701" s="7">
        <v>0</v>
      </c>
      <c r="X701" s="7">
        <v>0</v>
      </c>
      <c r="Y701">
        <v>2.18</v>
      </c>
      <c r="Z701" s="9">
        <v>1</v>
      </c>
      <c r="AB701">
        <v>0</v>
      </c>
      <c r="AC701">
        <v>0</v>
      </c>
      <c r="AD701">
        <v>4</v>
      </c>
      <c r="AE701">
        <v>2</v>
      </c>
      <c r="AF701">
        <v>2</v>
      </c>
      <c r="AG701">
        <v>2</v>
      </c>
      <c r="AH701">
        <v>78</v>
      </c>
      <c r="AI701" t="inlineStr">
        <is>
          <t>False</t>
        </is>
      </c>
      <c r="AJ701" s="2" t="str">
        <f>HYPERLINK("https://keepa.com/#!product/1-B0C3NJCS6V", "https://keepa.com/#!product/1-B0C3NJCS6V")</f>
      </c>
      <c r="AK701" s="2" t="str">
        <f>HYPERLINK("https://camelcamelcamel.com/search?sq=B0C3NJCS6V", "https://camelcamelcamel.com/search?sq=B0C3NJCS6V")</f>
      </c>
      <c r="AL701" t="inlineStr">
        <is>
          <t/>
        </is>
      </c>
      <c r="AM701" s="10">
        <v>45417.11111111111</v>
      </c>
      <c r="AN701" t="inlineStr">
        <is>
          <t>Peet's Flavored Coffee, Hazelnut Mocha Ground Coffee, 30 Ounces (Three Bags of 10oz), Light Roast</t>
        </is>
      </c>
      <c r="AO701" t="inlineStr">
        <is>
          <t>600</t>
        </is>
      </c>
      <c r="AP701" t="inlineStr">
        <is>
          <t>300</t>
        </is>
      </c>
    </row>
    <row r="702">
      <c r="A702" t="inlineStr">
        <is>
          <t>B0C3P3HCTB</t>
        </is>
      </c>
      <c r="B702" t="inlineStr">
        <is>
          <t>False</t>
        </is>
      </c>
      <c r="C702" t="inlineStr">
        <is>
          <t>B0C3P3HCTB</t>
        </is>
      </c>
      <c r="D702" t="inlineStr">
        <is>
          <t>Impress</t>
        </is>
      </c>
      <c r="E702" t="inlineStr">
        <is>
          <t>False</t>
        </is>
      </c>
      <c r="F702" t="inlineStr">
        <is>
          <t>Impress Basic Clothing Iron | Non-Stick | Compact | Spray | Adjustable Steam | Fabric Selector | Swivel Cord | Lightweight | 1200-Watt (Red)</t>
        </is>
      </c>
      <c r="G702">
        <v>1</v>
      </c>
      <c r="H702" s="2" t="str">
        <f>HYPERLINK("https://www.amazon.com/dp/B0C3P3HCTB", "https://www.amazon.com/dp/B0C3P3HCTB")</f>
      </c>
      <c r="I702" s="3">
        <v>1127</v>
      </c>
      <c r="J702" s="12">
        <v>-0.41</v>
      </c>
      <c r="K702" s="13">
        <v>-0.0259</v>
      </c>
      <c r="L702" s="13">
        <v>-0.0512</v>
      </c>
      <c r="M702" t="inlineStr">
        <is>
          <t>True</t>
        </is>
      </c>
      <c r="N702" t="inlineStr">
        <is>
          <t>Home &amp; Kitchen</t>
        </is>
      </c>
      <c r="O702" s="6">
        <v>23118</v>
      </c>
      <c r="P702" s="6">
        <v>12683</v>
      </c>
      <c r="Q702" s="6">
        <v>1760</v>
      </c>
      <c r="R702" s="6">
        <v>169</v>
      </c>
      <c r="S702" s="7">
        <v>8</v>
      </c>
      <c r="T702" s="7">
        <v>15.86</v>
      </c>
      <c r="U702">
        <v>13.46</v>
      </c>
      <c r="V702" s="8">
        <v>0</v>
      </c>
      <c r="W702" s="7">
        <v>0</v>
      </c>
      <c r="X702" s="7">
        <v>0</v>
      </c>
      <c r="Y702">
        <v>1.54</v>
      </c>
      <c r="Z702" s="8">
        <v>0</v>
      </c>
      <c r="AB702">
        <v>0</v>
      </c>
      <c r="AC702">
        <v>0</v>
      </c>
      <c r="AD702">
        <v>3</v>
      </c>
      <c r="AE702">
        <v>1</v>
      </c>
      <c r="AF702">
        <v>2</v>
      </c>
      <c r="AG702">
        <v>1</v>
      </c>
      <c r="AH702">
        <v>2</v>
      </c>
      <c r="AI702" t="inlineStr">
        <is>
          <t>False</t>
        </is>
      </c>
      <c r="AJ702" s="2" t="str">
        <f>HYPERLINK("https://keepa.com/#!product/1-B0C3P3HCTB", "https://keepa.com/#!product/1-B0C3P3HCTB")</f>
      </c>
      <c r="AK702" s="2" t="str">
        <f>HYPERLINK("https://camelcamelcamel.com/search?sq=B0C3P3HCTB", "https://camelcamelcamel.com/search?sq=B0C3P3HCTB")</f>
      </c>
      <c r="AL702" t="inlineStr">
        <is>
          <t/>
        </is>
      </c>
      <c r="AM702" s="10">
        <v>45417.11111111111</v>
      </c>
      <c r="AN702" t="inlineStr">
        <is>
          <t>Impress Basic Clothing Iron | Non-Stick | Compact | Spray | Adjustable Steam | Fabric Selector | Swivel Cord | Lightweight | 1200-Watt (Red)</t>
        </is>
      </c>
      <c r="AO702" t="inlineStr">
        <is>
          <t>800</t>
        </is>
      </c>
      <c r="AP702" t="inlineStr">
        <is>
          <t>400</t>
        </is>
      </c>
    </row>
    <row r="703">
      <c r="A703" t="inlineStr">
        <is>
          <t>B0C412FWFS</t>
        </is>
      </c>
      <c r="B703" t="inlineStr">
        <is>
          <t>False</t>
        </is>
      </c>
      <c r="C703" t="inlineStr">
        <is>
          <t>B0C412FWFS</t>
        </is>
      </c>
      <c r="D703" t="inlineStr">
        <is>
          <t>SUPREME BOX</t>
        </is>
      </c>
      <c r="E703" t="inlineStr">
        <is>
          <t>False</t>
        </is>
      </c>
      <c r="F703" t="inlineStr">
        <is>
          <t>SUPREME BOX Knorr Chicken Bouillon Cubes - Pack of 3</t>
        </is>
      </c>
      <c r="G703">
        <v>1</v>
      </c>
      <c r="H703" s="2" t="str">
        <f>HYPERLINK("https://www.amazon.com/dp/B0C412FWFS", "https://www.amazon.com/dp/B0C412FWFS")</f>
      </c>
      <c r="I703" s="3">
        <v>1119</v>
      </c>
      <c r="J703" s="12">
        <v>-1.03</v>
      </c>
      <c r="K703" s="13">
        <v>-0.11689999999999999</v>
      </c>
      <c r="L703" s="13">
        <v>-0.17170000000000002</v>
      </c>
      <c r="M703" t="inlineStr">
        <is>
          <t>True</t>
        </is>
      </c>
      <c r="N703" t="inlineStr">
        <is>
          <t>Grocery &amp; Gourmet Food</t>
        </is>
      </c>
      <c r="O703" s="6">
        <v>7806</v>
      </c>
      <c r="P703" s="6">
        <v>6306</v>
      </c>
      <c r="Q703" s="6">
        <v>3836</v>
      </c>
      <c r="R703" s="6">
        <v>179</v>
      </c>
      <c r="S703" s="7">
        <v>6</v>
      </c>
      <c r="T703" s="7">
        <v>8.81</v>
      </c>
      <c r="U703">
        <v>10.96</v>
      </c>
      <c r="V703" s="8">
        <v>0</v>
      </c>
      <c r="W703" s="7">
        <v>0</v>
      </c>
      <c r="X703" s="7">
        <v>0</v>
      </c>
      <c r="Y703">
        <v>0.51</v>
      </c>
      <c r="Z703" s="8">
        <v>0</v>
      </c>
      <c r="AB703">
        <v>0</v>
      </c>
      <c r="AC703">
        <v>0</v>
      </c>
      <c r="AD703">
        <v>4</v>
      </c>
      <c r="AE703">
        <v>2</v>
      </c>
      <c r="AF703">
        <v>2</v>
      </c>
      <c r="AG703">
        <v>0</v>
      </c>
      <c r="AH703">
        <v>5</v>
      </c>
      <c r="AI703" t="inlineStr">
        <is>
          <t>False</t>
        </is>
      </c>
      <c r="AJ703" s="2" t="str">
        <f>HYPERLINK("https://keepa.com/#!product/1-B0C412FWFS", "https://keepa.com/#!product/1-B0C412FWFS")</f>
      </c>
      <c r="AK703" s="2" t="str">
        <f>HYPERLINK("https://camelcamelcamel.com/search?sq=B0C412FWFS", "https://camelcamelcamel.com/search?sq=B0C412FWFS")</f>
      </c>
      <c r="AL703" t="inlineStr">
        <is>
          <t/>
        </is>
      </c>
      <c r="AM703" s="10">
        <v>45417.11111111111</v>
      </c>
      <c r="AN703" t="inlineStr">
        <is>
          <t>SUPREME BOX Knorr Chicken Bouillon Cubes - Pack of 3</t>
        </is>
      </c>
      <c r="AO703" t="inlineStr">
        <is>
          <t>500</t>
        </is>
      </c>
      <c r="AP703" t="inlineStr">
        <is>
          <t>TAKE ALL</t>
        </is>
      </c>
    </row>
    <row r="704">
      <c r="A704" t="inlineStr">
        <is>
          <t>B0C414DZPN</t>
        </is>
      </c>
      <c r="B704" t="inlineStr">
        <is>
          <t>False</t>
        </is>
      </c>
      <c r="C704" t="inlineStr">
        <is>
          <t>B0C414DZPN</t>
        </is>
      </c>
      <c r="D704" t="inlineStr">
        <is>
          <t>iRobot</t>
        </is>
      </c>
      <c r="E704" t="inlineStr">
        <is>
          <t>False</t>
        </is>
      </c>
      <c r="F704" t="inlineStr">
        <is>
          <t>iRobot Roomba Combo j5 Robot - 2-in-1 Vacuum with Optional Mopping, Identifies &amp; Avoids Obstacles Like Pet Waste &amp; Cords, Clean by Room with Smart Mapping, Works with Alexa, Ideal for Pet Hair</t>
        </is>
      </c>
      <c r="G704">
        <v>1</v>
      </c>
      <c r="H704" s="2" t="str">
        <f>HYPERLINK("https://www.amazon.com/dp/B0C414DZPN", "https://www.amazon.com/dp/B0C414DZPN")</f>
      </c>
      <c r="I704" s="3">
        <v>846</v>
      </c>
      <c r="J704" s="12">
        <v>-5.67</v>
      </c>
      <c r="K704" s="13">
        <v>-0.0189</v>
      </c>
      <c r="L704" s="13">
        <v>-0.0231</v>
      </c>
      <c r="M704" t="inlineStr">
        <is>
          <t>True</t>
        </is>
      </c>
      <c r="N704" t="inlineStr">
        <is>
          <t>Home &amp; Kitchen</t>
        </is>
      </c>
      <c r="O704" s="6">
        <v>31676</v>
      </c>
      <c r="P704" s="6">
        <v>70635</v>
      </c>
      <c r="Q704" s="6">
        <v>15185</v>
      </c>
      <c r="R704" s="6">
        <v>176</v>
      </c>
      <c r="S704" s="7">
        <v>245</v>
      </c>
      <c r="T704" s="7">
        <v>299.99</v>
      </c>
      <c r="U704">
        <v>367.88</v>
      </c>
      <c r="V704" s="8">
        <v>0</v>
      </c>
      <c r="W704" s="7">
        <v>0</v>
      </c>
      <c r="X704" s="7">
        <v>0</v>
      </c>
      <c r="Y704">
        <v>14.35</v>
      </c>
      <c r="Z704" s="9">
        <v>0.73</v>
      </c>
      <c r="AB704">
        <v>0</v>
      </c>
      <c r="AC704">
        <v>0</v>
      </c>
      <c r="AD704">
        <v>30</v>
      </c>
      <c r="AE704">
        <v>1</v>
      </c>
      <c r="AF704">
        <v>14</v>
      </c>
      <c r="AG704">
        <v>1</v>
      </c>
      <c r="AH704">
        <v>2</v>
      </c>
      <c r="AI704" t="inlineStr">
        <is>
          <t>True</t>
        </is>
      </c>
      <c r="AJ704" s="2" t="str">
        <f>HYPERLINK("https://keepa.com/#!product/1-B0C414DZPN", "https://keepa.com/#!product/1-B0C414DZPN")</f>
      </c>
      <c r="AK704" s="2" t="str">
        <f>HYPERLINK("https://camelcamelcamel.com/search?sq=B0C414DZPN", "https://camelcamelcamel.com/search?sq=B0C414DZPN")</f>
      </c>
      <c r="AL704" t="inlineStr">
        <is>
          <t/>
        </is>
      </c>
      <c r="AM704" s="10">
        <v>45417.11111111111</v>
      </c>
      <c r="AN704" t="inlineStr">
        <is>
          <t>iRobot Roomba Combo j5 Robot - 2-in-1 Vacuum with Optional Mopping, Identifies &amp; Avoids Obstacles Like Pet Waste &amp; Cords, Clean by Room with Smart Mapping, Works with Alexa, Ideal for Pet Hair</t>
        </is>
      </c>
      <c r="AO704" t="inlineStr">
        <is>
          <t>148</t>
        </is>
      </c>
      <c r="AP704" t="inlineStr">
        <is>
          <t>TAKE ALL</t>
        </is>
      </c>
    </row>
    <row r="705">
      <c r="A705" t="inlineStr">
        <is>
          <t>B0C426QPDX</t>
        </is>
      </c>
      <c r="B705" t="inlineStr">
        <is>
          <t>False</t>
        </is>
      </c>
      <c r="C705" t="inlineStr">
        <is>
          <t>B0C426QPDX</t>
        </is>
      </c>
      <c r="D705" t="inlineStr">
        <is>
          <t>WYZE</t>
        </is>
      </c>
      <c r="E705" t="inlineStr">
        <is>
          <t>False</t>
        </is>
      </c>
      <c r="F705" t="inlineStr">
        <is>
          <t>WYZE Cam Pan v3 Indoor/Outdoor IP65-Rated 1080p Pan/Tilt/Zoom Wi-Fi Smart Home Security Camera with Motion Tracking for Baby &amp; Pet, Color Night Vision, 2-Way Audio, Works with Alexa &amp; Google, Black</t>
        </is>
      </c>
      <c r="G705">
        <v>1</v>
      </c>
      <c r="H705" s="2" t="str">
        <f>HYPERLINK("https://www.amazon.com/dp/B0C426QPDX", "https://www.amazon.com/dp/B0C426QPDX")</f>
      </c>
      <c r="I705" s="3">
        <v>19829</v>
      </c>
      <c r="J705" s="4">
        <v>8.32</v>
      </c>
      <c r="K705" s="5">
        <v>0.21030000000000001</v>
      </c>
      <c r="L705" s="15">
        <v>0.354</v>
      </c>
      <c r="M705" t="inlineStr">
        <is>
          <t>True</t>
        </is>
      </c>
      <c r="N705" t="inlineStr">
        <is>
          <t>Electronics</t>
        </is>
      </c>
      <c r="O705" s="6">
        <v>54</v>
      </c>
      <c r="P705" s="6">
        <v>313</v>
      </c>
      <c r="Q705" s="6">
        <v>33</v>
      </c>
      <c r="R705" s="6">
        <v>231</v>
      </c>
      <c r="S705" s="7">
        <v>23.5</v>
      </c>
      <c r="T705" s="7">
        <v>39.56</v>
      </c>
      <c r="U705">
        <v>38.37</v>
      </c>
      <c r="V705" s="8">
        <v>0</v>
      </c>
      <c r="W705" s="7">
        <v>0</v>
      </c>
      <c r="X705" s="7">
        <v>0</v>
      </c>
      <c r="Y705">
        <v>0.97</v>
      </c>
      <c r="Z705" s="9">
        <v>1</v>
      </c>
      <c r="AB705">
        <v>0</v>
      </c>
      <c r="AC705">
        <v>0</v>
      </c>
      <c r="AD705">
        <v>12</v>
      </c>
      <c r="AE705">
        <v>5</v>
      </c>
      <c r="AF705">
        <v>3</v>
      </c>
      <c r="AG705">
        <v>4</v>
      </c>
      <c r="AH705">
        <v>9</v>
      </c>
      <c r="AI705" t="inlineStr">
        <is>
          <t>False</t>
        </is>
      </c>
      <c r="AJ705" s="2" t="str">
        <f>HYPERLINK("https://keepa.com/#!product/1-B0C426QPDX", "https://keepa.com/#!product/1-B0C426QPDX")</f>
      </c>
      <c r="AK705" s="2" t="str">
        <f>HYPERLINK("https://camelcamelcamel.com/search?sq=B0C426QPDX", "https://camelcamelcamel.com/search?sq=B0C426QPDX")</f>
      </c>
      <c r="AL705" t="inlineStr">
        <is>
          <t/>
        </is>
      </c>
      <c r="AM705" s="10">
        <v>45417.11111111111</v>
      </c>
      <c r="AN705" t="inlineStr">
        <is>
          <t>WYZE Cam Pan v3 Indoor/Outdoor IP65-Rated 1080p Pan/Tilt/Zoom Wi-Fi Smart Home Security Camera with Motion Tracking for Baby &amp; Pet, Color Night Vision, 2-Way Audio, Works with Alexa &amp; Google, Black</t>
        </is>
      </c>
      <c r="AO705" t="inlineStr">
        <is>
          <t>4000</t>
        </is>
      </c>
      <c r="AP705" t="inlineStr">
        <is>
          <t>2500</t>
        </is>
      </c>
    </row>
    <row r="706">
      <c r="A706" t="inlineStr">
        <is>
          <t>B0C48GQJNC</t>
        </is>
      </c>
      <c r="B706" t="inlineStr">
        <is>
          <t>False</t>
        </is>
      </c>
      <c r="C706" t="inlineStr">
        <is>
          <t>B0C48GQJNC</t>
        </is>
      </c>
      <c r="D706" t="inlineStr">
        <is>
          <t>Sperax</t>
        </is>
      </c>
      <c r="E706" t="inlineStr">
        <is>
          <t>False</t>
        </is>
      </c>
      <c r="F706" t="inlineStr">
        <is>
          <t>Sperax Walking Pad,Under Desk Treadmill,Treadmills for Home,320 Lb Capacity</t>
        </is>
      </c>
      <c r="G706">
        <v>1</v>
      </c>
      <c r="H706" s="2" t="str">
        <f>HYPERLINK("https://www.amazon.com/dp/B0C48GQJNC", "https://www.amazon.com/dp/B0C48GQJNC")</f>
      </c>
      <c r="I706" s="3">
        <v>11242</v>
      </c>
      <c r="J706" s="4">
        <v>51.9</v>
      </c>
      <c r="K706" s="5">
        <v>0.2163</v>
      </c>
      <c r="L706" s="15">
        <v>0.4152</v>
      </c>
      <c r="M706" t="inlineStr">
        <is>
          <t>True</t>
        </is>
      </c>
      <c r="N706" t="inlineStr">
        <is>
          <t>Sports &amp; Outdoors</t>
        </is>
      </c>
      <c r="O706" s="6">
        <v>204</v>
      </c>
      <c r="P706" s="6">
        <v>65</v>
      </c>
      <c r="Q706" s="6">
        <v>10</v>
      </c>
      <c r="R706" s="6">
        <v>237</v>
      </c>
      <c r="S706" s="7">
        <v>125</v>
      </c>
      <c r="T706" s="7">
        <v>239.99</v>
      </c>
      <c r="U706">
        <v>231.31</v>
      </c>
      <c r="V706" s="8">
        <v>0</v>
      </c>
      <c r="W706" s="7">
        <v>0</v>
      </c>
      <c r="X706" s="7">
        <v>0</v>
      </c>
      <c r="Y706">
        <v>44.75</v>
      </c>
      <c r="Z706" s="9">
        <v>0.11</v>
      </c>
      <c r="AB706">
        <v>0</v>
      </c>
      <c r="AC706">
        <v>0</v>
      </c>
      <c r="AD706">
        <v>8</v>
      </c>
      <c r="AE706">
        <v>2</v>
      </c>
      <c r="AF706">
        <v>0</v>
      </c>
      <c r="AG706">
        <v>1</v>
      </c>
      <c r="AH706">
        <v>3</v>
      </c>
      <c r="AI706" t="inlineStr">
        <is>
          <t>True</t>
        </is>
      </c>
      <c r="AJ706" s="2" t="str">
        <f>HYPERLINK("https://keepa.com/#!product/1-B0C48GQJNC", "https://keepa.com/#!product/1-B0C48GQJNC")</f>
      </c>
      <c r="AK706" s="2" t="str">
        <f>HYPERLINK("https://camelcamelcamel.com/search?sq=B0C48GQJNC", "https://camelcamelcamel.com/search?sq=B0C48GQJNC")</f>
      </c>
      <c r="AL706" t="inlineStr">
        <is>
          <t/>
        </is>
      </c>
      <c r="AM706" s="10">
        <v>45417.11111111111</v>
      </c>
      <c r="AN706" t="inlineStr">
        <is>
          <t>Sperax Walking Pad,Under Desk Treadmill,Treadmills for Home,320 Lb Capacity</t>
        </is>
      </c>
      <c r="AO706" t="inlineStr">
        <is>
          <t>500</t>
        </is>
      </c>
      <c r="AP706" t="inlineStr">
        <is>
          <t>TAKE ALL</t>
        </is>
      </c>
    </row>
    <row r="707">
      <c r="A707" t="inlineStr">
        <is>
          <t>B0C4S4B331</t>
        </is>
      </c>
      <c r="B707" t="inlineStr">
        <is>
          <t>False</t>
        </is>
      </c>
      <c r="C707" t="inlineStr">
        <is>
          <t>B0C4S4B331</t>
        </is>
      </c>
      <c r="D707" t="inlineStr">
        <is>
          <t>SFH</t>
        </is>
      </c>
      <c r="E707" t="inlineStr">
        <is>
          <t>False</t>
        </is>
      </c>
      <c r="F707" t="inlineStr">
        <is>
          <t>SFH Recover Whey Protein Powder (Chocolate) Great Tasting Grass Fed Whey for Post Workout | All Natural | No Soy, No Gluten, No RBST, No Artificial Flavors (20 Serving Bag)</t>
        </is>
      </c>
      <c r="G707">
        <v>1</v>
      </c>
      <c r="H707" s="2" t="str">
        <f>HYPERLINK("https://www.amazon.com/dp/B0C4S4B331", "https://www.amazon.com/dp/B0C4S4B331")</f>
      </c>
      <c r="I707" s="3">
        <v>167</v>
      </c>
      <c r="J707" s="4">
        <v>16.23</v>
      </c>
      <c r="K707" s="5">
        <v>0.2823</v>
      </c>
      <c r="L707" s="15">
        <v>0.6011</v>
      </c>
      <c r="M707" t="inlineStr">
        <is>
          <t>True</t>
        </is>
      </c>
      <c r="N707" t="inlineStr">
        <is>
          <t>Health &amp; Household</t>
        </is>
      </c>
      <c r="O707" s="6">
        <v>75221</v>
      </c>
      <c r="P707" s="6">
        <v>82405</v>
      </c>
      <c r="Q707" s="6">
        <v>54024</v>
      </c>
      <c r="R707" s="6">
        <v>63</v>
      </c>
      <c r="S707" s="7">
        <v>27</v>
      </c>
      <c r="T707" s="7">
        <v>57.5</v>
      </c>
      <c r="U707">
        <v>57.5</v>
      </c>
      <c r="V707" s="8">
        <v>0</v>
      </c>
      <c r="W707" s="7">
        <v>0</v>
      </c>
      <c r="X707" s="7">
        <v>0</v>
      </c>
      <c r="Y707">
        <v>1.43</v>
      </c>
      <c r="Z707" s="8">
        <v>0</v>
      </c>
      <c r="AB707">
        <v>0</v>
      </c>
      <c r="AC707">
        <v>0</v>
      </c>
      <c r="AD707">
        <v>1</v>
      </c>
      <c r="AE707">
        <v>1</v>
      </c>
      <c r="AF707">
        <v>0</v>
      </c>
      <c r="AG707">
        <v>1</v>
      </c>
      <c r="AH707">
        <v>3</v>
      </c>
      <c r="AI707" t="inlineStr">
        <is>
          <t>False</t>
        </is>
      </c>
      <c r="AJ707" s="2" t="str">
        <f>HYPERLINK("https://keepa.com/#!product/1-B0C4S4B331", "https://keepa.com/#!product/1-B0C4S4B331")</f>
      </c>
      <c r="AK707" s="2" t="str">
        <f>HYPERLINK("https://camelcamelcamel.com/search?sq=B0C4S4B331", "https://camelcamelcamel.com/search?sq=B0C4S4B331")</f>
      </c>
      <c r="AL707" t="inlineStr">
        <is>
          <t/>
        </is>
      </c>
      <c r="AM707" s="10">
        <v>45417.11111111111</v>
      </c>
      <c r="AN707" t="inlineStr">
        <is>
          <t>SFH Recover Whey Protein Powder (Chocolate) Great Tasting 100% Grass Fed Whey for Post Workout | All Natural | No Soy, No Gluten, No RBST, No Artificial Flavors (20 Serving Bag)</t>
        </is>
      </c>
      <c r="AO707" t="inlineStr">
        <is>
          <t>5000</t>
        </is>
      </c>
      <c r="AP707" t="inlineStr">
        <is>
          <t>TAKE ALL</t>
        </is>
      </c>
    </row>
    <row r="708">
      <c r="A708" t="inlineStr">
        <is>
          <t>B0C4V7B4YK</t>
        </is>
      </c>
      <c r="B708" t="inlineStr">
        <is>
          <t>False</t>
        </is>
      </c>
      <c r="C708" t="inlineStr">
        <is>
          <t>B0C4V7B4YK</t>
        </is>
      </c>
      <c r="D708" t="inlineStr">
        <is>
          <t>Carhartt</t>
        </is>
      </c>
      <c r="E708" t="inlineStr">
        <is>
          <t>False</t>
        </is>
      </c>
      <c r="F708" t="inlineStr">
        <is>
          <t>Carhartt Men's Knit Cuffed Beanie (Closeout), Blue Glow</t>
        </is>
      </c>
      <c r="G708">
        <v>1</v>
      </c>
      <c r="H708" s="2" t="str">
        <f>HYPERLINK("https://www.amazon.com/dp/B0C4V7B4YK", "https://www.amazon.com/dp/B0C4V7B4YK")</f>
      </c>
      <c r="I708" s="3">
        <v>9646</v>
      </c>
      <c r="J708" s="11">
        <v>0.1</v>
      </c>
      <c r="K708" s="5">
        <v>0.0067</v>
      </c>
      <c r="L708" s="5">
        <v>0.0105</v>
      </c>
      <c r="M708" t="inlineStr">
        <is>
          <t>True</t>
        </is>
      </c>
      <c r="N708" t="inlineStr">
        <is>
          <t>Clothing, Shoes &amp; Jewelry</t>
        </is>
      </c>
      <c r="O708" s="6">
        <v>1144</v>
      </c>
      <c r="P708" s="6">
        <v>984</v>
      </c>
      <c r="Q708" s="6">
        <v>4</v>
      </c>
      <c r="R708" s="6">
        <v>196</v>
      </c>
      <c r="S708" s="7">
        <v>9.5</v>
      </c>
      <c r="T708" s="7">
        <v>15</v>
      </c>
      <c r="U708">
        <v>18.68</v>
      </c>
      <c r="V708" s="8">
        <v>0</v>
      </c>
      <c r="W708" s="7">
        <v>0</v>
      </c>
      <c r="X708" s="7">
        <v>0</v>
      </c>
      <c r="Y708">
        <v>0.2</v>
      </c>
      <c r="Z708" s="9">
        <v>0.75</v>
      </c>
      <c r="AB708">
        <v>0</v>
      </c>
      <c r="AC708">
        <v>0</v>
      </c>
      <c r="AD708">
        <v>42</v>
      </c>
      <c r="AE708">
        <v>23</v>
      </c>
      <c r="AF708">
        <v>19</v>
      </c>
      <c r="AG708">
        <v>2</v>
      </c>
      <c r="AH708">
        <v>40</v>
      </c>
      <c r="AI708" t="inlineStr">
        <is>
          <t>False</t>
        </is>
      </c>
      <c r="AJ708" s="2" t="str">
        <f>HYPERLINK("https://keepa.com/#!product/1-B0C4V7B4YK", "https://keepa.com/#!product/1-B0C4V7B4YK")</f>
      </c>
      <c r="AK708" s="2" t="str">
        <f>HYPERLINK("https://camelcamelcamel.com/search?sq=B0C4V7B4YK", "https://camelcamelcamel.com/search?sq=B0C4V7B4YK")</f>
      </c>
      <c r="AL708" t="inlineStr">
        <is>
          <t/>
        </is>
      </c>
      <c r="AM708" s="10">
        <v>45417.11111111111</v>
      </c>
      <c r="AN708" t="inlineStr">
        <is>
          <t>Carhartt Men's Knit Cuffed Beanie</t>
        </is>
      </c>
      <c r="AO708" t="inlineStr">
        <is>
          <t>1000</t>
        </is>
      </c>
      <c r="AP708" t="inlineStr">
        <is>
          <t>TAKE ALL</t>
        </is>
      </c>
    </row>
    <row r="709">
      <c r="A709" t="inlineStr">
        <is>
          <t>B0C5QSN9YB</t>
        </is>
      </c>
      <c r="B709" t="inlineStr">
        <is>
          <t>False</t>
        </is>
      </c>
      <c r="C709" t="inlineStr">
        <is>
          <t>B0C5QSN9YB</t>
        </is>
      </c>
      <c r="D709" t="inlineStr">
        <is>
          <t>Ring</t>
        </is>
      </c>
      <c r="E709" t="inlineStr">
        <is>
          <t>False</t>
        </is>
      </c>
      <c r="F709" t="inlineStr">
        <is>
          <t>Ring Stick Up Cam Battery | Weather-Resistant Outdoor Camera, Live View, Color Night Vision, Two-way Talk, Motion alerts, Works with Alexa | Black</t>
        </is>
      </c>
      <c r="G709">
        <v>1</v>
      </c>
      <c r="H709" s="2" t="str">
        <f>HYPERLINK("https://www.amazon.com/dp/B0C5QSN9YB", "https://www.amazon.com/dp/B0C5QSN9YB")</f>
      </c>
      <c r="I709" s="14">
        <v>5</v>
      </c>
      <c r="J709" s="4">
        <v>15.81</v>
      </c>
      <c r="K709" s="5">
        <v>0.15810000000000002</v>
      </c>
      <c r="L709" s="5">
        <v>0.247</v>
      </c>
      <c r="M709" t="inlineStr">
        <is>
          <t>True</t>
        </is>
      </c>
      <c r="N709" t="inlineStr">
        <is>
          <t>Amazon Devices &amp; Accessories</t>
        </is>
      </c>
      <c r="O709" s="6">
        <v>85</v>
      </c>
      <c r="P709" s="6">
        <v>0</v>
      </c>
      <c r="Q709" s="6">
        <v>0</v>
      </c>
      <c r="R709" s="6">
        <v>0</v>
      </c>
      <c r="S709" s="7">
        <v>64</v>
      </c>
      <c r="T709" s="7">
        <v>99.99</v>
      </c>
      <c r="U709">
        <v>88.5</v>
      </c>
      <c r="V709" s="8">
        <v>0</v>
      </c>
      <c r="W709" s="7">
        <v>0</v>
      </c>
      <c r="X709" s="7">
        <v>0</v>
      </c>
      <c r="Y709">
        <v>1.04</v>
      </c>
      <c r="Z709" s="9">
        <v>1</v>
      </c>
      <c r="AB709">
        <v>0</v>
      </c>
      <c r="AC709">
        <v>0</v>
      </c>
      <c r="AD709">
        <v>4</v>
      </c>
      <c r="AE709">
        <v>1</v>
      </c>
      <c r="AF709">
        <v>1</v>
      </c>
      <c r="AG709">
        <v>1</v>
      </c>
      <c r="AH709">
        <v>31</v>
      </c>
      <c r="AI709" t="inlineStr">
        <is>
          <t>True</t>
        </is>
      </c>
      <c r="AJ709" s="2" t="str">
        <f>HYPERLINK("https://keepa.com/#!product/1-B0C5QSN9YB", "https://keepa.com/#!product/1-B0C5QSN9YB")</f>
      </c>
      <c r="AK709" s="2" t="str">
        <f>HYPERLINK("https://camelcamelcamel.com/search?sq=B0C5QSN9YB", "https://camelcamelcamel.com/search?sq=B0C5QSN9YB")</f>
      </c>
      <c r="AL709" t="inlineStr">
        <is>
          <t/>
        </is>
      </c>
      <c r="AM709" s="10">
        <v>45417.11111111111</v>
      </c>
      <c r="AN709" t="inlineStr">
        <is>
          <t>Ring Stick Up Cam Battery | Weather-Resistant Outdoor Camera, Live View, Color Night Vision, Two-way Talk, Motion alerts, Works with Alexa | Black</t>
        </is>
      </c>
      <c r="AO709" t="inlineStr">
        <is>
          <t>1908</t>
        </is>
      </c>
      <c r="AP709" t="inlineStr">
        <is>
          <t>300</t>
        </is>
      </c>
    </row>
    <row r="710">
      <c r="A710" t="inlineStr">
        <is>
          <t>B0C6BJTCWB</t>
        </is>
      </c>
      <c r="B710" t="inlineStr">
        <is>
          <t>False</t>
        </is>
      </c>
      <c r="C710" t="inlineStr">
        <is>
          <t>B0C6BJTCWB</t>
        </is>
      </c>
      <c r="D710" t="inlineStr">
        <is>
          <t>ALKA-SELTZER PLUS</t>
        </is>
      </c>
      <c r="E710" t="inlineStr">
        <is>
          <t>False</t>
        </is>
      </c>
      <c r="F710" t="inlineStr">
        <is>
          <t>Alka-seltzer Plus PowerFast Fizz, Cough &amp; Chest Congestion Medicine, Cool Blueberry Pomegranate Effervescent Tablets, 24ct</t>
        </is>
      </c>
      <c r="G710">
        <v>1</v>
      </c>
      <c r="H710" s="2" t="str">
        <f>HYPERLINK("https://www.amazon.com/dp/B0C6BJTCWB", "https://www.amazon.com/dp/B0C6BJTCWB")</f>
      </c>
      <c r="I710" s="3">
        <v>934</v>
      </c>
      <c r="J710" s="12">
        <v>-5.07</v>
      </c>
      <c r="K710" s="13">
        <v>-0.6345000000000001</v>
      </c>
      <c r="L710" s="13">
        <v>-0.5337</v>
      </c>
      <c r="M710" t="inlineStr">
        <is>
          <t>True</t>
        </is>
      </c>
      <c r="N710" t="inlineStr">
        <is>
          <t>Health &amp; Household</t>
        </is>
      </c>
      <c r="O710" s="6">
        <v>23608</v>
      </c>
      <c r="P710" s="6">
        <v>20744</v>
      </c>
      <c r="Q710" s="6">
        <v>14037</v>
      </c>
      <c r="R710" s="6">
        <v>172</v>
      </c>
      <c r="S710" s="7">
        <v>9.5</v>
      </c>
      <c r="T710" s="7">
        <v>7.99</v>
      </c>
      <c r="U710">
        <v>9.65</v>
      </c>
      <c r="V710" s="8">
        <v>0</v>
      </c>
      <c r="W710" s="7">
        <v>0</v>
      </c>
      <c r="X710" s="7">
        <v>0</v>
      </c>
      <c r="Y710">
        <v>0.2</v>
      </c>
      <c r="Z710" s="9">
        <v>0.4</v>
      </c>
      <c r="AB710">
        <v>0</v>
      </c>
      <c r="AC710">
        <v>0</v>
      </c>
      <c r="AD710">
        <v>14</v>
      </c>
      <c r="AE710">
        <v>5</v>
      </c>
      <c r="AF710">
        <v>9</v>
      </c>
      <c r="AG710">
        <v>1</v>
      </c>
      <c r="AH710">
        <v>2</v>
      </c>
      <c r="AI710" t="inlineStr">
        <is>
          <t>False</t>
        </is>
      </c>
      <c r="AJ710" s="2" t="str">
        <f>HYPERLINK("https://keepa.com/#!product/1-B0C6BJTCWB", "https://keepa.com/#!product/1-B0C6BJTCWB")</f>
      </c>
      <c r="AK710" s="2" t="str">
        <f>HYPERLINK("https://camelcamelcamel.com/search?sq=B0C6BJTCWB", "https://camelcamelcamel.com/search?sq=B0C6BJTCWB")</f>
      </c>
      <c r="AL710" t="inlineStr">
        <is>
          <t/>
        </is>
      </c>
      <c r="AM710" s="10">
        <v>45417.11111111111</v>
      </c>
      <c r="AN710" t="inlineStr">
        <is>
          <t>Alka-seltzer Plus PowerFast Fizz, Cough &amp; Chest Congestion Medicine, Cool Blueberry Pomegranate Effervescent Tablets, 24ct</t>
        </is>
      </c>
      <c r="AO710" t="inlineStr">
        <is>
          <t>2000</t>
        </is>
      </c>
      <c r="AP710" t="inlineStr">
        <is>
          <t>750</t>
        </is>
      </c>
    </row>
    <row r="711">
      <c r="A711" t="inlineStr">
        <is>
          <t>B0C6BLM2L7</t>
        </is>
      </c>
      <c r="B711" t="inlineStr">
        <is>
          <t>False</t>
        </is>
      </c>
      <c r="C711" t="inlineStr">
        <is>
          <t>B0C6BLM2L7</t>
        </is>
      </c>
      <c r="D711" t="inlineStr">
        <is>
          <t>Align</t>
        </is>
      </c>
      <c r="E711" t="inlineStr">
        <is>
          <t>False</t>
        </is>
      </c>
      <c r="F711" t="inlineStr">
        <is>
          <t>Align Probiotic, Probiotics for Women and Men, Daily Probiotic Supplement for Digestive Health*, 1 Recommended Probiotic by Doctors and Gastroenterologists, 77 Capsules</t>
        </is>
      </c>
      <c r="G711">
        <v>1</v>
      </c>
      <c r="H711" s="2" t="str">
        <f>HYPERLINK("https://www.amazon.com/dp/B0C6BLM2L7", "https://www.amazon.com/dp/B0C6BLM2L7")</f>
      </c>
      <c r="I711" s="3">
        <v>99</v>
      </c>
      <c r="J711" s="4">
        <v>7.79</v>
      </c>
      <c r="K711" s="5">
        <v>0.1417</v>
      </c>
      <c r="L711" s="5">
        <v>0.2242</v>
      </c>
      <c r="M711" t="inlineStr">
        <is>
          <t>True</t>
        </is>
      </c>
      <c r="N711" t="inlineStr">
        <is>
          <t>Health &amp; Household</t>
        </is>
      </c>
      <c r="O711" s="6">
        <v>102498</v>
      </c>
      <c r="P711" s="6">
        <v>83271</v>
      </c>
      <c r="Q711" s="6">
        <v>3492</v>
      </c>
      <c r="R711" s="6">
        <v>96</v>
      </c>
      <c r="S711" s="7">
        <v>34.75</v>
      </c>
      <c r="T711" s="7">
        <v>54.98</v>
      </c>
      <c r="U711">
        <v>54.98</v>
      </c>
      <c r="V711" s="8">
        <v>0</v>
      </c>
      <c r="W711" s="7">
        <v>0</v>
      </c>
      <c r="X711" s="7">
        <v>0</v>
      </c>
      <c r="Y711">
        <v>0.18</v>
      </c>
      <c r="Z711" s="8">
        <v>0</v>
      </c>
      <c r="AB711">
        <v>0</v>
      </c>
      <c r="AC711">
        <v>0</v>
      </c>
      <c r="AD711">
        <v>1</v>
      </c>
      <c r="AE711">
        <v>1</v>
      </c>
      <c r="AF711">
        <v>0</v>
      </c>
      <c r="AG711">
        <v>1</v>
      </c>
      <c r="AH711">
        <v>0</v>
      </c>
      <c r="AI711" t="inlineStr">
        <is>
          <t>False</t>
        </is>
      </c>
      <c r="AJ711" s="2" t="str">
        <f>HYPERLINK("https://keepa.com/#!product/1-B0C6BLM2L7", "https://keepa.com/#!product/1-B0C6BLM2L7")</f>
      </c>
      <c r="AK711" s="2" t="str">
        <f>HYPERLINK("https://camelcamelcamel.com/search?sq=B0C6BLM2L7", "https://camelcamelcamel.com/search?sq=B0C6BLM2L7")</f>
      </c>
      <c r="AL711" t="inlineStr">
        <is>
          <t/>
        </is>
      </c>
      <c r="AM711" s="10">
        <v>45417.11111111111</v>
      </c>
      <c r="AN711" t="inlineStr">
        <is>
          <t>Align Probiotic, Probiotics for Women and Men, Daily Probiotic Supplement for Digestive Health*, 1 Recommended Probiotic by Doctors and Gastroenterologists, 77 Capsules</t>
        </is>
      </c>
      <c r="AO711" t="inlineStr">
        <is>
          <t>3000</t>
        </is>
      </c>
      <c r="AP711" t="inlineStr">
        <is>
          <t>1000</t>
        </is>
      </c>
    </row>
    <row r="712">
      <c r="A712" t="inlineStr">
        <is>
          <t>B0C6QY1DRW</t>
        </is>
      </c>
      <c r="B712" t="inlineStr">
        <is>
          <t>False</t>
        </is>
      </c>
      <c r="C712" t="inlineStr">
        <is>
          <t>B0C6QY1DRW</t>
        </is>
      </c>
      <c r="D712" t="inlineStr">
        <is>
          <t>Sengled</t>
        </is>
      </c>
      <c r="E712" t="inlineStr">
        <is>
          <t>False</t>
        </is>
      </c>
      <c r="F712" t="inlineStr">
        <is>
          <t>Sengled LED Smart Light Bulb (A19), Matter-Enabled, Multicolor, Works with Alexa, 60W Equivalent, 800LM, Instant Pairing, 2.4 GHz, Wi-Fi, 1-Pack</t>
        </is>
      </c>
      <c r="G712">
        <v>1</v>
      </c>
      <c r="H712" s="2" t="str">
        <f>HYPERLINK("https://www.amazon.com/dp/B0C6QY1DRW", "https://www.amazon.com/dp/B0C6QY1DRW")</f>
      </c>
      <c r="I712" s="3">
        <v>9188</v>
      </c>
      <c r="J712" s="12">
        <v>-1.41</v>
      </c>
      <c r="K712" s="13">
        <v>-0.1417</v>
      </c>
      <c r="L712" s="13">
        <v>-0.2029</v>
      </c>
      <c r="M712" t="inlineStr">
        <is>
          <t>True</t>
        </is>
      </c>
      <c r="N712" t="inlineStr">
        <is>
          <t>Industrial &amp; Scientific</t>
        </is>
      </c>
      <c r="O712" s="6">
        <v>205</v>
      </c>
      <c r="P712" s="6">
        <v>1074</v>
      </c>
      <c r="Q712" s="6">
        <v>7</v>
      </c>
      <c r="R712" s="6">
        <v>213</v>
      </c>
      <c r="S712" s="7">
        <v>6.95</v>
      </c>
      <c r="T712" s="7">
        <v>9.95</v>
      </c>
      <c r="U712">
        <v>12.46</v>
      </c>
      <c r="V712" s="8">
        <v>0</v>
      </c>
      <c r="W712" s="7">
        <v>0</v>
      </c>
      <c r="X712" s="7">
        <v>0</v>
      </c>
      <c r="Y712">
        <v>0.15</v>
      </c>
      <c r="Z712" s="9">
        <v>0.94</v>
      </c>
      <c r="AB712">
        <v>0</v>
      </c>
      <c r="AC712">
        <v>0</v>
      </c>
      <c r="AD712">
        <v>35</v>
      </c>
      <c r="AE712">
        <v>16</v>
      </c>
      <c r="AF712">
        <v>6</v>
      </c>
      <c r="AG712">
        <v>4</v>
      </c>
      <c r="AH712">
        <v>3</v>
      </c>
      <c r="AI712" t="inlineStr">
        <is>
          <t>False</t>
        </is>
      </c>
      <c r="AJ712" s="2" t="str">
        <f>HYPERLINK("https://keepa.com/#!product/1-B0C6QY1DRW", "https://keepa.com/#!product/1-B0C6QY1DRW")</f>
      </c>
      <c r="AK712" s="2" t="str">
        <f>HYPERLINK("https://camelcamelcamel.com/search?sq=B0C6QY1DRW", "https://camelcamelcamel.com/search?sq=B0C6QY1DRW")</f>
      </c>
      <c r="AL712" t="inlineStr">
        <is>
          <t/>
        </is>
      </c>
      <c r="AM712" s="10">
        <v>45417.11111111111</v>
      </c>
      <c r="AN712" t="inlineStr">
        <is>
          <t>Sengled LED Smart Light Bulb (A19), Matter-Enabled, Multicolor, Works with Alexa, 60W Equivalent, 800LM, Instant Pairing, 2.4 GHz, Wi-Fi, 1-Pack</t>
        </is>
      </c>
      <c r="AO712" t="inlineStr">
        <is>
          <t>1000</t>
        </is>
      </c>
      <c r="AP712" t="inlineStr">
        <is>
          <t>TAKE ALL</t>
        </is>
      </c>
    </row>
    <row r="713">
      <c r="A713" t="inlineStr">
        <is>
          <t>B0C6XSY45C</t>
        </is>
      </c>
      <c r="B713" t="inlineStr">
        <is>
          <t>False</t>
        </is>
      </c>
      <c r="C713" t="inlineStr">
        <is>
          <t>B0C6XSY45C</t>
        </is>
      </c>
      <c r="D713" t="inlineStr">
        <is>
          <t>Hisense</t>
        </is>
      </c>
      <c r="E713" t="inlineStr">
        <is>
          <t>False</t>
        </is>
      </c>
      <c r="F713" t="inlineStr">
        <is>
          <t>Hisense 75-Inch Class U7 Series Mini-LED ULED 4K UHD Google Smart TV (75U7K) - QLED, Native 144Hz, 1000-Nit, Dolby Vision IQ, Full Array Local Dimming, Game Mode Pro, Alexa Compatibility</t>
        </is>
      </c>
      <c r="G713">
        <v>1</v>
      </c>
      <c r="H713" s="2" t="str">
        <f>HYPERLINK("https://www.amazon.com/dp/B0C6XSY45C", "https://www.amazon.com/dp/B0C6XSY45C")</f>
      </c>
      <c r="I713" s="17">
        <v>19</v>
      </c>
      <c r="J713" s="4">
        <v>318.61</v>
      </c>
      <c r="K713" s="5">
        <v>0.2623</v>
      </c>
      <c r="L713" s="15">
        <v>0.5355</v>
      </c>
      <c r="M713" t="inlineStr">
        <is>
          <t>True</t>
        </is>
      </c>
      <c r="N713" t="inlineStr">
        <is>
          <t>Electronics</t>
        </is>
      </c>
      <c r="O713" s="6">
        <v>113465</v>
      </c>
      <c r="P713" s="6">
        <v>36500</v>
      </c>
      <c r="Q713" s="6">
        <v>3844</v>
      </c>
      <c r="R713" s="6">
        <v>190</v>
      </c>
      <c r="S713" s="7">
        <v>595</v>
      </c>
      <c r="T713" s="7">
        <v>1214.9</v>
      </c>
      <c r="U713">
        <v>1019.01</v>
      </c>
      <c r="V713" s="8">
        <v>0</v>
      </c>
      <c r="W713" s="7">
        <v>0</v>
      </c>
      <c r="X713" s="7">
        <v>0</v>
      </c>
      <c r="Y713">
        <v>90</v>
      </c>
      <c r="Z713" s="9">
        <v>0.7</v>
      </c>
      <c r="AB713">
        <v>0</v>
      </c>
      <c r="AC713">
        <v>0</v>
      </c>
      <c r="AD713">
        <v>2</v>
      </c>
      <c r="AE713">
        <v>0</v>
      </c>
      <c r="AF713">
        <v>2</v>
      </c>
      <c r="AG713">
        <v>0</v>
      </c>
      <c r="AH713">
        <v>4</v>
      </c>
      <c r="AI713" t="inlineStr">
        <is>
          <t>False</t>
        </is>
      </c>
      <c r="AJ713" s="2" t="str">
        <f>HYPERLINK("https://keepa.com/#!product/1-B0C6XSY45C", "https://keepa.com/#!product/1-B0C6XSY45C")</f>
      </c>
      <c r="AK713" s="2" t="str">
        <f>HYPERLINK("https://camelcamelcamel.com/search?sq=B0C6XSY45C", "https://camelcamelcamel.com/search?sq=B0C6XSY45C")</f>
      </c>
      <c r="AL713" t="inlineStr">
        <is>
          <t/>
        </is>
      </c>
      <c r="AM713" s="10">
        <v>45417.11111111111</v>
      </c>
      <c r="AN713" t="inlineStr">
        <is>
          <t>Hisense 75-Inch Class U7 Series Mini-LED ULED 4K UHD Google Smart TV (75U7K, 2023 Model) - QLED, Native 144Hz, 1000-Nit, Dolby Vision IQ, Full Array Local Dimming, Game Mode Pro, Alexa Compatibility</t>
        </is>
      </c>
      <c r="AO713" t="inlineStr">
        <is>
          <t>120</t>
        </is>
      </c>
      <c r="AP713" t="inlineStr">
        <is>
          <t>60</t>
        </is>
      </c>
    </row>
    <row r="714">
      <c r="A714" t="inlineStr">
        <is>
          <t>B0C72WLSJ1</t>
        </is>
      </c>
      <c r="B714" t="inlineStr">
        <is>
          <t>False</t>
        </is>
      </c>
      <c r="C714" t="inlineStr">
        <is>
          <t>B0C72WLSJ1</t>
        </is>
      </c>
      <c r="D714" t="inlineStr">
        <is>
          <t>GE</t>
        </is>
      </c>
      <c r="E714" t="inlineStr">
        <is>
          <t>False</t>
        </is>
      </c>
      <c r="F714" t="inlineStr">
        <is>
          <t>GE Profile PFQ97HSPVDS 28 Inch Smart Front Load Washer/Dryer Combo with 4.8 cu.ft. Capacity, 12 Wash Cycles, 14 Dryer Cycles</t>
        </is>
      </c>
      <c r="G714">
        <v>1</v>
      </c>
      <c r="H714" s="2" t="str">
        <f>HYPERLINK("https://www.amazon.com/dp/B0C72WLSJ1", "https://www.amazon.com/dp/B0C72WLSJ1")</f>
      </c>
      <c r="I714" s="16">
        <v>38</v>
      </c>
      <c r="J714" s="12">
        <v>-498.2</v>
      </c>
      <c r="K714" s="13">
        <v>-0.2556</v>
      </c>
      <c r="L714" s="13">
        <v>-0.243</v>
      </c>
      <c r="M714" t="inlineStr">
        <is>
          <t>True</t>
        </is>
      </c>
      <c r="N714" t="inlineStr">
        <is>
          <t>Appliances</t>
        </is>
      </c>
      <c r="O714" s="6">
        <v>1028</v>
      </c>
      <c r="P714" s="6">
        <v>506</v>
      </c>
      <c r="Q714" s="6">
        <v>156</v>
      </c>
      <c r="R714" s="6">
        <v>215</v>
      </c>
      <c r="S714" s="7">
        <v>2050</v>
      </c>
      <c r="T714" s="7">
        <v>1949</v>
      </c>
      <c r="U714">
        <v>2162.12</v>
      </c>
      <c r="V714" s="8">
        <v>0</v>
      </c>
      <c r="W714" s="7">
        <v>0</v>
      </c>
      <c r="X714" s="7">
        <v>0</v>
      </c>
      <c r="Y714">
        <v>323</v>
      </c>
      <c r="Z714" s="8">
        <v>0</v>
      </c>
      <c r="AB714">
        <v>0</v>
      </c>
      <c r="AC714">
        <v>0</v>
      </c>
      <c r="AD714">
        <v>13</v>
      </c>
      <c r="AE714">
        <v>0</v>
      </c>
      <c r="AF714">
        <v>13</v>
      </c>
      <c r="AG714">
        <v>3</v>
      </c>
      <c r="AH714">
        <v>0</v>
      </c>
      <c r="AI714" t="inlineStr">
        <is>
          <t>False</t>
        </is>
      </c>
      <c r="AJ714" s="2" t="str">
        <f>HYPERLINK("https://keepa.com/#!product/1-B0C72WLSJ1", "https://keepa.com/#!product/1-B0C72WLSJ1")</f>
      </c>
      <c r="AK714" s="2" t="str">
        <f>HYPERLINK("https://camelcamelcamel.com/search?sq=B0C72WLSJ1", "https://camelcamelcamel.com/search?sq=B0C72WLSJ1")</f>
      </c>
      <c r="AL714" t="inlineStr">
        <is>
          <t/>
        </is>
      </c>
      <c r="AM714" s="10">
        <v>45417.11111111111</v>
      </c>
      <c r="AN714" t="inlineStr">
        <is>
          <t>GE Profile PFQ97HSPVDS 28 Inch Smart Front Load Washer/Dryer Combo with 4.8 cu.ft. Capacity, 12 Wash Cycles, 14 Dryer Cycles</t>
        </is>
      </c>
      <c r="AO714" t="inlineStr">
        <is>
          <t>50</t>
        </is>
      </c>
      <c r="AP714" t="inlineStr">
        <is>
          <t>TAKE ALL</t>
        </is>
      </c>
    </row>
    <row r="715">
      <c r="A715" t="inlineStr">
        <is>
          <t>B0C73465S2</t>
        </is>
      </c>
      <c r="B715" t="inlineStr">
        <is>
          <t>False</t>
        </is>
      </c>
      <c r="C715" t="inlineStr">
        <is>
          <t>B0C73465S2</t>
        </is>
      </c>
      <c r="D715" t="inlineStr">
        <is>
          <t>Zivigo</t>
        </is>
      </c>
      <c r="E715" t="inlineStr">
        <is>
          <t>False</t>
        </is>
      </c>
      <c r="F715" t="inlineStr">
        <is>
          <t>3 PreparationH Medicated Hemorrhoidal Flushable Wipes Maximum Strength Relief with Witch Hazel and Aloe, 60 Ct - Duvilo Bundled with 3 Lens Cleaning Cloth,</t>
        </is>
      </c>
      <c r="G715">
        <v>1</v>
      </c>
      <c r="H715" s="2" t="str">
        <f>HYPERLINK("https://www.amazon.com/dp/B0C73465S2", "https://www.amazon.com/dp/B0C73465S2")</f>
      </c>
      <c r="I715" s="3">
        <v>1158</v>
      </c>
      <c r="J715" s="12">
        <v>-2.98</v>
      </c>
      <c r="K715" s="13">
        <v>-0.22260000000000002</v>
      </c>
      <c r="L715" s="13">
        <v>-0.3506</v>
      </c>
      <c r="M715" t="inlineStr">
        <is>
          <t>True</t>
        </is>
      </c>
      <c r="N715" t="inlineStr">
        <is>
          <t>Health &amp; Household</t>
        </is>
      </c>
      <c r="O715" s="6">
        <v>20069</v>
      </c>
      <c r="P715" s="6">
        <v>34224</v>
      </c>
      <c r="Q715" s="6">
        <v>12395</v>
      </c>
      <c r="R715" s="6">
        <v>166</v>
      </c>
      <c r="S715" s="7">
        <v>8.5</v>
      </c>
      <c r="T715" s="7">
        <v>13.39</v>
      </c>
      <c r="U715">
        <v>16.3</v>
      </c>
      <c r="V715" s="8">
        <v>0</v>
      </c>
      <c r="W715" s="7">
        <v>0</v>
      </c>
      <c r="X715" s="7">
        <v>0</v>
      </c>
      <c r="Y715">
        <v>1.94</v>
      </c>
      <c r="Z715" s="8">
        <v>0</v>
      </c>
      <c r="AB715">
        <v>0</v>
      </c>
      <c r="AC715">
        <v>0</v>
      </c>
      <c r="AD715">
        <v>15</v>
      </c>
      <c r="AE715">
        <v>12</v>
      </c>
      <c r="AF715">
        <v>3</v>
      </c>
      <c r="AG715">
        <v>8</v>
      </c>
      <c r="AH715">
        <v>0</v>
      </c>
      <c r="AI715" t="inlineStr">
        <is>
          <t>False</t>
        </is>
      </c>
      <c r="AJ715" s="2" t="str">
        <f>HYPERLINK("https://keepa.com/#!product/1-B0C73465S2", "https://keepa.com/#!product/1-B0C73465S2")</f>
      </c>
      <c r="AK715" s="2" t="str">
        <f>HYPERLINK("https://camelcamelcamel.com/search?sq=B0C73465S2", "https://camelcamelcamel.com/search?sq=B0C73465S2")</f>
      </c>
      <c r="AL715" t="inlineStr">
        <is>
          <t/>
        </is>
      </c>
      <c r="AM715" s="10">
        <v>45417.11111111111</v>
      </c>
      <c r="AN715" t="inlineStr">
        <is>
          <t>3 PreparationH Medicated Hemorrhoidal Flushable Wipes Maximum Strength Relief with Witch Hazel and Aloe, 60 Ct - Duvilo Bundled with 3 Lens Cleaning Cloth,</t>
        </is>
      </c>
      <c r="AO715" t="inlineStr">
        <is>
          <t>3000</t>
        </is>
      </c>
      <c r="AP715" t="inlineStr">
        <is>
          <t>1500</t>
        </is>
      </c>
    </row>
    <row r="716">
      <c r="A716" t="inlineStr">
        <is>
          <t>B0C81SMH88</t>
        </is>
      </c>
      <c r="B716" t="inlineStr">
        <is>
          <t>False</t>
        </is>
      </c>
      <c r="C716" t="inlineStr">
        <is>
          <t>B0C81SMH88</t>
        </is>
      </c>
      <c r="D716" t="inlineStr">
        <is>
          <t>Black Rifle Coffee Company</t>
        </is>
      </c>
      <c r="E716" t="inlineStr">
        <is>
          <t>False</t>
        </is>
      </c>
      <c r="F716" t="inlineStr">
        <is>
          <t>Black Rifle Coffee Company Headless Horseman, Pumpkin Spice Flavored Medium Roast Ground Coffee, 12 OZ Bag</t>
        </is>
      </c>
      <c r="G716">
        <v>1</v>
      </c>
      <c r="H716" s="2" t="str">
        <f>HYPERLINK("https://www.amazon.com/dp/B0C81SMH88", "https://www.amazon.com/dp/B0C81SMH88")</f>
      </c>
      <c r="I716" s="3">
        <v>4546</v>
      </c>
      <c r="J716" s="12">
        <v>-4.36</v>
      </c>
      <c r="K716" s="13">
        <v>-0.3148</v>
      </c>
      <c r="L716" s="13">
        <v>-0.3488</v>
      </c>
      <c r="M716" t="inlineStr">
        <is>
          <t>True</t>
        </is>
      </c>
      <c r="N716" t="inlineStr">
        <is>
          <t>Grocery &amp; Gourmet Food</t>
        </is>
      </c>
      <c r="O716" s="6">
        <v>1256</v>
      </c>
      <c r="P716" s="6">
        <v>1074</v>
      </c>
      <c r="Q716" s="6">
        <v>714</v>
      </c>
      <c r="R716" s="6">
        <v>238</v>
      </c>
      <c r="S716" s="7">
        <v>12.5</v>
      </c>
      <c r="T716" s="7">
        <v>13.85</v>
      </c>
      <c r="U716">
        <v>16.52</v>
      </c>
      <c r="V716" s="8">
        <v>0</v>
      </c>
      <c r="W716" s="7">
        <v>0</v>
      </c>
      <c r="X716" s="7">
        <v>0</v>
      </c>
      <c r="Y716">
        <v>0.77</v>
      </c>
      <c r="Z716" s="9">
        <v>0.87</v>
      </c>
      <c r="AB716">
        <v>0</v>
      </c>
      <c r="AC716">
        <v>0</v>
      </c>
      <c r="AD716">
        <v>11</v>
      </c>
      <c r="AE716">
        <v>10</v>
      </c>
      <c r="AF716">
        <v>1</v>
      </c>
      <c r="AG716">
        <v>4</v>
      </c>
      <c r="AH716">
        <v>14</v>
      </c>
      <c r="AI716" t="inlineStr">
        <is>
          <t>False</t>
        </is>
      </c>
      <c r="AJ716" s="2" t="str">
        <f>HYPERLINK("https://keepa.com/#!product/1-B0C81SMH88", "https://keepa.com/#!product/1-B0C81SMH88")</f>
      </c>
      <c r="AK716" s="2" t="str">
        <f>HYPERLINK("https://camelcamelcamel.com/search?sq=B0C81SMH88", "https://camelcamelcamel.com/search?sq=B0C81SMH88")</f>
      </c>
      <c r="AL716" t="inlineStr">
        <is>
          <t/>
        </is>
      </c>
      <c r="AM716" s="10">
        <v>45417.11111111111</v>
      </c>
      <c r="AN716" t="inlineStr">
        <is>
          <t>Black Rifle Coffee Company Headless Horseman, Pumpkin Spice Flavored Medium Roast Ground Coffee, 12 OZ Bag</t>
        </is>
      </c>
      <c r="AO716" t="inlineStr">
        <is>
          <t>250</t>
        </is>
      </c>
      <c r="AP716" t="inlineStr">
        <is>
          <t>TAKE ALL</t>
        </is>
      </c>
    </row>
    <row r="717">
      <c r="A717" t="inlineStr">
        <is>
          <t>B0C8BT4PQB</t>
        </is>
      </c>
      <c r="B717" t="inlineStr">
        <is>
          <t>False</t>
        </is>
      </c>
      <c r="C717" t="inlineStr">
        <is>
          <t>B0C8BT4PQB</t>
        </is>
      </c>
      <c r="D717" t="inlineStr">
        <is>
          <t>Excalibur</t>
        </is>
      </c>
      <c r="E717" t="inlineStr">
        <is>
          <t>False</t>
        </is>
      </c>
      <c r="F717" t="inlineStr">
        <is>
          <t>Excalibur Electric Food Dehydrator Select Series 10-Tray with Adjustable Temperature Control Includes Chrome Plated Drying Trays Stainless Steel Construction and Glass French Doors, 800-Watts, Black</t>
        </is>
      </c>
      <c r="G717">
        <v>1</v>
      </c>
      <c r="H717" s="2" t="str">
        <f>HYPERLINK("https://www.amazon.com/dp/B0C8BT4PQB", "https://www.amazon.com/dp/B0C8BT4PQB")</f>
      </c>
      <c r="I717" s="3">
        <v>465</v>
      </c>
      <c r="J717" s="12">
        <v>-19.19</v>
      </c>
      <c r="K717" s="13">
        <v>-0.0872</v>
      </c>
      <c r="L717" s="13">
        <v>-0.1351</v>
      </c>
      <c r="M717" t="inlineStr">
        <is>
          <t>True</t>
        </is>
      </c>
      <c r="N717" t="inlineStr">
        <is>
          <t>Kitchen &amp; Dining</t>
        </is>
      </c>
      <c r="O717" s="6">
        <v>16121</v>
      </c>
      <c r="P717" s="6">
        <v>28057</v>
      </c>
      <c r="Q717" s="6">
        <v>14201</v>
      </c>
      <c r="R717" s="6">
        <v>157</v>
      </c>
      <c r="S717" s="7">
        <v>142</v>
      </c>
      <c r="T717" s="7">
        <v>220.18</v>
      </c>
      <c r="U717">
        <v>272.67</v>
      </c>
      <c r="V717" s="8">
        <v>0</v>
      </c>
      <c r="W717" s="7">
        <v>0</v>
      </c>
      <c r="X717" s="7">
        <v>0</v>
      </c>
      <c r="Y717">
        <v>36.6</v>
      </c>
      <c r="Z717" s="9">
        <v>1</v>
      </c>
      <c r="AB717">
        <v>0</v>
      </c>
      <c r="AC717">
        <v>0</v>
      </c>
      <c r="AD717">
        <v>9</v>
      </c>
      <c r="AE717">
        <v>3</v>
      </c>
      <c r="AF717">
        <v>2</v>
      </c>
      <c r="AG717">
        <v>3</v>
      </c>
      <c r="AH717">
        <v>4</v>
      </c>
      <c r="AI717" t="inlineStr">
        <is>
          <t>False</t>
        </is>
      </c>
      <c r="AJ717" s="2" t="str">
        <f>HYPERLINK("https://keepa.com/#!product/1-B0C8BT4PQB", "https://keepa.com/#!product/1-B0C8BT4PQB")</f>
      </c>
      <c r="AK717" s="2" t="str">
        <f>HYPERLINK("https://camelcamelcamel.com/search?sq=B0C8BT4PQB", "https://camelcamelcamel.com/search?sq=B0C8BT4PQB")</f>
      </c>
      <c r="AL717" t="inlineStr">
        <is>
          <t/>
        </is>
      </c>
      <c r="AM717" s="10">
        <v>45417.11111111111</v>
      </c>
      <c r="AN717" t="inlineStr">
        <is>
          <t>Excalibur Electric Food Dehydrator Select Series 10-Tray with Adjustable Temperature Control Includes Chrome Plated Drying Trays Stainless Steel Construction and Glass French Doors, 800-Watts, Black</t>
        </is>
      </c>
      <c r="AO717" t="inlineStr">
        <is>
          <t>200</t>
        </is>
      </c>
      <c r="AP717" t="inlineStr">
        <is>
          <t>TAKE ALL</t>
        </is>
      </c>
    </row>
    <row r="718">
      <c r="A718" t="inlineStr">
        <is>
          <t>B0C8LM4ZZD</t>
        </is>
      </c>
      <c r="B718" t="inlineStr">
        <is>
          <t>False</t>
        </is>
      </c>
      <c r="C718" t="inlineStr">
        <is>
          <t>B0C8LM4ZZD</t>
        </is>
      </c>
      <c r="D718" t="inlineStr">
        <is>
          <t>Dell</t>
        </is>
      </c>
      <c r="E718" t="inlineStr">
        <is>
          <t>True</t>
        </is>
      </c>
      <c r="F718" t="inlineStr">
        <is>
          <t>Dell 14-Inch FHD LED Portable Monitor with Dual-Screen Productivity, in-Plane Switching, USB-C Connectivity, Low Blue Light, and Display Manager Software</t>
        </is>
      </c>
      <c r="G718">
        <v>1</v>
      </c>
      <c r="H718" s="2" t="str">
        <f>HYPERLINK("https://www.amazon.com/dp/B0C8LM4ZZD", "https://www.amazon.com/dp/B0C8LM4ZZD")</f>
      </c>
      <c r="I718" s="3">
        <v>710</v>
      </c>
      <c r="J718" s="4">
        <v>25.37</v>
      </c>
      <c r="K718" s="5">
        <v>0.12560000000000002</v>
      </c>
      <c r="L718" s="5">
        <v>0.1664</v>
      </c>
      <c r="M718" t="inlineStr">
        <is>
          <t>True</t>
        </is>
      </c>
      <c r="N718" t="inlineStr">
        <is>
          <t>Electronics</t>
        </is>
      </c>
      <c r="O718" s="6">
        <v>5952</v>
      </c>
      <c r="P718" s="6">
        <v>7201</v>
      </c>
      <c r="Q718" s="6">
        <v>3073</v>
      </c>
      <c r="R718" s="6">
        <v>222</v>
      </c>
      <c r="S718" s="7">
        <v>152.5</v>
      </c>
      <c r="T718" s="7">
        <v>202.02</v>
      </c>
      <c r="U718">
        <v>218.86</v>
      </c>
      <c r="V718" s="8">
        <v>0</v>
      </c>
      <c r="W718" s="7">
        <v>0</v>
      </c>
      <c r="X718" s="7">
        <v>0</v>
      </c>
      <c r="Y718">
        <v>2.69</v>
      </c>
      <c r="Z718" s="9">
        <v>0.82</v>
      </c>
      <c r="AB718">
        <v>0</v>
      </c>
      <c r="AC718">
        <v>0</v>
      </c>
      <c r="AD718">
        <v>14</v>
      </c>
      <c r="AE718">
        <v>3</v>
      </c>
      <c r="AF718">
        <v>11</v>
      </c>
      <c r="AG718">
        <v>1</v>
      </c>
      <c r="AH718">
        <v>0</v>
      </c>
      <c r="AI718" t="inlineStr">
        <is>
          <t>False</t>
        </is>
      </c>
      <c r="AJ718" s="2" t="str">
        <f>HYPERLINK("https://keepa.com/#!product/1-B0C8LM4ZZD", "https://keepa.com/#!product/1-B0C8LM4ZZD")</f>
      </c>
      <c r="AK718" s="2" t="str">
        <f>HYPERLINK("https://camelcamelcamel.com/search?sq=B0C8LM4ZZD", "https://camelcamelcamel.com/search?sq=B0C8LM4ZZD")</f>
      </c>
      <c r="AL718" t="inlineStr">
        <is>
          <t/>
        </is>
      </c>
      <c r="AM718" s="10">
        <v>45417.11111111111</v>
      </c>
      <c r="AN718" t="inlineStr">
        <is>
          <t>Dell 14-Inch FHD LED Portable Monitor with Dual-Screen Productivity, in-Plane Switching, USB-C Connectivity, Low Blue Light, and Display Manager Software</t>
        </is>
      </c>
      <c r="AO718" t="inlineStr">
        <is>
          <t>200</t>
        </is>
      </c>
      <c r="AP718" t="inlineStr">
        <is>
          <t>TAKE ALL</t>
        </is>
      </c>
    </row>
    <row r="719">
      <c r="A719" t="inlineStr">
        <is>
          <t>B0C8TJTBMR</t>
        </is>
      </c>
      <c r="B719" t="inlineStr">
        <is>
          <t>False</t>
        </is>
      </c>
      <c r="C719" t="inlineStr">
        <is>
          <t>B0C8TJTBMR</t>
        </is>
      </c>
      <c r="D719" t="inlineStr">
        <is>
          <t>Bird Buddy</t>
        </is>
      </c>
      <c r="E719" t="inlineStr">
        <is>
          <t>False</t>
        </is>
      </c>
      <c r="F719" t="inlineStr">
        <is>
          <t>BIRD BUDDY® Original Smart Bird Feeder with Camera Solar Powered. High Resolution AI Camera for Beautiful Close-up Shots and a Unique Bird Watching Experience</t>
        </is>
      </c>
      <c r="G719">
        <v>1</v>
      </c>
      <c r="H719" s="2" t="str">
        <f>HYPERLINK("https://www.amazon.com/dp/B0C8TJTBMR", "https://www.amazon.com/dp/B0C8TJTBMR")</f>
      </c>
      <c r="I719" s="3">
        <v>1748</v>
      </c>
      <c r="J719" s="4">
        <v>69.79</v>
      </c>
      <c r="K719" s="5">
        <v>0.2334</v>
      </c>
      <c r="L719" s="15">
        <v>0.4046</v>
      </c>
      <c r="M719" t="inlineStr">
        <is>
          <t>True</t>
        </is>
      </c>
      <c r="N719" t="inlineStr">
        <is>
          <t>Patio, Lawn &amp; Garden</t>
        </is>
      </c>
      <c r="O719" s="6">
        <v>3591</v>
      </c>
      <c r="P719" s="6">
        <v>8348</v>
      </c>
      <c r="Q719" s="6">
        <v>894</v>
      </c>
      <c r="R719" s="6">
        <v>255</v>
      </c>
      <c r="S719" s="7">
        <v>172.5</v>
      </c>
      <c r="T719" s="7">
        <v>299</v>
      </c>
      <c r="U719">
        <v>269.44</v>
      </c>
      <c r="V719" s="8">
        <v>0</v>
      </c>
      <c r="W719" s="7">
        <v>0</v>
      </c>
      <c r="X719" s="7">
        <v>0</v>
      </c>
      <c r="Y719">
        <v>3.59</v>
      </c>
      <c r="Z719" s="8">
        <v>0</v>
      </c>
      <c r="AB719">
        <v>0</v>
      </c>
      <c r="AC719">
        <v>0</v>
      </c>
      <c r="AD719">
        <v>1</v>
      </c>
      <c r="AE719">
        <v>1</v>
      </c>
      <c r="AF719">
        <v>0</v>
      </c>
      <c r="AG719">
        <v>1</v>
      </c>
      <c r="AH719">
        <v>1</v>
      </c>
      <c r="AI719" t="inlineStr">
        <is>
          <t>True</t>
        </is>
      </c>
      <c r="AJ719" s="2" t="str">
        <f>HYPERLINK("https://keepa.com/#!product/1-B0C8TJTBMR", "https://keepa.com/#!product/1-B0C8TJTBMR")</f>
      </c>
      <c r="AK719" s="2" t="str">
        <f>HYPERLINK("https://camelcamelcamel.com/search?sq=B0C8TJTBMR", "https://camelcamelcamel.com/search?sq=B0C8TJTBMR")</f>
      </c>
      <c r="AL719" t="inlineStr">
        <is>
          <t/>
        </is>
      </c>
      <c r="AM719" s="10">
        <v>45417.11111111111</v>
      </c>
      <c r="AN719" t="inlineStr">
        <is>
          <t>BIRD BUDDYÂ® Original Smart Bird Feeder with Camera Solar Powered. High Resolution AI Camera for Beautiful Close-up Shots and a Unique Bird Watching Experience</t>
        </is>
      </c>
      <c r="AO719" t="inlineStr">
        <is>
          <t>400</t>
        </is>
      </c>
      <c r="AP719" t="inlineStr">
        <is>
          <t>TAKE ALL</t>
        </is>
      </c>
    </row>
    <row r="720">
      <c r="A720" t="inlineStr">
        <is>
          <t>B0C9TNW1F3</t>
        </is>
      </c>
      <c r="B720" t="inlineStr">
        <is>
          <t>False</t>
        </is>
      </c>
      <c r="C720" t="inlineStr">
        <is>
          <t>B0C9TNW1F3</t>
        </is>
      </c>
      <c r="D720" t="inlineStr">
        <is>
          <t>AIRHOT</t>
        </is>
      </c>
      <c r="E720" t="inlineStr">
        <is>
          <t>False</t>
        </is>
      </c>
      <c r="F720" t="inlineStr">
        <is>
          <t>AIRHOT Walking Pad Treadmill, 2.5HP Under Desk Treadmill with Remote Control &amp; LED Display, Quiet Desk Treadmill for Compact Space, Portable Treadmill for Home Office Use, White</t>
        </is>
      </c>
      <c r="G720">
        <v>1</v>
      </c>
      <c r="H720" s="2" t="str">
        <f>HYPERLINK("https://www.amazon.com/dp/B0C9TNW1F3", "https://www.amazon.com/dp/B0C9TNW1F3")</f>
      </c>
      <c r="I720" s="3">
        <v>443</v>
      </c>
      <c r="J720" s="12">
        <v>-44.94</v>
      </c>
      <c r="K720" s="13">
        <v>-0.2937</v>
      </c>
      <c r="L720" s="13">
        <v>-0.3497</v>
      </c>
      <c r="M720" t="inlineStr">
        <is>
          <t>True</t>
        </is>
      </c>
      <c r="N720" t="inlineStr">
        <is>
          <t>Sports &amp; Outdoors</t>
        </is>
      </c>
      <c r="O720" s="6">
        <v>15206</v>
      </c>
      <c r="P720" s="6">
        <v>7112</v>
      </c>
      <c r="Q720" s="6">
        <v>578</v>
      </c>
      <c r="R720" s="6">
        <v>201</v>
      </c>
      <c r="S720" s="7">
        <v>128.5</v>
      </c>
      <c r="T720" s="7">
        <v>152.99</v>
      </c>
      <c r="U720">
        <v>202.6</v>
      </c>
      <c r="V720" s="8">
        <v>0</v>
      </c>
      <c r="W720" s="7">
        <v>0</v>
      </c>
      <c r="X720" s="7">
        <v>0</v>
      </c>
      <c r="Y720">
        <v>53</v>
      </c>
      <c r="Z720" s="8">
        <v>0</v>
      </c>
      <c r="AB720">
        <v>0</v>
      </c>
      <c r="AC720">
        <v>0</v>
      </c>
      <c r="AD720">
        <v>3</v>
      </c>
      <c r="AE720">
        <v>0</v>
      </c>
      <c r="AF720">
        <v>1</v>
      </c>
      <c r="AG720">
        <v>1</v>
      </c>
      <c r="AH720">
        <v>7</v>
      </c>
      <c r="AI720" t="inlineStr">
        <is>
          <t>True</t>
        </is>
      </c>
      <c r="AJ720" s="2" t="str">
        <f>HYPERLINK("https://keepa.com/#!product/1-B0C9TNW1F3", "https://keepa.com/#!product/1-B0C9TNW1F3")</f>
      </c>
      <c r="AK720" s="2" t="str">
        <f>HYPERLINK("https://camelcamelcamel.com/search?sq=B0C9TNW1F3", "https://camelcamelcamel.com/search?sq=B0C9TNW1F3")</f>
      </c>
      <c r="AL720" t="inlineStr">
        <is>
          <t/>
        </is>
      </c>
      <c r="AM720" s="10">
        <v>45417.11111111111</v>
      </c>
      <c r="AN720" t="inlineStr">
        <is>
          <t>AIRHOT Walking Pad Treadmill, 2.5HP Under Desk Treadmill with Remote Control &amp; LED Display, Quiet Desk Treadmill for Compact Space, Portable Treadmill for Home Office Use</t>
        </is>
      </c>
      <c r="AO720" t="inlineStr">
        <is>
          <t>400</t>
        </is>
      </c>
      <c r="AP720" t="inlineStr">
        <is>
          <t>200</t>
        </is>
      </c>
    </row>
    <row r="721">
      <c r="A721" t="inlineStr">
        <is>
          <t>B0CB3ZPD4K</t>
        </is>
      </c>
      <c r="B721" t="inlineStr">
        <is>
          <t>False</t>
        </is>
      </c>
      <c r="C721" t="inlineStr">
        <is>
          <t>B0CB3ZPD4K</t>
        </is>
      </c>
      <c r="D721" t="inlineStr">
        <is>
          <t>MAMNV</t>
        </is>
      </c>
      <c r="E721" t="inlineStr">
        <is>
          <t>False</t>
        </is>
      </c>
      <c r="F721" t="inlineStr">
        <is>
          <t>Robot Vacuum and Mop Combo, 2 in 1 Mopping Robot Vacuum Cleaner with Schedule, Wi-Fi/App, 1400Pa Max Suction, Self-Charging Robotic Vacuum, Slim, Ideal for Hard Floor, Pet Hair, Low-Pile Carpet</t>
        </is>
      </c>
      <c r="G721">
        <v>1</v>
      </c>
      <c r="H721" s="2" t="str">
        <f>HYPERLINK("https://www.amazon.com/dp/B0CB3ZPD4K", "https://www.amazon.com/dp/B0CB3ZPD4K")</f>
      </c>
      <c r="I721" s="3">
        <v>451</v>
      </c>
      <c r="J721" s="12">
        <v>-128.14</v>
      </c>
      <c r="K721" s="13">
        <v>-1.0768</v>
      </c>
      <c r="L721" s="13">
        <v>-0.5825</v>
      </c>
      <c r="M721" t="inlineStr">
        <is>
          <t>True</t>
        </is>
      </c>
      <c r="N721" t="inlineStr">
        <is>
          <t>Home &amp; Kitchen</t>
        </is>
      </c>
      <c r="O721" s="6">
        <v>60080</v>
      </c>
      <c r="P721" s="6">
        <v>20020</v>
      </c>
      <c r="Q721" s="6">
        <v>944</v>
      </c>
      <c r="R721" s="6">
        <v>218</v>
      </c>
      <c r="S721" s="7">
        <v>220</v>
      </c>
      <c r="T721" s="7">
        <v>119</v>
      </c>
      <c r="U721">
        <v>162.76</v>
      </c>
      <c r="V721" s="8">
        <v>0</v>
      </c>
      <c r="W721" s="7">
        <v>0</v>
      </c>
      <c r="X721" s="7">
        <v>0</v>
      </c>
      <c r="Y721">
        <v>7.98</v>
      </c>
      <c r="Z721" s="8">
        <v>0</v>
      </c>
      <c r="AB721">
        <v>0</v>
      </c>
      <c r="AC721">
        <v>0</v>
      </c>
      <c r="AD721">
        <v>40</v>
      </c>
      <c r="AE721">
        <v>24</v>
      </c>
      <c r="AF721">
        <v>15</v>
      </c>
      <c r="AG721">
        <v>3</v>
      </c>
      <c r="AH721">
        <v>2</v>
      </c>
      <c r="AI721" t="inlineStr">
        <is>
          <t>True</t>
        </is>
      </c>
      <c r="AJ721" s="2" t="str">
        <f>HYPERLINK("https://keepa.com/#!product/1-B0CB3ZPD4K", "https://keepa.com/#!product/1-B0CB3ZPD4K")</f>
      </c>
      <c r="AK721" s="2" t="str">
        <f>HYPERLINK("https://camelcamelcamel.com/search?sq=B0CB3ZPD4K", "https://camelcamelcamel.com/search?sq=B0CB3ZPD4K")</f>
      </c>
      <c r="AL721" t="inlineStr">
        <is>
          <t/>
        </is>
      </c>
      <c r="AM721" s="10">
        <v>45417.11111111111</v>
      </c>
      <c r="AN721" t="inlineStr">
        <is>
          <t>Robot Vacuum and Mop Combo, 2 in 1 Mopping Robot Vacuum Cleaner with Schedule, Wi-Fi/App/Alexa, 1400Pa Max Suction, Self-Charging Robotic Vacuum, Slim, Ideal for Hard Floor, Pet Hair, Low-Pile Carpet</t>
        </is>
      </c>
      <c r="AO721" t="inlineStr">
        <is>
          <t>500</t>
        </is>
      </c>
      <c r="AP721" t="inlineStr">
        <is>
          <t>200</t>
        </is>
      </c>
    </row>
    <row r="722">
      <c r="A722" t="inlineStr">
        <is>
          <t>B0CBNP2TFH</t>
        </is>
      </c>
      <c r="B722" t="inlineStr">
        <is>
          <t>False</t>
        </is>
      </c>
      <c r="C722" t="inlineStr">
        <is>
          <t>B0CBNP2TFH</t>
        </is>
      </c>
      <c r="D722" t="inlineStr">
        <is>
          <t>PDP</t>
        </is>
      </c>
      <c r="E722" t="inlineStr">
        <is>
          <t>False</t>
        </is>
      </c>
      <c r="F722" t="inlineStr">
        <is>
          <t>PDP REALMz™ Nintendo Switch Pro Controller, Customizable LED Lighting, 3.5mm Headphone Jack, Officially Licensed by Nintendo and SEGA: Sonic Superstars (Sonic Green Hill Zone)</t>
        </is>
      </c>
      <c r="G722">
        <v>1</v>
      </c>
      <c r="H722" s="2" t="str">
        <f>HYPERLINK("https://www.amazon.com/dp/B0CBNP2TFH", "https://www.amazon.com/dp/B0CBNP2TFH")</f>
      </c>
      <c r="I722" s="3">
        <v>189</v>
      </c>
      <c r="J722" s="12">
        <v>-2.53</v>
      </c>
      <c r="K722" s="13">
        <v>-0.09570000000000001</v>
      </c>
      <c r="L722" s="13">
        <v>-0.1332</v>
      </c>
      <c r="M722" t="inlineStr">
        <is>
          <t>True</t>
        </is>
      </c>
      <c r="N722" t="inlineStr">
        <is>
          <t>Video Games</t>
        </is>
      </c>
      <c r="O722" s="6">
        <v>5017</v>
      </c>
      <c r="P722" s="6">
        <v>11869</v>
      </c>
      <c r="Q722" s="6">
        <v>5017</v>
      </c>
      <c r="R722" s="6">
        <v>133</v>
      </c>
      <c r="S722" s="7">
        <v>19</v>
      </c>
      <c r="T722" s="7">
        <v>26.43</v>
      </c>
      <c r="U722">
        <v>30.66</v>
      </c>
      <c r="V722" s="8">
        <v>0</v>
      </c>
      <c r="W722" s="7">
        <v>0</v>
      </c>
      <c r="X722" s="7">
        <v>0</v>
      </c>
      <c r="Y722">
        <v>0.57</v>
      </c>
      <c r="Z722" s="9">
        <v>1</v>
      </c>
      <c r="AB722">
        <v>0</v>
      </c>
      <c r="AC722">
        <v>0</v>
      </c>
      <c r="AD722">
        <v>11</v>
      </c>
      <c r="AE722">
        <v>3</v>
      </c>
      <c r="AF722">
        <v>6</v>
      </c>
      <c r="AG722">
        <v>1</v>
      </c>
      <c r="AH722">
        <v>9</v>
      </c>
      <c r="AI722" t="inlineStr">
        <is>
          <t>False</t>
        </is>
      </c>
      <c r="AJ722" s="2" t="str">
        <f>HYPERLINK("https://keepa.com/#!product/1-B0CBNP2TFH", "https://keepa.com/#!product/1-B0CBNP2TFH")</f>
      </c>
      <c r="AK722" s="2" t="str">
        <f>HYPERLINK("https://camelcamelcamel.com/search?sq=B0CBNP2TFH", "https://camelcamelcamel.com/search?sq=B0CBNP2TFH")</f>
      </c>
      <c r="AL722" t="inlineStr">
        <is>
          <t/>
        </is>
      </c>
      <c r="AM722" s="10">
        <v>45417.11111111111</v>
      </c>
      <c r="AN722" t="inlineStr">
        <is>
          <t>REALMz Wired LED Light-Up Pro Controller for Nintendo Switch / OLED Model - Sonic Superstars: Sonic Green Hill Zone</t>
        </is>
      </c>
      <c r="AO722" t="inlineStr">
        <is>
          <t>296</t>
        </is>
      </c>
      <c r="AP722" t="inlineStr">
        <is>
          <t>TAKE ALL</t>
        </is>
      </c>
    </row>
    <row r="723">
      <c r="A723" t="inlineStr">
        <is>
          <t>B0CBNPT61K</t>
        </is>
      </c>
      <c r="B723" t="inlineStr">
        <is>
          <t>False</t>
        </is>
      </c>
      <c r="C723" t="inlineStr">
        <is>
          <t>B0CBNPT61K</t>
        </is>
      </c>
      <c r="D723" t="inlineStr">
        <is>
          <t>PDP</t>
        </is>
      </c>
      <c r="E723" t="inlineStr">
        <is>
          <t>False</t>
        </is>
      </c>
      <c r="F723" t="inlineStr">
        <is>
          <t>PDP Afterglow™ Wave Enhanced Wired Nintendo Switch Pro Controller, 8 Colors RGB LED, Dual Programmable Gaming Buttons, Volume Control, 3.5mm headphone jack, Officially Licensed by Nintendo, Grey</t>
        </is>
      </c>
      <c r="G723">
        <v>1</v>
      </c>
      <c r="H723" s="2" t="str">
        <f>HYPERLINK("https://www.amazon.com/dp/B0CBNPT61K", "https://www.amazon.com/dp/B0CBNPT61K")</f>
      </c>
      <c r="I723" s="3">
        <v>146</v>
      </c>
      <c r="J723" s="11">
        <v>3.9</v>
      </c>
      <c r="K723" s="5">
        <v>0.1393</v>
      </c>
      <c r="L723" s="5">
        <v>0.2889</v>
      </c>
      <c r="M723" t="inlineStr">
        <is>
          <t>True</t>
        </is>
      </c>
      <c r="N723" t="inlineStr">
        <is>
          <t>Video Games</t>
        </is>
      </c>
      <c r="O723" s="6">
        <v>6235</v>
      </c>
      <c r="P723" s="6">
        <v>9221</v>
      </c>
      <c r="Q723" s="6">
        <v>2933</v>
      </c>
      <c r="R723" s="6">
        <v>161</v>
      </c>
      <c r="S723" s="7">
        <v>13.5</v>
      </c>
      <c r="T723" s="7">
        <v>28</v>
      </c>
      <c r="U723">
        <v>28.65</v>
      </c>
      <c r="V723" s="8">
        <v>0</v>
      </c>
      <c r="W723" s="7">
        <v>0</v>
      </c>
      <c r="X723" s="7">
        <v>0</v>
      </c>
      <c r="Y723">
        <v>0.82</v>
      </c>
      <c r="Z723" s="9">
        <v>1</v>
      </c>
      <c r="AB723">
        <v>0</v>
      </c>
      <c r="AC723">
        <v>0</v>
      </c>
      <c r="AD723">
        <v>11</v>
      </c>
      <c r="AE723">
        <v>3</v>
      </c>
      <c r="AF723">
        <v>2</v>
      </c>
      <c r="AG723">
        <v>1</v>
      </c>
      <c r="AH723">
        <v>4</v>
      </c>
      <c r="AI723" t="inlineStr">
        <is>
          <t>False</t>
        </is>
      </c>
      <c r="AJ723" s="2" t="str">
        <f>HYPERLINK("https://keepa.com/#!product/1-B0CBNPT61K", "https://keepa.com/#!product/1-B0CBNPT61K")</f>
      </c>
      <c r="AK723" s="2" t="str">
        <f>HYPERLINK("https://camelcamelcamel.com/search?sq=B0CBNPT61K", "https://camelcamelcamel.com/search?sq=B0CBNPT61K")</f>
      </c>
      <c r="AL723" t="inlineStr">
        <is>
          <t/>
        </is>
      </c>
      <c r="AM723" s="10">
        <v>45417.11111111111</v>
      </c>
      <c r="AN723" t="inlineStr">
        <is>
          <t>PDP Afterglowâ„¢ Wave Wired LED Controller for Nintendo Switch, Nintendo Switch/OLED - Grey</t>
        </is>
      </c>
      <c r="AO723" t="inlineStr">
        <is>
          <t>327</t>
        </is>
      </c>
      <c r="AP723" t="inlineStr">
        <is>
          <t>TAKE ALL</t>
        </is>
      </c>
    </row>
    <row r="724">
      <c r="A724" t="inlineStr">
        <is>
          <t>B0CBTT21T3</t>
        </is>
      </c>
      <c r="B724" t="inlineStr">
        <is>
          <t>False</t>
        </is>
      </c>
      <c r="C724" t="inlineStr">
        <is>
          <t>B0CBTT21T3</t>
        </is>
      </c>
      <c r="D724" t="inlineStr">
        <is>
          <t>amzchef</t>
        </is>
      </c>
      <c r="E724" t="inlineStr">
        <is>
          <t>False</t>
        </is>
      </c>
      <c r="F724" t="inlineStr">
        <is>
          <t>30 Inch Cooktop,AMZCHEF Electric Cooktop Built-in Electric Burner with 5 Burners, 240V Power Touchscreen Control Cooktop 8500W Electric Stove with Hot Surface Indicator</t>
        </is>
      </c>
      <c r="G724">
        <v>1</v>
      </c>
      <c r="H724" s="2" t="str">
        <f>HYPERLINK("https://www.amazon.com/dp/B0CBTT21T3", "https://www.amazon.com/dp/B0CBTT21T3")</f>
      </c>
      <c r="I724" s="3">
        <v>245</v>
      </c>
      <c r="J724" s="4">
        <v>91.3</v>
      </c>
      <c r="K724" s="5">
        <v>0.2767</v>
      </c>
      <c r="L724" s="15">
        <v>0.5418</v>
      </c>
      <c r="M724" t="inlineStr">
        <is>
          <t>True</t>
        </is>
      </c>
      <c r="N724" t="inlineStr">
        <is>
          <t>Appliances</t>
        </is>
      </c>
      <c r="O724" s="6">
        <v>254</v>
      </c>
      <c r="P724" s="6">
        <v>380</v>
      </c>
      <c r="Q724" s="6">
        <v>115</v>
      </c>
      <c r="R724" s="6">
        <v>196</v>
      </c>
      <c r="S724" s="7">
        <v>168.5</v>
      </c>
      <c r="T724" s="7">
        <v>329.99</v>
      </c>
      <c r="U724">
        <v>319.52</v>
      </c>
      <c r="V724" s="8">
        <v>0</v>
      </c>
      <c r="W724" s="7">
        <v>0</v>
      </c>
      <c r="X724" s="7">
        <v>0</v>
      </c>
      <c r="Y724">
        <v>31.35</v>
      </c>
      <c r="Z724" s="8">
        <v>0</v>
      </c>
      <c r="AB724">
        <v>0</v>
      </c>
      <c r="AC724">
        <v>0</v>
      </c>
      <c r="AD724">
        <v>3</v>
      </c>
      <c r="AE724">
        <v>1</v>
      </c>
      <c r="AF724">
        <v>0</v>
      </c>
      <c r="AG724">
        <v>1</v>
      </c>
      <c r="AH724">
        <v>4</v>
      </c>
      <c r="AI724" t="inlineStr">
        <is>
          <t>False</t>
        </is>
      </c>
      <c r="AJ724" s="2" t="str">
        <f>HYPERLINK("https://keepa.com/#!product/1-B0CBTT21T3", "https://keepa.com/#!product/1-B0CBTT21T3")</f>
      </c>
      <c r="AK724" s="2" t="str">
        <f>HYPERLINK("https://camelcamelcamel.com/search?sq=B0CBTT21T3", "https://camelcamelcamel.com/search?sq=B0CBTT21T3")</f>
      </c>
      <c r="AL724" t="inlineStr">
        <is>
          <t/>
        </is>
      </c>
      <c r="AM724" s="10">
        <v>45417.11111111111</v>
      </c>
      <c r="AN724" t="inlineStr">
        <is>
          <t>30 Inch Cooktop,AMZCHEF Electric Cooktop Built-in Electric Burner with 5 Burners, 240V Power Touchscreen Control Cooktop 8500W Electric Stove with Hot Surface Indicator</t>
        </is>
      </c>
      <c r="AO724" t="inlineStr">
        <is>
          <t>95</t>
        </is>
      </c>
      <c r="AP724" t="inlineStr">
        <is>
          <t>TAKE ALL</t>
        </is>
      </c>
    </row>
    <row r="725">
      <c r="A725" t="inlineStr">
        <is>
          <t>B0CCZSCS3D</t>
        </is>
      </c>
      <c r="B725" t="inlineStr">
        <is>
          <t>False</t>
        </is>
      </c>
      <c r="C725" t="inlineStr">
        <is>
          <t>B0CCZSCS3D</t>
        </is>
      </c>
      <c r="D725" t="inlineStr">
        <is>
          <t>Metamucil</t>
        </is>
      </c>
      <c r="E725" t="inlineStr">
        <is>
          <t>False</t>
        </is>
      </c>
      <c r="F725" t="inlineStr">
        <is>
          <t>Metamucil Fiber Supplement Gummies Plus Vitamins C, D, &amp; B12, No Sugar Added, 5g Prebiotic Plant-Based Fiber Blend for Digestive Health, Citrus Berry Flavored, 120 Gummies</t>
        </is>
      </c>
      <c r="G725">
        <v>1</v>
      </c>
      <c r="H725" s="2" t="str">
        <f>HYPERLINK("https://www.amazon.com/dp/B0CCZSCS3D", "https://www.amazon.com/dp/B0CCZSCS3D")</f>
      </c>
      <c r="I725" s="3">
        <v>40901</v>
      </c>
      <c r="J725" s="4">
        <v>6.4</v>
      </c>
      <c r="K725" s="5">
        <v>0.2078</v>
      </c>
      <c r="L725" s="15">
        <v>0.4339</v>
      </c>
      <c r="M725" t="inlineStr">
        <is>
          <t>True</t>
        </is>
      </c>
      <c r="N725" t="inlineStr">
        <is>
          <t>Health &amp; Household</t>
        </is>
      </c>
      <c r="O725" s="6">
        <v>253</v>
      </c>
      <c r="P725" s="6">
        <v>293</v>
      </c>
      <c r="Q725" s="6">
        <v>238</v>
      </c>
      <c r="R725" s="6">
        <v>234</v>
      </c>
      <c r="S725" s="7">
        <v>14.75</v>
      </c>
      <c r="T725" s="7">
        <v>30.8</v>
      </c>
      <c r="U725">
        <v>30.91</v>
      </c>
      <c r="V725" s="8">
        <v>0</v>
      </c>
      <c r="W725" s="7">
        <v>0</v>
      </c>
      <c r="X725" s="7">
        <v>0</v>
      </c>
      <c r="Y725">
        <v>1.23</v>
      </c>
      <c r="Z725" s="9">
        <v>1</v>
      </c>
      <c r="AB725">
        <v>0</v>
      </c>
      <c r="AC725">
        <v>0</v>
      </c>
      <c r="AD725">
        <v>2</v>
      </c>
      <c r="AE725">
        <v>1</v>
      </c>
      <c r="AF725">
        <v>1</v>
      </c>
      <c r="AG725">
        <v>1</v>
      </c>
      <c r="AH725">
        <v>3</v>
      </c>
      <c r="AI725" t="inlineStr">
        <is>
          <t>False</t>
        </is>
      </c>
      <c r="AJ725" s="2" t="str">
        <f>HYPERLINK("https://keepa.com/#!product/1-B0CCZSCS3D", "https://keepa.com/#!product/1-B0CCZSCS3D")</f>
      </c>
      <c r="AK725" s="2" t="str">
        <f>HYPERLINK("https://camelcamelcamel.com/search?sq=B0CCZSCS3D", "https://camelcamelcamel.com/search?sq=B0CCZSCS3D")</f>
      </c>
      <c r="AL725" t="inlineStr">
        <is>
          <t/>
        </is>
      </c>
      <c r="AM725" s="10">
        <v>45417.11111111111</v>
      </c>
      <c r="AN725" t="inlineStr">
        <is>
          <t>Metamucil Fiber Supplement Gummies Plus Vitamins C, D, &amp; B12, No Sugar Added, 5g Prebiotic Plant-Based Fiber Blend for Digestive Health, Citrus Berry Flavored, 120 Gummies</t>
        </is>
      </c>
      <c r="AO725" t="inlineStr">
        <is>
          <t>132</t>
        </is>
      </c>
      <c r="AP725" t="inlineStr">
        <is>
          <t>TAKE ALL</t>
        </is>
      </c>
    </row>
    <row r="726">
      <c r="A726" t="inlineStr">
        <is>
          <t>B0CD76DLGX</t>
        </is>
      </c>
      <c r="B726" t="inlineStr">
        <is>
          <t>False</t>
        </is>
      </c>
      <c r="C726" t="inlineStr">
        <is>
          <t>B0CD76DLGX</t>
        </is>
      </c>
      <c r="D726" t="inlineStr">
        <is>
          <t>Joy Pebble</t>
        </is>
      </c>
      <c r="E726" t="inlineStr">
        <is>
          <t>False</t>
        </is>
      </c>
      <c r="F726" t="inlineStr">
        <is>
          <t>Joy Pebble Nugget Ice Maker Dispenser, Self Dispensing Pellet Ice Maker, 44lbs/24H, 15mins Quick Ice Make, 3.3lbs Ice Storage, Ice Full Indicator, Self-Cleaning, Home, Kitchen, Bar, Party</t>
        </is>
      </c>
      <c r="G726">
        <v>1</v>
      </c>
      <c r="H726" s="2" t="str">
        <f>HYPERLINK("https://www.amazon.com/dp/B0CD76DLGX", "https://www.amazon.com/dp/B0CD76DLGX")</f>
      </c>
      <c r="I726" s="14">
        <v>5</v>
      </c>
      <c r="J726" s="4">
        <v>86.38</v>
      </c>
      <c r="K726" s="5">
        <v>0.2273</v>
      </c>
      <c r="L726" s="15">
        <v>0.3882</v>
      </c>
      <c r="M726" t="inlineStr">
        <is>
          <t>True</t>
        </is>
      </c>
      <c r="N726" t="inlineStr">
        <is>
          <t>Appliances</t>
        </is>
      </c>
      <c r="O726" s="6">
        <v>3402</v>
      </c>
      <c r="P726" s="6">
        <v>1797</v>
      </c>
      <c r="Q726" s="6">
        <v>391</v>
      </c>
      <c r="R726" s="6">
        <v>101</v>
      </c>
      <c r="S726" s="7">
        <v>222.5</v>
      </c>
      <c r="T726" s="7">
        <v>379.98</v>
      </c>
      <c r="U726">
        <v>382.43</v>
      </c>
      <c r="V726" s="8">
        <v>0</v>
      </c>
      <c r="W726" s="7">
        <v>0</v>
      </c>
      <c r="X726" s="7">
        <v>0</v>
      </c>
      <c r="Y726">
        <v>38.4</v>
      </c>
      <c r="Z726" s="9">
        <v>0.18</v>
      </c>
      <c r="AB726">
        <v>0</v>
      </c>
      <c r="AC726">
        <v>0</v>
      </c>
      <c r="AD726">
        <v>1</v>
      </c>
      <c r="AE726">
        <v>0</v>
      </c>
      <c r="AF726">
        <v>1</v>
      </c>
      <c r="AG726">
        <v>1</v>
      </c>
      <c r="AH726">
        <v>0</v>
      </c>
      <c r="AI726" t="inlineStr">
        <is>
          <t>True</t>
        </is>
      </c>
      <c r="AJ726" s="2" t="str">
        <f>HYPERLINK("https://keepa.com/#!product/1-B0CD76DLGX", "https://keepa.com/#!product/1-B0CD76DLGX")</f>
      </c>
      <c r="AK726" s="2" t="str">
        <f>HYPERLINK("https://camelcamelcamel.com/search?sq=B0CD76DLGX", "https://camelcamelcamel.com/search?sq=B0CD76DLGX")</f>
      </c>
      <c r="AL726" t="inlineStr">
        <is>
          <t/>
        </is>
      </c>
      <c r="AM726" s="10">
        <v>45417.11111111111</v>
      </c>
      <c r="AN726" t="inlineStr">
        <is>
          <t>Joy Pebble Ice Maker, Self Dispensing Countertop Nugget Ice Maker, 44lbs/24H, 15 mins Quick IceMaking, Ice Indicator, Self-Cleaning, Crushed Ice Maker countertop for Kitchen Home Party</t>
        </is>
      </c>
      <c r="AO726" t="inlineStr">
        <is>
          <t>110</t>
        </is>
      </c>
      <c r="AP726" t="inlineStr">
        <is>
          <t>TAKE ALL</t>
        </is>
      </c>
    </row>
    <row r="727">
      <c r="A727" t="inlineStr">
        <is>
          <t>B0CDBWF1TF</t>
        </is>
      </c>
      <c r="B727" t="inlineStr">
        <is>
          <t>False</t>
        </is>
      </c>
      <c r="C727" t="inlineStr">
        <is>
          <t>B0CDBWF1TF</t>
        </is>
      </c>
      <c r="D727" t="inlineStr">
        <is>
          <t>PDP</t>
        </is>
      </c>
      <c r="E727" t="inlineStr">
        <is>
          <t>False</t>
        </is>
      </c>
      <c r="F727" t="inlineStr">
        <is>
          <t>PDP REMATCH GLOW Controller &amp; Travel Case GLOW Bundle: Sheikah Shoot For Nintendo Switch, Nintendo Switch Lite, Nintendo Switch - OLED Model</t>
        </is>
      </c>
      <c r="G727">
        <v>1</v>
      </c>
      <c r="H727" s="2" t="str">
        <f>HYPERLINK("https://www.amazon.com/dp/B0CDBWF1TF", "https://www.amazon.com/dp/B0CDBWF1TF")</f>
      </c>
      <c r="I727" s="16">
        <v>53</v>
      </c>
      <c r="J727" s="12">
        <v>-2.67</v>
      </c>
      <c r="K727" s="13">
        <v>-0.1405</v>
      </c>
      <c r="L727" s="13">
        <v>-0.2427</v>
      </c>
      <c r="M727" t="inlineStr">
        <is>
          <t>True</t>
        </is>
      </c>
      <c r="N727" t="inlineStr">
        <is>
          <t>Video Games</t>
        </is>
      </c>
      <c r="O727" s="6">
        <v>13460</v>
      </c>
      <c r="P727" s="6">
        <v>33160</v>
      </c>
      <c r="Q727" s="6">
        <v>4145</v>
      </c>
      <c r="R727" s="6">
        <v>55</v>
      </c>
      <c r="S727" s="7">
        <v>11</v>
      </c>
      <c r="T727" s="7">
        <v>19</v>
      </c>
      <c r="U727">
        <v>25.33</v>
      </c>
      <c r="V727" s="8">
        <v>0</v>
      </c>
      <c r="W727" s="7">
        <v>0</v>
      </c>
      <c r="X727" s="7">
        <v>0</v>
      </c>
      <c r="Y727">
        <v>1.61</v>
      </c>
      <c r="Z727" s="9">
        <v>1</v>
      </c>
      <c r="AB727">
        <v>0</v>
      </c>
      <c r="AC727">
        <v>0</v>
      </c>
      <c r="AD727">
        <v>3</v>
      </c>
      <c r="AE727">
        <v>1</v>
      </c>
      <c r="AF727">
        <v>1</v>
      </c>
      <c r="AG727">
        <v>1</v>
      </c>
      <c r="AH727">
        <v>0</v>
      </c>
      <c r="AI727" t="inlineStr">
        <is>
          <t>False</t>
        </is>
      </c>
      <c r="AJ727" s="2" t="str">
        <f>HYPERLINK("https://keepa.com/#!product/1-B0CDBWF1TF", "https://keepa.com/#!product/1-B0CDBWF1TF")</f>
      </c>
      <c r="AK727" s="2" t="str">
        <f>HYPERLINK("https://camelcamelcamel.com/search?sq=B0CDBWF1TF", "https://camelcamelcamel.com/search?sq=B0CDBWF1TF")</f>
      </c>
      <c r="AL727" t="inlineStr">
        <is>
          <t/>
        </is>
      </c>
      <c r="AM727" s="10">
        <v>45417.11111111111</v>
      </c>
      <c r="AN727" t="inlineStr">
        <is>
          <t>PDP REMATCH GLOW Controller &amp; Travel Case GLOW Bundle: Sheikah Shoot For Nintendo Switch, Nintendo Switch Lite, Nintendo Switch - OLED Model</t>
        </is>
      </c>
      <c r="AO727" t="inlineStr">
        <is>
          <t>105</t>
        </is>
      </c>
      <c r="AP727" t="inlineStr">
        <is>
          <t>TAKE ALL</t>
        </is>
      </c>
    </row>
    <row r="728">
      <c r="A728" t="inlineStr">
        <is>
          <t>B0CDNZQF9G</t>
        </is>
      </c>
      <c r="B728" t="inlineStr">
        <is>
          <t>False</t>
        </is>
      </c>
      <c r="C728" t="inlineStr">
        <is>
          <t>B0CDNZQF9G</t>
        </is>
      </c>
      <c r="D728" t="inlineStr">
        <is>
          <t>ONE</t>
        </is>
      </c>
      <c r="E728" t="inlineStr">
        <is>
          <t>False</t>
        </is>
      </c>
      <c r="F728" t="inlineStr">
        <is>
          <t>ONE Protein Bars, Peanut Butter &amp; Jelly, Gluten Free Protein Bars with 20g Protein and only 1g Sugar, Guilt-Free Snacking for High Protein Diets, 2.12 oz (12 Count)</t>
        </is>
      </c>
      <c r="G728">
        <v>1</v>
      </c>
      <c r="H728" s="2" t="str">
        <f>HYPERLINK("https://www.amazon.com/dp/B0CDNZQF9G", "https://www.amazon.com/dp/B0CDNZQF9G")</f>
      </c>
      <c r="I728" s="3">
        <v>29787</v>
      </c>
      <c r="J728" s="11">
        <v>3.17</v>
      </c>
      <c r="K728" s="5">
        <v>0.1076</v>
      </c>
      <c r="L728" s="5">
        <v>0.1981</v>
      </c>
      <c r="M728" t="inlineStr">
        <is>
          <t>True</t>
        </is>
      </c>
      <c r="N728" t="inlineStr">
        <is>
          <t>Health &amp; Household</t>
        </is>
      </c>
      <c r="O728" s="6">
        <v>466</v>
      </c>
      <c r="P728" s="6">
        <v>520</v>
      </c>
      <c r="Q728" s="6">
        <v>137</v>
      </c>
      <c r="R728" s="6">
        <v>220</v>
      </c>
      <c r="S728" s="7">
        <v>16</v>
      </c>
      <c r="T728" s="7">
        <v>29.45</v>
      </c>
      <c r="U728">
        <v>23.87</v>
      </c>
      <c r="V728" s="8">
        <v>0</v>
      </c>
      <c r="W728" s="7">
        <v>0</v>
      </c>
      <c r="X728" s="7">
        <v>0</v>
      </c>
      <c r="Y728">
        <v>1.81</v>
      </c>
      <c r="Z728" s="9">
        <v>1</v>
      </c>
      <c r="AB728">
        <v>0</v>
      </c>
      <c r="AC728">
        <v>0</v>
      </c>
      <c r="AD728">
        <v>4</v>
      </c>
      <c r="AE728">
        <v>2</v>
      </c>
      <c r="AF728">
        <v>2</v>
      </c>
      <c r="AG728">
        <v>2</v>
      </c>
      <c r="AH728">
        <v>17</v>
      </c>
      <c r="AI728" t="inlineStr">
        <is>
          <t>False</t>
        </is>
      </c>
      <c r="AJ728" s="2" t="str">
        <f>HYPERLINK("https://keepa.com/#!product/1-B0CDNZQF9G", "https://keepa.com/#!product/1-B0CDNZQF9G")</f>
      </c>
      <c r="AK728" s="2" t="str">
        <f>HYPERLINK("https://camelcamelcamel.com/search?sq=B0CDNZQF9G", "https://camelcamelcamel.com/search?sq=B0CDNZQF9G")</f>
      </c>
      <c r="AL728" t="inlineStr">
        <is>
          <t/>
        </is>
      </c>
      <c r="AM728" s="10">
        <v>45417.11111111111</v>
      </c>
      <c r="AN728" t="inlineStr">
        <is>
          <t>ONE Protein Bars, Peanut Butter &amp; Jelly, Gluten Free Protein Bars with 20g Protein and only 1g Sugar, Guilt-Free Snacking for High Protein Diets, 2.12 oz (12 Count)</t>
        </is>
      </c>
      <c r="AO728" t="inlineStr">
        <is>
          <t>646</t>
        </is>
      </c>
      <c r="AP728" t="inlineStr">
        <is>
          <t>TAKE ALL</t>
        </is>
      </c>
    </row>
    <row r="729">
      <c r="A729" t="inlineStr">
        <is>
          <t>B0CDQW6Q7W</t>
        </is>
      </c>
      <c r="B729" t="inlineStr">
        <is>
          <t>False</t>
        </is>
      </c>
      <c r="C729" t="inlineStr">
        <is>
          <t>B0CDQW6Q7W</t>
        </is>
      </c>
      <c r="D729" t="inlineStr">
        <is>
          <t>Dyson</t>
        </is>
      </c>
      <c r="E729" t="inlineStr">
        <is>
          <t>False</t>
        </is>
      </c>
      <c r="F729" t="inlineStr">
        <is>
          <t>Dyson Purifier Hot+Cool™ Gen1 HP10</t>
        </is>
      </c>
      <c r="G729">
        <v>1</v>
      </c>
      <c r="H729" s="2" t="str">
        <f>HYPERLINK("https://www.amazon.com/dp/B0CDQW6Q7W", "https://www.amazon.com/dp/B0CDQW6Q7W")</f>
      </c>
      <c r="I729" s="3">
        <v>653</v>
      </c>
      <c r="J729" s="4">
        <v>33.86</v>
      </c>
      <c r="K729" s="5">
        <v>0.065</v>
      </c>
      <c r="L729" s="5">
        <v>0.08710000000000001</v>
      </c>
      <c r="M729" t="inlineStr">
        <is>
          <t>True</t>
        </is>
      </c>
      <c r="N729" t="inlineStr">
        <is>
          <t>Home &amp; Kitchen</t>
        </is>
      </c>
      <c r="O729" s="6">
        <v>41606</v>
      </c>
      <c r="P729" s="6">
        <v>27454</v>
      </c>
      <c r="Q729" s="6">
        <v>661</v>
      </c>
      <c r="R729" s="6">
        <v>185</v>
      </c>
      <c r="S729" s="7">
        <v>388.88</v>
      </c>
      <c r="T729" s="7">
        <v>521.24</v>
      </c>
      <c r="U729">
        <v>492.67</v>
      </c>
      <c r="V729" s="8">
        <v>0</v>
      </c>
      <c r="W729" s="7">
        <v>0</v>
      </c>
      <c r="X729" s="7">
        <v>0</v>
      </c>
      <c r="Y729">
        <v>16.1</v>
      </c>
      <c r="Z729" s="9">
        <v>0.9</v>
      </c>
      <c r="AB729">
        <v>0</v>
      </c>
      <c r="AC729">
        <v>0</v>
      </c>
      <c r="AD729">
        <v>33</v>
      </c>
      <c r="AE729">
        <v>6</v>
      </c>
      <c r="AF729">
        <v>5</v>
      </c>
      <c r="AG729">
        <v>6</v>
      </c>
      <c r="AH729">
        <v>3</v>
      </c>
      <c r="AI729" t="inlineStr">
        <is>
          <t>True</t>
        </is>
      </c>
      <c r="AJ729" s="2" t="str">
        <f>HYPERLINK("https://keepa.com/#!product/1-B0CDQW6Q7W", "https://keepa.com/#!product/1-B0CDQW6Q7W")</f>
      </c>
      <c r="AK729" s="2" t="str">
        <f>HYPERLINK("https://camelcamelcamel.com/search?sq=B0CDQW6Q7W", "https://camelcamelcamel.com/search?sq=B0CDQW6Q7W")</f>
      </c>
      <c r="AL729" t="inlineStr">
        <is>
          <t/>
        </is>
      </c>
      <c r="AM729" s="10">
        <v>45417.11111111111</v>
      </c>
      <c r="AN729" t="inlineStr">
        <is>
          <t>Dyson Purifier Hot+Coolâ„¢ Gen1 HP10</t>
        </is>
      </c>
      <c r="AO729" t="inlineStr">
        <is>
          <t>800</t>
        </is>
      </c>
      <c r="AP729" t="inlineStr">
        <is>
          <t>TAKE ALL</t>
        </is>
      </c>
    </row>
    <row r="730">
      <c r="A730" t="inlineStr">
        <is>
          <t>B0CF9RK5CF</t>
        </is>
      </c>
      <c r="B730" t="inlineStr">
        <is>
          <t>False</t>
        </is>
      </c>
      <c r="C730" t="inlineStr">
        <is>
          <t>B0CF9RK5CF</t>
        </is>
      </c>
      <c r="D730" t="inlineStr">
        <is>
          <t>Amatic</t>
        </is>
      </c>
      <c r="E730" t="inlineStr">
        <is>
          <t>False</t>
        </is>
      </c>
      <c r="F730" t="inlineStr">
        <is>
          <t>3 Tier Foldable Rolling Cart with Wheels, Folding Utility Cart Organizer, Collapsible Rolling Storage Cart with 3 Hanging Cups &amp; 6 Hooks for Kitchen, Office, Nursery(Black)</t>
        </is>
      </c>
      <c r="G730">
        <v>1</v>
      </c>
      <c r="H730" s="2" t="str">
        <f>HYPERLINK("https://www.amazon.com/dp/B0CF9RK5CF", "https://www.amazon.com/dp/B0CF9RK5CF")</f>
      </c>
      <c r="I730" s="3">
        <v>261</v>
      </c>
      <c r="J730" s="11">
        <v>2.97</v>
      </c>
      <c r="K730" s="5">
        <v>0.0675</v>
      </c>
      <c r="L730" s="5">
        <v>0.12119999999999999</v>
      </c>
      <c r="M730" t="inlineStr">
        <is>
          <t>True</t>
        </is>
      </c>
      <c r="N730" t="inlineStr">
        <is>
          <t>Office Products</t>
        </is>
      </c>
      <c r="O730" s="6">
        <v>21087</v>
      </c>
      <c r="P730" s="6">
        <v>24310</v>
      </c>
      <c r="Q730" s="6">
        <v>12702</v>
      </c>
      <c r="R730" s="6">
        <v>138</v>
      </c>
      <c r="S730" s="7">
        <v>24.5</v>
      </c>
      <c r="T730" s="7">
        <v>43.99</v>
      </c>
      <c r="U730">
        <v>42.45</v>
      </c>
      <c r="V730" s="8">
        <v>0</v>
      </c>
      <c r="W730" s="7">
        <v>0</v>
      </c>
      <c r="X730" s="7">
        <v>0</v>
      </c>
      <c r="Y730">
        <v>10.91</v>
      </c>
      <c r="Z730" s="8">
        <v>0</v>
      </c>
      <c r="AB730">
        <v>0</v>
      </c>
      <c r="AC730">
        <v>0</v>
      </c>
      <c r="AD730">
        <v>1</v>
      </c>
      <c r="AE730">
        <v>1</v>
      </c>
      <c r="AF730">
        <v>0</v>
      </c>
      <c r="AG730">
        <v>1</v>
      </c>
      <c r="AH730">
        <v>2</v>
      </c>
      <c r="AI730" t="inlineStr">
        <is>
          <t>False</t>
        </is>
      </c>
      <c r="AJ730" s="2" t="str">
        <f>HYPERLINK("https://keepa.com/#!product/1-B0CF9RK5CF", "https://keepa.com/#!product/1-B0CF9RK5CF")</f>
      </c>
      <c r="AK730" s="2" t="str">
        <f>HYPERLINK("https://camelcamelcamel.com/search?sq=B0CF9RK5CF", "https://camelcamelcamel.com/search?sq=B0CF9RK5CF")</f>
      </c>
      <c r="AL730" t="inlineStr">
        <is>
          <t/>
        </is>
      </c>
      <c r="AM730" s="10">
        <v>45417.11111111111</v>
      </c>
      <c r="AN730" t="inlineStr">
        <is>
          <t>3 Tier Foldable Rolling Cart with Wheels, Folding Utility Cart Organizer, Collapsible Rolling Storage Cart with 3 Hanging Cups &amp; 6 Hooks for Kitchen, Office, Nursery(Black)</t>
        </is>
      </c>
      <c r="AO730" t="inlineStr">
        <is>
          <t>350</t>
        </is>
      </c>
      <c r="AP730" t="inlineStr">
        <is>
          <t>TAKE ALL</t>
        </is>
      </c>
    </row>
    <row r="731">
      <c r="A731" t="inlineStr">
        <is>
          <t>B0CFPSN288</t>
        </is>
      </c>
      <c r="B731" t="inlineStr">
        <is>
          <t>False</t>
        </is>
      </c>
      <c r="C731" t="inlineStr">
        <is>
          <t>B0CFPSN288</t>
        </is>
      </c>
      <c r="D731" t="inlineStr">
        <is>
          <t>Ka'Chava</t>
        </is>
      </c>
      <c r="E731" t="inlineStr">
        <is>
          <t>False</t>
        </is>
      </c>
      <c r="F731" t="inlineStr">
        <is>
          <t>Ka’Chava All-In-One Nutrition Shake Blend, Coconut Acai, 85+ Superfoods, Nutrients &amp; Plant-Based Ingredi Vitamins and Minerals, 25g Plant-Based Protein, 2lb</t>
        </is>
      </c>
      <c r="G731">
        <v>1</v>
      </c>
      <c r="H731" s="2" t="str">
        <f>HYPERLINK("https://www.amazon.com/dp/B0CFPSN288", "https://www.amazon.com/dp/B0CFPSN288")</f>
      </c>
      <c r="I731" s="3">
        <v>9035</v>
      </c>
      <c r="J731" s="4">
        <v>23.1</v>
      </c>
      <c r="K731" s="5">
        <v>0.2888</v>
      </c>
      <c r="L731" s="15">
        <v>0.6</v>
      </c>
      <c r="M731" t="inlineStr">
        <is>
          <t>True</t>
        </is>
      </c>
      <c r="N731" t="inlineStr">
        <is>
          <t>Grocery &amp; Gourmet Food</t>
        </is>
      </c>
      <c r="O731" s="6">
        <v>310</v>
      </c>
      <c r="P731" s="6">
        <v>800</v>
      </c>
      <c r="Q731" s="6">
        <v>271</v>
      </c>
      <c r="R731" s="6">
        <v>241</v>
      </c>
      <c r="S731" s="7">
        <v>38.5</v>
      </c>
      <c r="T731" s="7">
        <v>79.99</v>
      </c>
      <c r="U731">
        <v>67.54</v>
      </c>
      <c r="V731" s="8">
        <v>0</v>
      </c>
      <c r="W731" s="7">
        <v>0</v>
      </c>
      <c r="X731" s="7">
        <v>0</v>
      </c>
      <c r="Y731">
        <v>2.15</v>
      </c>
      <c r="Z731" s="9">
        <v>0.53</v>
      </c>
      <c r="AB731">
        <v>0</v>
      </c>
      <c r="AC731">
        <v>0</v>
      </c>
      <c r="AD731">
        <v>1</v>
      </c>
      <c r="AE731">
        <v>0</v>
      </c>
      <c r="AF731">
        <v>1</v>
      </c>
      <c r="AG731">
        <v>1</v>
      </c>
      <c r="AH731">
        <v>8</v>
      </c>
      <c r="AI731" t="inlineStr">
        <is>
          <t>False</t>
        </is>
      </c>
      <c r="AJ731" s="2" t="str">
        <f>HYPERLINK("https://keepa.com/#!product/1-B0CFPSN288", "https://keepa.com/#!product/1-B0CFPSN288")</f>
      </c>
      <c r="AK731" s="2" t="str">
        <f>HYPERLINK("https://camelcamelcamel.com/search?sq=B0CFPSN288", "https://camelcamelcamel.com/search?sq=B0CFPSN288")</f>
      </c>
      <c r="AL731" t="inlineStr">
        <is>
          <t/>
        </is>
      </c>
      <c r="AM731" s="10">
        <v>45417.11111111111</v>
      </c>
      <c r="AN731" t="inlineStr">
        <is>
          <t>Kaâ€™Chava All-In-One Nutrition Shake Blend, Coconut Acai, 85+ Superfoods, Nutrients &amp; Plant-Based Ingredi Vitamins and Minerals, 25g Plant-Based Protein, 2lb</t>
        </is>
      </c>
      <c r="AO731" t="inlineStr">
        <is>
          <t>1728</t>
        </is>
      </c>
      <c r="AP731" t="inlineStr">
        <is>
          <t>576</t>
        </is>
      </c>
    </row>
    <row r="732">
      <c r="A732" t="inlineStr">
        <is>
          <t>B0CFQMKJBX</t>
        </is>
      </c>
      <c r="B732" t="inlineStr">
        <is>
          <t>False</t>
        </is>
      </c>
      <c r="C732" t="inlineStr">
        <is>
          <t>B0CFQMKJBX</t>
        </is>
      </c>
      <c r="D732" t="inlineStr">
        <is>
          <t>pooboo</t>
        </is>
      </c>
      <c r="E732" t="inlineStr">
        <is>
          <t>False</t>
        </is>
      </c>
      <c r="F732" t="inlineStr">
        <is>
          <t>Exercise Bike, pooboo Stationary Bike for Home Gym, Magnetic Resistance Indoor Cycling Bike w/ Comfortable Seat Cushion &amp; Ipad Mount, Silent Belt Drive Indoor Bike for Cardio Workout (Yellow -</t>
        </is>
      </c>
      <c r="G732">
        <v>1</v>
      </c>
      <c r="H732" s="2" t="str">
        <f>HYPERLINK("https://www.amazon.com/dp/B0CFQMKJBX", "https://www.amazon.com/dp/B0CFQMKJBX")</f>
      </c>
      <c r="I732" s="3">
        <v>260</v>
      </c>
      <c r="J732" s="4">
        <v>44.06</v>
      </c>
      <c r="K732" s="5">
        <v>0.1474</v>
      </c>
      <c r="L732" s="5">
        <v>0.24480000000000002</v>
      </c>
      <c r="M732" t="inlineStr">
        <is>
          <t>True</t>
        </is>
      </c>
      <c r="N732" t="inlineStr">
        <is>
          <t>Sports &amp; Outdoors</t>
        </is>
      </c>
      <c r="O732" s="6">
        <v>25799</v>
      </c>
      <c r="P732" s="6">
        <v>21170</v>
      </c>
      <c r="Q732" s="6">
        <v>6898</v>
      </c>
      <c r="R732" s="6">
        <v>152</v>
      </c>
      <c r="S732" s="7">
        <v>180</v>
      </c>
      <c r="T732" s="7">
        <v>298.99</v>
      </c>
      <c r="U732">
        <v>299.9</v>
      </c>
      <c r="V732" s="8">
        <v>0</v>
      </c>
      <c r="W732" s="7">
        <v>0</v>
      </c>
      <c r="X732" s="7">
        <v>0</v>
      </c>
      <c r="Y732">
        <v>50</v>
      </c>
      <c r="Z732" s="8">
        <v>0</v>
      </c>
      <c r="AB732">
        <v>0</v>
      </c>
      <c r="AC732">
        <v>0</v>
      </c>
      <c r="AD732">
        <v>1</v>
      </c>
      <c r="AE732">
        <v>0</v>
      </c>
      <c r="AF732">
        <v>1</v>
      </c>
      <c r="AG732">
        <v>1</v>
      </c>
      <c r="AH732">
        <v>3</v>
      </c>
      <c r="AI732" t="inlineStr">
        <is>
          <t>False</t>
        </is>
      </c>
      <c r="AJ732" s="2" t="str">
        <f>HYPERLINK("https://keepa.com/#!product/1-B0CFQMKJBX", "https://keepa.com/#!product/1-B0CFQMKJBX")</f>
      </c>
      <c r="AK732" s="2" t="str">
        <f>HYPERLINK("https://camelcamelcamel.com/search?sq=B0CFQMKJBX", "https://camelcamelcamel.com/search?sq=B0CFQMKJBX")</f>
      </c>
      <c r="AL732" t="inlineStr">
        <is>
          <t/>
        </is>
      </c>
      <c r="AM732" s="10">
        <v>45417.11111111111</v>
      </c>
      <c r="AN732" t="inlineStr">
        <is>
          <t>POOBOO Exercise Bike, Stationary Bike for Home Gym, Magnetic Resistance Indoor Cycling Bike w/Comfortable Seat Cushion &amp; Ipad Mount, Silent Belt Drive Indoor Bike for Cardio Workout</t>
        </is>
      </c>
      <c r="AO732" t="inlineStr">
        <is>
          <t>16</t>
        </is>
      </c>
      <c r="AP732" t="inlineStr">
        <is>
          <t>TAKE ALL</t>
        </is>
      </c>
    </row>
    <row r="733">
      <c r="A733" t="inlineStr">
        <is>
          <t>B0CFVCBQ7J</t>
        </is>
      </c>
      <c r="B733" t="inlineStr">
        <is>
          <t>False</t>
        </is>
      </c>
      <c r="C733" t="inlineStr">
        <is>
          <t>B0CFVCBQ7J</t>
        </is>
      </c>
      <c r="D733" t="inlineStr">
        <is>
          <t>Jackery</t>
        </is>
      </c>
      <c r="E733" t="inlineStr">
        <is>
          <t>False</t>
        </is>
      </c>
      <c r="F733" t="inlineStr">
        <is>
          <t>Jackery Solar Generator 300 Plus Portable Power Station with 40W Book-sized Solar Panel, 288Wh Backup LiFePO4 Battery, 300W AC Outlet, Only 5KG for RV, Outdoors, Camping, Traveling, and Emergencies</t>
        </is>
      </c>
      <c r="G733">
        <v>1</v>
      </c>
      <c r="H733" s="2" t="str">
        <f>HYPERLINK("https://www.amazon.com/dp/B0CFVCBQ7J", "https://www.amazon.com/dp/B0CFVCBQ7J")</f>
      </c>
      <c r="I733" s="3">
        <v>425</v>
      </c>
      <c r="J733" s="4">
        <v>129.15</v>
      </c>
      <c r="K733" s="15">
        <v>0.32289999999999996</v>
      </c>
      <c r="L733" s="15">
        <v>0.664</v>
      </c>
      <c r="M733" t="inlineStr">
        <is>
          <t>True</t>
        </is>
      </c>
      <c r="N733" t="inlineStr">
        <is>
          <t>Patio, Lawn &amp; Garden</t>
        </is>
      </c>
      <c r="O733" s="6">
        <v>17803</v>
      </c>
      <c r="P733" s="6">
        <v>1473</v>
      </c>
      <c r="Q733" s="6">
        <v>71</v>
      </c>
      <c r="R733" s="6">
        <v>299</v>
      </c>
      <c r="S733" s="7">
        <v>194.5</v>
      </c>
      <c r="T733" s="7">
        <v>399.99</v>
      </c>
      <c r="U733">
        <v>305.04</v>
      </c>
      <c r="V733" s="8">
        <v>0</v>
      </c>
      <c r="W733" s="7">
        <v>0</v>
      </c>
      <c r="X733" s="7">
        <v>0</v>
      </c>
      <c r="Y733">
        <v>16.13</v>
      </c>
      <c r="Z733" s="9">
        <v>0.2</v>
      </c>
      <c r="AB733">
        <v>0</v>
      </c>
      <c r="AC733">
        <v>0</v>
      </c>
      <c r="AD733">
        <v>2</v>
      </c>
      <c r="AE733">
        <v>1</v>
      </c>
      <c r="AF733">
        <v>1</v>
      </c>
      <c r="AG733">
        <v>1</v>
      </c>
      <c r="AH733">
        <v>0</v>
      </c>
      <c r="AI733" t="inlineStr">
        <is>
          <t>True</t>
        </is>
      </c>
      <c r="AJ733" s="2" t="str">
        <f>HYPERLINK("https://keepa.com/#!product/1-B0CFVCBQ7J", "https://keepa.com/#!product/1-B0CFVCBQ7J")</f>
      </c>
      <c r="AK733" s="2" t="str">
        <f>HYPERLINK("https://camelcamelcamel.com/search?sq=B0CFVCBQ7J", "https://camelcamelcamel.com/search?sq=B0CFVCBQ7J")</f>
      </c>
      <c r="AL733" t="inlineStr">
        <is>
          <t/>
        </is>
      </c>
      <c r="AM733" s="10">
        <v>45417.11111111111</v>
      </c>
      <c r="AN733" t="inlineStr">
        <is>
          <t>Jackery Solar Generator 300 Plus Portable Power Station with 40W Book-sized Solar Panel, 288Wh Backup LiFePO4 Battery, 300W AC Outlet, Only 5KG for RV, Outdoors, Camping, Traveling, and Emergencies</t>
        </is>
      </c>
      <c r="AO733" t="inlineStr">
        <is>
          <t>51</t>
        </is>
      </c>
      <c r="AP733" t="inlineStr">
        <is>
          <t>TAKE ALL</t>
        </is>
      </c>
    </row>
    <row r="734">
      <c r="A734" t="inlineStr">
        <is>
          <t>B0CG7DPXGW</t>
        </is>
      </c>
      <c r="B734" t="inlineStr">
        <is>
          <t>False</t>
        </is>
      </c>
      <c r="C734" t="inlineStr">
        <is>
          <t>B0CG7DPXGW</t>
        </is>
      </c>
      <c r="D734" t="inlineStr">
        <is>
          <t>Tea Tree</t>
        </is>
      </c>
      <c r="E734" t="inlineStr">
        <is>
          <t>False</t>
        </is>
      </c>
      <c r="F734" t="inlineStr">
        <is>
          <t>Tea Tree Special Shampoo, Deep Cleans, Refreshes Scalp, For All Hair Types, Especially Oily Hair, 33.8 fl. oz.</t>
        </is>
      </c>
      <c r="G734">
        <v>1</v>
      </c>
      <c r="H734" s="2" t="str">
        <f>HYPERLINK("https://www.amazon.com/dp/B0CG7DPXGW", "https://www.amazon.com/dp/B0CG7DPXGW")</f>
      </c>
      <c r="I734" s="3">
        <v>30442</v>
      </c>
      <c r="M734" t="inlineStr">
        <is>
          <t>True</t>
        </is>
      </c>
      <c r="N734" t="inlineStr">
        <is>
          <t>Beauty &amp; Personal Care</t>
        </is>
      </c>
      <c r="O734" s="6">
        <v>229</v>
      </c>
      <c r="P734" s="6">
        <v>188</v>
      </c>
      <c r="Q734" s="6">
        <v>125</v>
      </c>
      <c r="R734" s="6">
        <v>168</v>
      </c>
      <c r="S734" s="7">
        <v>18</v>
      </c>
      <c r="U734">
        <v>37.75</v>
      </c>
      <c r="X734" s="7">
        <v>0</v>
      </c>
      <c r="Y734">
        <v>2.3</v>
      </c>
      <c r="Z734" s="9">
        <v>0.86</v>
      </c>
      <c r="AB734">
        <v>0</v>
      </c>
      <c r="AC734">
        <v>0</v>
      </c>
      <c r="AD734">
        <v>0</v>
      </c>
      <c r="AE734">
        <v>0</v>
      </c>
      <c r="AF734">
        <v>0</v>
      </c>
      <c r="AG734">
        <v>0</v>
      </c>
      <c r="AH734">
        <v>7</v>
      </c>
      <c r="AI734" t="inlineStr">
        <is>
          <t>False</t>
        </is>
      </c>
      <c r="AJ734" s="2" t="str">
        <f>HYPERLINK("https://keepa.com/#!product/1-B0CG7DPXGW", "https://keepa.com/#!product/1-B0CG7DPXGW")</f>
      </c>
      <c r="AK734" s="2" t="str">
        <f>HYPERLINK("https://camelcamelcamel.com/search?sq=B0CG7DPXGW", "https://camelcamelcamel.com/search?sq=B0CG7DPXGW")</f>
      </c>
      <c r="AL734" t="inlineStr">
        <is>
          <t/>
        </is>
      </c>
      <c r="AM734" s="10">
        <v>45417.11111111111</v>
      </c>
      <c r="AN734" t="inlineStr">
        <is>
          <t>Tea Tree Special Shampoo, Deep Cleans, Refreshes Scalp, For All Hair Types, Especially Oily Hair</t>
        </is>
      </c>
      <c r="AO734" t="inlineStr">
        <is>
          <t>1300</t>
        </is>
      </c>
      <c r="AP734" t="inlineStr">
        <is>
          <t>TAKE ALL</t>
        </is>
      </c>
    </row>
    <row r="735">
      <c r="A735" t="inlineStr">
        <is>
          <t>B0CG8QWR6P</t>
        </is>
      </c>
      <c r="B735" t="inlineStr">
        <is>
          <t>False</t>
        </is>
      </c>
      <c r="C735" t="inlineStr">
        <is>
          <t>B0CG8QWR6P</t>
        </is>
      </c>
      <c r="D735" t="inlineStr">
        <is>
          <t>Akeacubo</t>
        </is>
      </c>
      <c r="E735" t="inlineStr">
        <is>
          <t>False</t>
        </is>
      </c>
      <c r="F735" t="inlineStr">
        <is>
          <t>Akeacubo Large Smokeless Fire Pit with Removable Ash Pan, Portable Stainless Steel Bonfire Pit Outdoor Wood Burning Firepit for Outside Patio Picnics Camping with Carry Bag(17 Inch)</t>
        </is>
      </c>
      <c r="G735">
        <v>1</v>
      </c>
      <c r="H735" s="2" t="str">
        <f>HYPERLINK("https://www.amazon.com/dp/B0CG8QWR6P", "https://www.amazon.com/dp/B0CG8QWR6P")</f>
      </c>
      <c r="I735" s="14">
        <v>5</v>
      </c>
      <c r="J735" s="4">
        <v>44.47</v>
      </c>
      <c r="K735" s="5">
        <v>0.2341</v>
      </c>
      <c r="L735" s="15">
        <v>0.4941</v>
      </c>
      <c r="M735" t="inlineStr">
        <is>
          <t>True</t>
        </is>
      </c>
      <c r="N735" t="inlineStr">
        <is>
          <t>Patio, Lawn &amp; Garden</t>
        </is>
      </c>
      <c r="O735" s="6">
        <v>504813</v>
      </c>
      <c r="P735" s="6">
        <v>435118</v>
      </c>
      <c r="Q735" s="6">
        <v>366746</v>
      </c>
      <c r="R735" s="6">
        <v>0</v>
      </c>
      <c r="S735" s="7">
        <v>90</v>
      </c>
      <c r="T735" s="7">
        <v>189.99</v>
      </c>
      <c r="U735">
        <v>197</v>
      </c>
      <c r="V735" s="8">
        <v>0</v>
      </c>
      <c r="W735" s="7">
        <v>0</v>
      </c>
      <c r="X735" s="7">
        <v>0</v>
      </c>
      <c r="Y735">
        <v>21.58</v>
      </c>
      <c r="Z735" s="9">
        <v>1</v>
      </c>
      <c r="AB735">
        <v>0</v>
      </c>
      <c r="AC735">
        <v>0</v>
      </c>
      <c r="AD735">
        <v>3</v>
      </c>
      <c r="AE735">
        <v>1</v>
      </c>
      <c r="AF735">
        <v>1</v>
      </c>
      <c r="AG735">
        <v>1</v>
      </c>
      <c r="AH735">
        <v>0</v>
      </c>
      <c r="AI735" t="inlineStr">
        <is>
          <t>False</t>
        </is>
      </c>
      <c r="AJ735" s="2" t="str">
        <f>HYPERLINK("https://keepa.com/#!product/1-B0CG8QWR6P", "https://keepa.com/#!product/1-B0CG8QWR6P")</f>
      </c>
      <c r="AK735" s="2" t="str">
        <f>HYPERLINK("https://camelcamelcamel.com/search?sq=B0CG8QWR6P", "https://camelcamelcamel.com/search?sq=B0CG8QWR6P")</f>
      </c>
      <c r="AL735" t="inlineStr">
        <is>
          <t/>
        </is>
      </c>
      <c r="AM735" s="10">
        <v>45417.11111111111</v>
      </c>
      <c r="AN735" t="inlineStr">
        <is>
          <t>Akeacubo Large Smokeless Fire Pit with Removable Ash Pan, Portable Stainless Steel Bonfire Pit Outdoor Wood Burning Firepit for Outside Patio Picnics Camping with Carry Bag(17 Inch)</t>
        </is>
      </c>
      <c r="AO735" t="inlineStr">
        <is>
          <t>100</t>
        </is>
      </c>
      <c r="AP735" t="inlineStr">
        <is>
          <t>380</t>
        </is>
      </c>
    </row>
    <row r="736">
      <c r="A736" t="inlineStr">
        <is>
          <t>B0CGLV1SZT</t>
        </is>
      </c>
      <c r="B736" t="inlineStr">
        <is>
          <t>False</t>
        </is>
      </c>
      <c r="C736" t="inlineStr">
        <is>
          <t>B0CGLV1SZT</t>
        </is>
      </c>
      <c r="D736" t="inlineStr">
        <is>
          <t>Hihhy</t>
        </is>
      </c>
      <c r="E736" t="inlineStr">
        <is>
          <t>False</t>
        </is>
      </c>
      <c r="F736" t="inlineStr">
        <is>
          <t>Hihhy Cordless Vacuum Cleaner, Stick Vacuum 25000 Pa Powerful Suction Handheld 2-in-1 Upright Vacuums, Small Vacuum Cleaners for Home Hardwood Floor, Carpet and Pet Hair</t>
        </is>
      </c>
      <c r="G736">
        <v>1</v>
      </c>
      <c r="H736" s="2" t="str">
        <f>HYPERLINK("https://www.amazon.com/dp/B0CGLV1SZT", "https://www.amazon.com/dp/B0CGLV1SZT")</f>
      </c>
      <c r="I736" s="14">
        <v>5</v>
      </c>
      <c r="M736" t="inlineStr">
        <is>
          <t>True</t>
        </is>
      </c>
      <c r="N736" t="inlineStr">
        <is>
          <t>Home &amp; Kitchen</t>
        </is>
      </c>
      <c r="O736" s="6">
        <v>1217409</v>
      </c>
      <c r="P736" s="6">
        <v>595698</v>
      </c>
      <c r="Q736" s="6">
        <v>4963</v>
      </c>
      <c r="R736" s="6">
        <v>84</v>
      </c>
      <c r="S736" s="7">
        <v>32</v>
      </c>
      <c r="U736">
        <v>69.99</v>
      </c>
      <c r="X736" s="7">
        <v>0</v>
      </c>
      <c r="Y736">
        <v>6.6</v>
      </c>
      <c r="Z736" s="8">
        <v>0</v>
      </c>
      <c r="AB736">
        <v>0</v>
      </c>
      <c r="AC736">
        <v>0</v>
      </c>
      <c r="AD736">
        <v>0</v>
      </c>
      <c r="AE736">
        <v>0</v>
      </c>
      <c r="AF736">
        <v>0</v>
      </c>
      <c r="AG736">
        <v>0</v>
      </c>
      <c r="AH736">
        <v>0</v>
      </c>
      <c r="AI736" t="inlineStr">
        <is>
          <t>True</t>
        </is>
      </c>
      <c r="AJ736" s="2" t="str">
        <f>HYPERLINK("https://keepa.com/#!product/1-B0CGLV1SZT", "https://keepa.com/#!product/1-B0CGLV1SZT")</f>
      </c>
      <c r="AK736" s="2" t="str">
        <f>HYPERLINK("https://camelcamelcamel.com/search?sq=B0CGLV1SZT", "https://camelcamelcamel.com/search?sq=B0CGLV1SZT")</f>
      </c>
      <c r="AL736" t="inlineStr">
        <is>
          <t/>
        </is>
      </c>
      <c r="AM736" s="10">
        <v>45417.11111111111</v>
      </c>
      <c r="AN736" t="inlineStr">
        <is>
          <t>Hihhy Cordless Vacuum Cleaner, Stick Vacuum 25000 Pa Powerful Suction Handheld 2-in-1 Upright Vacuums, Small Vacuum Cleaners for Home Hardwood Floor, Carpet and Pet Hair</t>
        </is>
      </c>
      <c r="AO736" t="inlineStr">
        <is>
          <t>1079</t>
        </is>
      </c>
      <c r="AP736" t="inlineStr">
        <is>
          <t>500</t>
        </is>
      </c>
    </row>
    <row r="737">
      <c r="A737" t="inlineStr">
        <is>
          <t>B0CHHFKWPV</t>
        </is>
      </c>
      <c r="B737" t="inlineStr">
        <is>
          <t>False</t>
        </is>
      </c>
      <c r="C737" t="inlineStr">
        <is>
          <t>B0CHHFKWPV</t>
        </is>
      </c>
      <c r="D737" t="inlineStr">
        <is>
          <t>O'Bright</t>
        </is>
      </c>
      <c r="E737" t="inlineStr">
        <is>
          <t>False</t>
        </is>
      </c>
      <c r="F737" t="inlineStr">
        <is>
          <t>O’Bright Seraph - Cordless LED Table Lamp with Dimmer, Built-in Rechargeable Battery, 3-Level Brightness, Patio Table Lamp, Bedside Night Lamp, Ambient Light for Restaurant, Antique Brass</t>
        </is>
      </c>
      <c r="G737">
        <v>1</v>
      </c>
      <c r="H737" s="2" t="str">
        <f>HYPERLINK("https://www.amazon.com/dp/B0CHHFKWPV", "https://www.amazon.com/dp/B0CHHFKWPV")</f>
      </c>
      <c r="I737" s="3">
        <v>6702</v>
      </c>
      <c r="J737" s="4">
        <v>6.53</v>
      </c>
      <c r="K737" s="5">
        <v>0.1451</v>
      </c>
      <c r="L737" s="5">
        <v>0.2779</v>
      </c>
      <c r="M737" t="inlineStr">
        <is>
          <t>True</t>
        </is>
      </c>
      <c r="N737" t="inlineStr">
        <is>
          <t>Tools &amp; Home Improvement</t>
        </is>
      </c>
      <c r="O737" s="6">
        <v>601</v>
      </c>
      <c r="P737" s="6">
        <v>578</v>
      </c>
      <c r="Q737" s="6">
        <v>165</v>
      </c>
      <c r="R737" s="6">
        <v>219</v>
      </c>
      <c r="S737" s="7">
        <v>23.5</v>
      </c>
      <c r="T737" s="7">
        <v>44.99</v>
      </c>
      <c r="U737">
        <v>44.99</v>
      </c>
      <c r="V737" s="8">
        <v>0</v>
      </c>
      <c r="W737" s="7">
        <v>0</v>
      </c>
      <c r="X737" s="7">
        <v>0</v>
      </c>
      <c r="Y737">
        <v>1.72</v>
      </c>
      <c r="Z737" s="8">
        <v>0</v>
      </c>
      <c r="AB737">
        <v>0</v>
      </c>
      <c r="AC737">
        <v>0</v>
      </c>
      <c r="AD737">
        <v>1</v>
      </c>
      <c r="AE737">
        <v>1</v>
      </c>
      <c r="AF737">
        <v>0</v>
      </c>
      <c r="AG737">
        <v>1</v>
      </c>
      <c r="AH737">
        <v>3</v>
      </c>
      <c r="AI737" t="inlineStr">
        <is>
          <t>True</t>
        </is>
      </c>
      <c r="AJ737" s="2" t="str">
        <f>HYPERLINK("https://keepa.com/#!product/1-B0CHHFKWPV", "https://keepa.com/#!product/1-B0CHHFKWPV")</f>
      </c>
      <c r="AK737" s="2" t="str">
        <f>HYPERLINK("https://camelcamelcamel.com/search?sq=B0CHHFKWPV", "https://camelcamelcamel.com/search?sq=B0CHHFKWPV")</f>
      </c>
      <c r="AL737" t="inlineStr">
        <is>
          <t/>
        </is>
      </c>
      <c r="AM737" s="10">
        <v>45417.11111111111</v>
      </c>
      <c r="AN737" t="inlineStr">
        <is>
          <t>Oâ€™Bright Seraph - Cordless LED Table Lamp with Dimmer, Built-in Rechargeable Battery, 3-Level Brightness, Patio Table Lamp, Bedside Night Lamp, Ambient Light for Restaurant, Antique Brass</t>
        </is>
      </c>
      <c r="AO737" t="inlineStr">
        <is>
          <t>1400</t>
        </is>
      </c>
      <c r="AP737" t="inlineStr">
        <is>
          <t>350</t>
        </is>
      </c>
    </row>
    <row r="738">
      <c r="A738" t="inlineStr">
        <is>
          <t>B0CHWJYYJ1</t>
        </is>
      </c>
      <c r="B738" t="inlineStr">
        <is>
          <t>False</t>
        </is>
      </c>
      <c r="C738" t="inlineStr">
        <is>
          <t>B0CHWJYYJ1</t>
        </is>
      </c>
      <c r="D738" t="inlineStr">
        <is>
          <t>Generic</t>
        </is>
      </c>
      <c r="E738" t="inlineStr">
        <is>
          <t>False</t>
        </is>
      </c>
      <c r="F738" t="inlineStr">
        <is>
          <t>Element ENR18TFGCS 17.6 Cu. Ft. Stainless Top Freezer Refrigerator</t>
        </is>
      </c>
      <c r="G738">
        <v>1</v>
      </c>
      <c r="H738" s="2" t="str">
        <f>HYPERLINK("https://www.amazon.com/dp/B0CHWJYYJ1", "https://www.amazon.com/dp/B0CHWJYYJ1")</f>
      </c>
      <c r="I738" s="14">
        <v>5</v>
      </c>
      <c r="J738" s="4">
        <v>269.47</v>
      </c>
      <c r="K738" s="5">
        <v>0.2725</v>
      </c>
      <c r="L738" s="15">
        <v>0.4765</v>
      </c>
      <c r="M738" t="inlineStr">
        <is>
          <t>False</t>
        </is>
      </c>
      <c r="N738" t="inlineStr">
        <is>
          <t>Major Appliances</t>
        </is>
      </c>
      <c r="P738" s="6">
        <v>0</v>
      </c>
      <c r="Q738" s="6">
        <v>0</v>
      </c>
      <c r="R738" s="6">
        <v>0</v>
      </c>
      <c r="S738" s="7">
        <v>565.5</v>
      </c>
      <c r="T738" s="7">
        <v>989</v>
      </c>
      <c r="U738">
        <v>0</v>
      </c>
      <c r="V738" s="8">
        <v>0</v>
      </c>
      <c r="W738" s="7">
        <v>0</v>
      </c>
      <c r="X738" s="7">
        <v>0</v>
      </c>
      <c r="Y738">
        <v>0</v>
      </c>
      <c r="Z738" s="8">
        <v>0</v>
      </c>
      <c r="AB738">
        <v>0</v>
      </c>
      <c r="AC738">
        <v>0</v>
      </c>
      <c r="AD738">
        <v>3</v>
      </c>
      <c r="AE738">
        <v>0</v>
      </c>
      <c r="AF738">
        <v>2</v>
      </c>
      <c r="AG738">
        <v>0</v>
      </c>
      <c r="AH738">
        <v>0</v>
      </c>
      <c r="AI738" t="inlineStr">
        <is>
          <t>False</t>
        </is>
      </c>
      <c r="AJ738" s="2" t="str">
        <f>HYPERLINK("https://keepa.com/#!product/1-B0CHWJYYJ1", "https://keepa.com/#!product/1-B0CHWJYYJ1")</f>
      </c>
      <c r="AK738" s="2" t="str">
        <f>HYPERLINK("https://camelcamelcamel.com/search?sq=B0CHWJYYJ1", "https://camelcamelcamel.com/search?sq=B0CHWJYYJ1")</f>
      </c>
      <c r="AL738" t="inlineStr">
        <is>
          <t/>
        </is>
      </c>
      <c r="AM738" s="10">
        <v>45417.11111111111</v>
      </c>
      <c r="AN738" t="inlineStr">
        <is>
          <t>Element ENR18TFGCS 17.6 Cu. Ft. Stainless Top Freezer Refrigerator</t>
        </is>
      </c>
      <c r="AO738" t="inlineStr">
        <is>
          <t>100</t>
        </is>
      </c>
      <c r="AP738" t="inlineStr">
        <is>
          <t>TAKE ALL</t>
        </is>
      </c>
    </row>
    <row r="739">
      <c r="A739" t="inlineStr">
        <is>
          <t>B0CJ3F4YKJ</t>
        </is>
      </c>
      <c r="B739" t="inlineStr">
        <is>
          <t>False</t>
        </is>
      </c>
      <c r="C739" t="inlineStr">
        <is>
          <t>B0CJ3F4YKJ</t>
        </is>
      </c>
      <c r="D739" t="inlineStr">
        <is>
          <t>Hisense</t>
        </is>
      </c>
      <c r="E739" t="inlineStr">
        <is>
          <t>False</t>
        </is>
      </c>
      <c r="F739" t="inlineStr">
        <is>
          <t>Hisense HAW0821CW1W Air Conditioner, White</t>
        </is>
      </c>
      <c r="G739">
        <v>1</v>
      </c>
      <c r="H739" s="2" t="str">
        <f>HYPERLINK("https://www.amazon.com/dp/B0CJ3F4YKJ", "https://www.amazon.com/dp/B0CJ3F4YKJ")</f>
      </c>
      <c r="I739" s="14">
        <v>5</v>
      </c>
      <c r="J739" s="12">
        <v>-27.18</v>
      </c>
      <c r="K739" s="13">
        <v>-0.1359</v>
      </c>
      <c r="L739" s="13">
        <v>-0.1812</v>
      </c>
      <c r="M739" t="inlineStr">
        <is>
          <t>True</t>
        </is>
      </c>
      <c r="N739" t="inlineStr">
        <is>
          <t>Amazon Renewed</t>
        </is>
      </c>
      <c r="O739" s="6">
        <v>4043</v>
      </c>
      <c r="P739" s="6">
        <v>35888</v>
      </c>
      <c r="Q739" s="6">
        <v>2262</v>
      </c>
      <c r="R739" s="6">
        <v>5</v>
      </c>
      <c r="S739" s="7">
        <v>150</v>
      </c>
      <c r="T739" s="7">
        <v>199.99</v>
      </c>
      <c r="U739">
        <v>272.15</v>
      </c>
      <c r="V739" s="8">
        <v>0</v>
      </c>
      <c r="W739" s="7">
        <v>0</v>
      </c>
      <c r="X739" s="7">
        <v>0</v>
      </c>
      <c r="Y739">
        <v>48.5</v>
      </c>
      <c r="Z739" s="8">
        <v>0</v>
      </c>
      <c r="AB739">
        <v>0</v>
      </c>
      <c r="AC739">
        <v>0</v>
      </c>
      <c r="AD739">
        <v>1</v>
      </c>
      <c r="AE739">
        <v>0</v>
      </c>
      <c r="AF739">
        <v>1</v>
      </c>
      <c r="AG739">
        <v>0</v>
      </c>
      <c r="AH739">
        <v>2</v>
      </c>
      <c r="AI739" t="inlineStr">
        <is>
          <t>True</t>
        </is>
      </c>
      <c r="AJ739" s="2" t="str">
        <f>HYPERLINK("https://keepa.com/#!product/1-B0CJ3F4YKJ", "https://keepa.com/#!product/1-B0CJ3F4YKJ")</f>
      </c>
      <c r="AK739" s="2" t="str">
        <f>HYPERLINK("https://camelcamelcamel.com/search?sq=B0CJ3F4YKJ", "https://camelcamelcamel.com/search?sq=B0CJ3F4YKJ")</f>
      </c>
      <c r="AL739" t="inlineStr">
        <is>
          <t/>
        </is>
      </c>
      <c r="AM739" s="10">
        <v>45417.11111111111</v>
      </c>
      <c r="AN739" t="inlineStr">
        <is>
          <t>Hisense 3-in-1 Window Air Conditioner 350 SQ FT 49/55 dB, Energy Star 8,000 AC, Works with Google Assistant and Alexa (HAW0821CW1W) (Renewed)</t>
        </is>
      </c>
      <c r="AO739" t="inlineStr">
        <is>
          <t>440</t>
        </is>
      </c>
      <c r="AP739" t="inlineStr">
        <is>
          <t>TAKE ALL</t>
        </is>
      </c>
    </row>
    <row r="740">
      <c r="A740" t="inlineStr">
        <is>
          <t>B0CJK1ZYJZ</t>
        </is>
      </c>
      <c r="B740" t="inlineStr">
        <is>
          <t>False</t>
        </is>
      </c>
      <c r="C740" t="inlineStr">
        <is>
          <t>B0CJK1ZYJZ</t>
        </is>
      </c>
      <c r="D740" t="inlineStr">
        <is>
          <t>depology</t>
        </is>
      </c>
      <c r="E740" t="inlineStr">
        <is>
          <t>False</t>
        </is>
      </c>
      <c r="F740" t="inlineStr">
        <is>
          <t>depology Peptide Complex 10% Wrinkle Defense | Argireline™ Peptide Serum | Hydrating Face Serum Targets Dynamic Wrinkles | Vitamin C &amp; Hyaluronic Acid Serum 1.01 fl oz</t>
        </is>
      </c>
      <c r="G740">
        <v>1</v>
      </c>
      <c r="H740" s="2" t="str">
        <f>HYPERLINK("https://www.amazon.com/dp/B0CJK1ZYJZ", "https://www.amazon.com/dp/B0CJK1ZYJZ")</f>
      </c>
      <c r="I740" s="3">
        <v>321</v>
      </c>
      <c r="J740" s="4">
        <v>14.49</v>
      </c>
      <c r="K740" s="5">
        <v>0.2957</v>
      </c>
      <c r="L740" s="15">
        <v>0.6232</v>
      </c>
      <c r="M740" t="inlineStr">
        <is>
          <t>True</t>
        </is>
      </c>
      <c r="N740" t="inlineStr">
        <is>
          <t>Beauty &amp; Personal Care</t>
        </is>
      </c>
      <c r="O740" s="6">
        <v>43239</v>
      </c>
      <c r="P740" s="6">
        <v>33098</v>
      </c>
      <c r="Q740" s="6">
        <v>19687</v>
      </c>
      <c r="R740" s="6">
        <v>143</v>
      </c>
      <c r="S740" s="7">
        <v>23.25</v>
      </c>
      <c r="T740" s="7">
        <v>49</v>
      </c>
      <c r="U740">
        <v>49</v>
      </c>
      <c r="V740" s="8">
        <v>0</v>
      </c>
      <c r="W740" s="7">
        <v>0</v>
      </c>
      <c r="X740" s="7">
        <v>0</v>
      </c>
      <c r="Y740">
        <v>0.26</v>
      </c>
      <c r="Z740" s="8">
        <v>0</v>
      </c>
      <c r="AB740">
        <v>0</v>
      </c>
      <c r="AC740">
        <v>0</v>
      </c>
      <c r="AD740">
        <v>1</v>
      </c>
      <c r="AE740">
        <v>1</v>
      </c>
      <c r="AF740">
        <v>0</v>
      </c>
      <c r="AG740">
        <v>1</v>
      </c>
      <c r="AH740">
        <v>1</v>
      </c>
      <c r="AI740" t="inlineStr">
        <is>
          <t>False</t>
        </is>
      </c>
      <c r="AJ740" s="2" t="str">
        <f>HYPERLINK("https://keepa.com/#!product/1-B0CJK1ZYJZ", "https://keepa.com/#!product/1-B0CJK1ZYJZ")</f>
      </c>
      <c r="AK740" s="2" t="str">
        <f>HYPERLINK("https://camelcamelcamel.com/search?sq=B0CJK1ZYJZ", "https://camelcamelcamel.com/search?sq=B0CJK1ZYJZ")</f>
      </c>
      <c r="AL740" t="inlineStr">
        <is>
          <t/>
        </is>
      </c>
      <c r="AM740" s="10">
        <v>45417.11111111111</v>
      </c>
      <c r="AN740" t="inlineStr">
        <is>
          <t>depology Peptide Complex 10% Wrinkle Defense | Argirelineâ„¢ Peptide Serum | Hydrating Face Serum Targets Dynamic Wrinkles | Vitamin C &amp; Hyaluronic Acid Serum 1.01 fl oz</t>
        </is>
      </c>
      <c r="AO740" t="inlineStr">
        <is>
          <t>1500</t>
        </is>
      </c>
      <c r="AP740" t="inlineStr">
        <is>
          <t>500</t>
        </is>
      </c>
    </row>
    <row r="741">
      <c r="A741" t="inlineStr">
        <is>
          <t>B0CJV4JSW5</t>
        </is>
      </c>
      <c r="B741" t="inlineStr">
        <is>
          <t>False</t>
        </is>
      </c>
      <c r="C741" t="inlineStr">
        <is>
          <t>B0CJV4JSW5</t>
        </is>
      </c>
      <c r="D741" t="inlineStr">
        <is>
          <t>OZ SMILE</t>
        </is>
      </c>
      <c r="E741" t="inlineStr">
        <is>
          <t>False</t>
        </is>
      </c>
      <c r="F741" t="inlineStr">
        <is>
          <t>[2 Pack] Nespresso Vertuoline Coffee Melozio, 20 Capsules</t>
        </is>
      </c>
      <c r="G741">
        <v>1</v>
      </c>
      <c r="H741" s="2" t="str">
        <f>HYPERLINK("https://www.amazon.com/dp/B0CJV4JSW5", "https://www.amazon.com/dp/B0CJV4JSW5")</f>
      </c>
      <c r="I741" s="3">
        <v>3062</v>
      </c>
      <c r="J741" s="11">
        <v>3.01</v>
      </c>
      <c r="K741" s="5">
        <v>0.1038</v>
      </c>
      <c r="L741" s="5">
        <v>0.1881</v>
      </c>
      <c r="M741" t="inlineStr">
        <is>
          <t>True</t>
        </is>
      </c>
      <c r="N741" t="inlineStr">
        <is>
          <t>Grocery &amp; Gourmet Food</t>
        </is>
      </c>
      <c r="O741" s="6">
        <v>2320</v>
      </c>
      <c r="P741" s="6">
        <v>3790</v>
      </c>
      <c r="Q741" s="6">
        <v>1971</v>
      </c>
      <c r="R741" s="6">
        <v>243</v>
      </c>
      <c r="S741" s="7">
        <v>16</v>
      </c>
      <c r="T741" s="7">
        <v>28.99</v>
      </c>
      <c r="U741">
        <v>30.29</v>
      </c>
      <c r="V741" s="8">
        <v>0</v>
      </c>
      <c r="W741" s="7">
        <v>0</v>
      </c>
      <c r="X741" s="7">
        <v>0</v>
      </c>
      <c r="Y741">
        <v>0.82</v>
      </c>
      <c r="Z741" s="8">
        <v>0</v>
      </c>
      <c r="AB741">
        <v>0</v>
      </c>
      <c r="AC741">
        <v>0</v>
      </c>
      <c r="AD741">
        <v>20</v>
      </c>
      <c r="AE741">
        <v>14</v>
      </c>
      <c r="AF741">
        <v>6</v>
      </c>
      <c r="AG741">
        <v>1</v>
      </c>
      <c r="AH741">
        <v>0</v>
      </c>
      <c r="AI741" t="inlineStr">
        <is>
          <t>False</t>
        </is>
      </c>
      <c r="AJ741" s="2" t="str">
        <f>HYPERLINK("https://keepa.com/#!product/1-B0CJV4JSW5", "https://keepa.com/#!product/1-B0CJV4JSW5")</f>
      </c>
      <c r="AK741" s="2" t="str">
        <f>HYPERLINK("https://camelcamelcamel.com/search?sq=B0CJV4JSW5", "https://camelcamelcamel.com/search?sq=B0CJV4JSW5")</f>
      </c>
      <c r="AL741" t="inlineStr">
        <is>
          <t/>
        </is>
      </c>
      <c r="AM741" s="10">
        <v>45417.11111111111</v>
      </c>
      <c r="AN741" t="inlineStr">
        <is>
          <t>[2 Pack] Nespresso Vertuoline Coffee Melozio, 20 Capsules</t>
        </is>
      </c>
      <c r="AO741" t="inlineStr">
        <is>
          <t>650</t>
        </is>
      </c>
      <c r="AP741" t="inlineStr">
        <is>
          <t>TAKE ALL</t>
        </is>
      </c>
    </row>
    <row r="742">
      <c r="A742" t="inlineStr">
        <is>
          <t>B0CKBWR2L8</t>
        </is>
      </c>
      <c r="B742" t="inlineStr">
        <is>
          <t>False</t>
        </is>
      </c>
      <c r="C742" t="inlineStr">
        <is>
          <t>B0CKBWR2L8</t>
        </is>
      </c>
      <c r="D742" t="inlineStr">
        <is>
          <t>Whizzotech</t>
        </is>
      </c>
      <c r="E742" t="inlineStr">
        <is>
          <t>False</t>
        </is>
      </c>
      <c r="F742" t="inlineStr">
        <is>
          <t>Vital Proteins 20g Collagen Peptides, Unflavored, 1.5 lbs, 24 OZ, Unflavored</t>
        </is>
      </c>
      <c r="G742">
        <v>1</v>
      </c>
      <c r="H742" s="2" t="str">
        <f>HYPERLINK("https://www.amazon.com/dp/B0CKBWR2L8", "https://www.amazon.com/dp/B0CKBWR2L8")</f>
      </c>
      <c r="I742" s="3">
        <v>349</v>
      </c>
      <c r="J742" s="4">
        <v>7.06</v>
      </c>
      <c r="K742" s="5">
        <v>0.1865</v>
      </c>
      <c r="L742" s="15">
        <v>0.3668</v>
      </c>
      <c r="M742" t="inlineStr">
        <is>
          <t>True</t>
        </is>
      </c>
      <c r="N742" t="inlineStr">
        <is>
          <t>Health &amp; Household</t>
        </is>
      </c>
      <c r="O742" s="6">
        <v>47314</v>
      </c>
      <c r="P742" s="6">
        <v>24925</v>
      </c>
      <c r="Q742" s="6">
        <v>8105</v>
      </c>
      <c r="R742" s="6">
        <v>188</v>
      </c>
      <c r="S742" s="7">
        <v>19.25</v>
      </c>
      <c r="T742" s="7">
        <v>37.85</v>
      </c>
      <c r="U742">
        <v>37.92</v>
      </c>
      <c r="V742" s="8">
        <v>0</v>
      </c>
      <c r="W742" s="7">
        <v>0</v>
      </c>
      <c r="X742" s="7">
        <v>0</v>
      </c>
      <c r="Y742">
        <v>1.79</v>
      </c>
      <c r="Z742" s="8">
        <v>0</v>
      </c>
      <c r="AB742">
        <v>0</v>
      </c>
      <c r="AC742">
        <v>0</v>
      </c>
      <c r="AD742">
        <v>39</v>
      </c>
      <c r="AE742">
        <v>13</v>
      </c>
      <c r="AF742">
        <v>26</v>
      </c>
      <c r="AG742">
        <v>1</v>
      </c>
      <c r="AH742">
        <v>0</v>
      </c>
      <c r="AI742" t="inlineStr">
        <is>
          <t>False</t>
        </is>
      </c>
      <c r="AJ742" s="2" t="str">
        <f>HYPERLINK("https://keepa.com/#!product/1-B0CKBWR2L8", "https://keepa.com/#!product/1-B0CKBWR2L8")</f>
      </c>
      <c r="AK742" s="2" t="str">
        <f>HYPERLINK("https://camelcamelcamel.com/search?sq=B0CKBWR2L8", "https://camelcamelcamel.com/search?sq=B0CKBWR2L8")</f>
      </c>
      <c r="AL742" t="inlineStr">
        <is>
          <t/>
        </is>
      </c>
      <c r="AM742" s="10">
        <v>45417.11111111111</v>
      </c>
      <c r="AN742" t="inlineStr">
        <is>
          <t>Vital Proteins 20g Collagen Peptides, Unflavored, 1.5 lbs, 24 OZ, Unflavored</t>
        </is>
      </c>
      <c r="AO742" t="inlineStr">
        <is>
          <t>250</t>
        </is>
      </c>
      <c r="AP742" t="inlineStr">
        <is>
          <t>TAKE ALL</t>
        </is>
      </c>
    </row>
    <row r="743">
      <c r="A743" t="inlineStr">
        <is>
          <t>B0CKML3W6R</t>
        </is>
      </c>
      <c r="B743" t="inlineStr">
        <is>
          <t>False</t>
        </is>
      </c>
      <c r="C743" t="inlineStr">
        <is>
          <t>B0CKML3W6R</t>
        </is>
      </c>
      <c r="D743" t="inlineStr">
        <is>
          <t>Insta360</t>
        </is>
      </c>
      <c r="E743" t="inlineStr">
        <is>
          <t>False</t>
        </is>
      </c>
      <c r="F743" t="inlineStr">
        <is>
          <t>Insta360 Ace Pro - Waterproof Action Camera Co-Engineered with Leica, Flagship 1/1.3" Sensor and AI Noise Reduction for Unbeatable Image Quality, 4K120fps, 2.4" Flip Screen &amp; Advanced AI Features.</t>
        </is>
      </c>
      <c r="G743">
        <v>1</v>
      </c>
      <c r="H743" s="2" t="str">
        <f>HYPERLINK("https://www.amazon.com/dp/B0CKML3W6R", "https://www.amazon.com/dp/B0CKML3W6R")</f>
      </c>
      <c r="I743" s="3">
        <v>718</v>
      </c>
      <c r="J743" s="4">
        <v>93.93</v>
      </c>
      <c r="K743" s="5">
        <v>0.2348</v>
      </c>
      <c r="L743" s="15">
        <v>0.34979999999999994</v>
      </c>
      <c r="M743" t="inlineStr">
        <is>
          <t>True</t>
        </is>
      </c>
      <c r="N743" t="inlineStr">
        <is>
          <t>Electronics</t>
        </is>
      </c>
      <c r="O743" s="6">
        <v>5912</v>
      </c>
      <c r="P743" s="6">
        <v>8195</v>
      </c>
      <c r="Q743" s="6">
        <v>3517</v>
      </c>
      <c r="R743" s="6">
        <v>258</v>
      </c>
      <c r="S743" s="7">
        <v>268.5</v>
      </c>
      <c r="T743" s="7">
        <v>399.99</v>
      </c>
      <c r="U743">
        <v>436.26</v>
      </c>
      <c r="V743" s="8">
        <v>0</v>
      </c>
      <c r="W743" s="7">
        <v>0</v>
      </c>
      <c r="X743" s="7">
        <v>0</v>
      </c>
      <c r="Y743">
        <v>1.37</v>
      </c>
      <c r="Z743" s="8">
        <v>0</v>
      </c>
      <c r="AB743">
        <v>0</v>
      </c>
      <c r="AC743">
        <v>0</v>
      </c>
      <c r="AD743">
        <v>3</v>
      </c>
      <c r="AE743">
        <v>2</v>
      </c>
      <c r="AF743">
        <v>1</v>
      </c>
      <c r="AG743">
        <v>1</v>
      </c>
      <c r="AH743">
        <v>7</v>
      </c>
      <c r="AI743" t="inlineStr">
        <is>
          <t>True</t>
        </is>
      </c>
      <c r="AJ743" s="2" t="str">
        <f>HYPERLINK("https://keepa.com/#!product/1-B0CKML3W6R", "https://keepa.com/#!product/1-B0CKML3W6R")</f>
      </c>
      <c r="AK743" s="2" t="str">
        <f>HYPERLINK("https://camelcamelcamel.com/search?sq=B0CKML3W6R", "https://camelcamelcamel.com/search?sq=B0CKML3W6R")</f>
      </c>
      <c r="AL743" t="inlineStr">
        <is>
          <t/>
        </is>
      </c>
      <c r="AM743" s="10">
        <v>45417.11111111111</v>
      </c>
      <c r="AN743" t="inlineStr">
        <is>
          <t>Insta360 Ace Pro - Waterproof Action Camera Co-Engineered with Leica, Flagship 1/1.3" Sensor and AI Noise Reduction for Unbeatable Image Quality, 4K120fps, 2.4" Flip Screen &amp; Advanced AI Features.</t>
        </is>
      </c>
      <c r="AO743" t="inlineStr">
        <is>
          <t>600</t>
        </is>
      </c>
      <c r="AP743" t="inlineStr">
        <is>
          <t>TAKE ALL</t>
        </is>
      </c>
    </row>
    <row r="744">
      <c r="A744" t="inlineStr">
        <is>
          <t>B0CKTWBRF2</t>
        </is>
      </c>
      <c r="B744" t="inlineStr">
        <is>
          <t>False</t>
        </is>
      </c>
      <c r="C744" t="inlineStr">
        <is>
          <t>B0CKTWBRF2</t>
        </is>
      </c>
      <c r="D744" t="inlineStr">
        <is>
          <t>Carbona</t>
        </is>
      </c>
      <c r="E744" t="inlineStr">
        <is>
          <t>False</t>
        </is>
      </c>
      <c r="F744" t="inlineStr">
        <is>
          <t>Carbona Color Grabber™ | Protects Laundry From Color Runs or Bleeds | Mix Whites &amp; Colors | In-Wash Dye Grabbing Sheets | 45 Count Box</t>
        </is>
      </c>
      <c r="G744">
        <v>1</v>
      </c>
      <c r="H744" s="2" t="str">
        <f>HYPERLINK("https://www.amazon.com/dp/B0CKTWBRF2", "https://www.amazon.com/dp/B0CKTWBRF2")</f>
      </c>
      <c r="I744" s="3">
        <v>652</v>
      </c>
      <c r="J744" s="12">
        <v>-2.24</v>
      </c>
      <c r="K744" s="13">
        <v>-0.1663</v>
      </c>
      <c r="L744" s="13">
        <v>-0.23579999999999998</v>
      </c>
      <c r="M744" t="inlineStr">
        <is>
          <t>True</t>
        </is>
      </c>
      <c r="N744" t="inlineStr">
        <is>
          <t>Health &amp; Household</t>
        </is>
      </c>
      <c r="O744" s="6">
        <v>31114</v>
      </c>
      <c r="P744" s="6">
        <v>45345</v>
      </c>
      <c r="Q744" s="6">
        <v>19113</v>
      </c>
      <c r="R744" s="6">
        <v>97</v>
      </c>
      <c r="S744" s="7">
        <v>9.5</v>
      </c>
      <c r="T744" s="7">
        <v>13.47</v>
      </c>
      <c r="U744">
        <v>14.35</v>
      </c>
      <c r="V744" s="8">
        <v>0</v>
      </c>
      <c r="W744" s="7">
        <v>0</v>
      </c>
      <c r="X744" s="7">
        <v>0</v>
      </c>
      <c r="Y744">
        <v>0.2</v>
      </c>
      <c r="Z744" s="8">
        <v>0</v>
      </c>
      <c r="AB744">
        <v>0</v>
      </c>
      <c r="AC744">
        <v>0</v>
      </c>
      <c r="AD744">
        <v>15</v>
      </c>
      <c r="AE744">
        <v>10</v>
      </c>
      <c r="AF744">
        <v>5</v>
      </c>
      <c r="AG744">
        <v>1</v>
      </c>
      <c r="AH744">
        <v>3</v>
      </c>
      <c r="AI744" t="inlineStr">
        <is>
          <t>False</t>
        </is>
      </c>
      <c r="AJ744" s="2" t="str">
        <f>HYPERLINK("https://keepa.com/#!product/1-B0CKTWBRF2", "https://keepa.com/#!product/1-B0CKTWBRF2")</f>
      </c>
      <c r="AK744" s="2" t="str">
        <f>HYPERLINK("https://camelcamelcamel.com/search?sq=B0CKTWBRF2", "https://camelcamelcamel.com/search?sq=B0CKTWBRF2")</f>
      </c>
      <c r="AL744" t="inlineStr">
        <is>
          <t/>
        </is>
      </c>
      <c r="AM744" s="10">
        <v>45417.11111111111</v>
      </c>
      <c r="AN744" t="inlineStr">
        <is>
          <t>Carbona Color Grabberâ„¢ | Protects Laundry From Color Runs or Bleeds | Mix Whites &amp; Colors | In-Wash Dye Grabbing Sheets | 45 Count Box</t>
        </is>
      </c>
      <c r="AO744" t="inlineStr">
        <is>
          <t>3000</t>
        </is>
      </c>
      <c r="AP744" t="inlineStr">
        <is>
          <t>1000</t>
        </is>
      </c>
    </row>
    <row r="745">
      <c r="A745" t="inlineStr">
        <is>
          <t>B0CKWH18FP</t>
        </is>
      </c>
      <c r="B745" t="inlineStr">
        <is>
          <t>False</t>
        </is>
      </c>
      <c r="C745" t="inlineStr">
        <is>
          <t>B0CKWH18FP</t>
        </is>
      </c>
      <c r="D745" t="inlineStr">
        <is>
          <t>Natural Vitality</t>
        </is>
      </c>
      <c r="E745" t="inlineStr">
        <is>
          <t>False</t>
        </is>
      </c>
      <c r="F745" t="inlineStr">
        <is>
          <t>Natural Vitality CALM Sleep Gummies Magnesium Supplement, Melatonin &amp; Magnesium Citrate, Sleep Aid Gummies, L-Theanine, Gluten Free, Helps the Body Ease into Sleep, Blueberry Pomegranate 60 Count</t>
        </is>
      </c>
      <c r="G745">
        <v>1</v>
      </c>
      <c r="H745" s="2" t="str">
        <f>HYPERLINK("https://www.amazon.com/dp/B0CKWH18FP", "https://www.amazon.com/dp/B0CKWH18FP")</f>
      </c>
      <c r="I745" s="3">
        <v>5055</v>
      </c>
      <c r="J745" s="11">
        <v>2.55</v>
      </c>
      <c r="K745" s="5">
        <v>0.1358</v>
      </c>
      <c r="L745" s="5">
        <v>0.26839999999999997</v>
      </c>
      <c r="M745" t="inlineStr">
        <is>
          <t>True</t>
        </is>
      </c>
      <c r="N745" t="inlineStr">
        <is>
          <t>Health &amp; Household</t>
        </is>
      </c>
      <c r="O745" s="6">
        <v>5257</v>
      </c>
      <c r="P745" s="6">
        <v>7559</v>
      </c>
      <c r="Q745" s="6">
        <v>3562</v>
      </c>
      <c r="R745" s="6">
        <v>234</v>
      </c>
      <c r="S745" s="7">
        <v>9.5</v>
      </c>
      <c r="T745" s="7">
        <v>18.78</v>
      </c>
      <c r="U745">
        <v>16.68</v>
      </c>
      <c r="V745" s="8">
        <v>0</v>
      </c>
      <c r="W745" s="7">
        <v>0</v>
      </c>
      <c r="X745" s="7">
        <v>0</v>
      </c>
      <c r="Y745">
        <v>0.46</v>
      </c>
      <c r="Z745" s="9">
        <v>1</v>
      </c>
      <c r="AB745">
        <v>0</v>
      </c>
      <c r="AC745">
        <v>0</v>
      </c>
      <c r="AD745">
        <v>6</v>
      </c>
      <c r="AE745">
        <v>1</v>
      </c>
      <c r="AF745">
        <v>5</v>
      </c>
      <c r="AG745">
        <v>1</v>
      </c>
      <c r="AH745">
        <v>2</v>
      </c>
      <c r="AI745" t="inlineStr">
        <is>
          <t>False</t>
        </is>
      </c>
      <c r="AJ745" s="2" t="str">
        <f>HYPERLINK("https://keepa.com/#!product/1-B0CKWH18FP", "https://keepa.com/#!product/1-B0CKWH18FP")</f>
      </c>
      <c r="AK745" s="2" t="str">
        <f>HYPERLINK("https://camelcamelcamel.com/search?sq=B0CKWH18FP", "https://camelcamelcamel.com/search?sq=B0CKWH18FP")</f>
      </c>
      <c r="AL745" t="inlineStr">
        <is>
          <t/>
        </is>
      </c>
      <c r="AM745" s="10">
        <v>45417.11111111111</v>
      </c>
      <c r="AN745" t="inlineStr">
        <is>
          <t>Natural Vitality CALM Sleep Gummies Magnesium Supplement, Melatonin &amp; Magnesium Citrate, Sleep Aid Gummies, L-Theanine, Gluten Free, Helps the Body Ease into Sleep, Blueberry Pomegranate 60 Coun</t>
        </is>
      </c>
      <c r="AO745" t="inlineStr">
        <is>
          <t>1400</t>
        </is>
      </c>
      <c r="AP745" t="inlineStr">
        <is>
          <t>700</t>
        </is>
      </c>
    </row>
    <row r="746">
      <c r="A746" t="inlineStr">
        <is>
          <t>B0CLHFCYPK</t>
        </is>
      </c>
      <c r="B746" t="inlineStr">
        <is>
          <t>False</t>
        </is>
      </c>
      <c r="C746" t="inlineStr">
        <is>
          <t>B0CLHFCYPK</t>
        </is>
      </c>
      <c r="D746" t="inlineStr">
        <is>
          <t>RYOBI</t>
        </is>
      </c>
      <c r="E746" t="inlineStr">
        <is>
          <t>False</t>
        </is>
      </c>
      <c r="F746" t="inlineStr">
        <is>
          <t>RYOBI ONE+ HP 18V P25013 Brushless Compact Pruning Mini Chainsaw with 6-Inch Chain (Tool Only)</t>
        </is>
      </c>
      <c r="G746">
        <v>1</v>
      </c>
      <c r="H746" s="2" t="str">
        <f>HYPERLINK("https://www.amazon.com/dp/B0CLHFCYPK", "https://www.amazon.com/dp/B0CLHFCYPK")</f>
      </c>
      <c r="I746" s="3">
        <v>842</v>
      </c>
      <c r="J746" s="11">
        <v>0.56</v>
      </c>
      <c r="K746" s="5">
        <v>0.005600000000000001</v>
      </c>
      <c r="L746" s="5">
        <v>0.0076</v>
      </c>
      <c r="M746" t="inlineStr">
        <is>
          <t>True</t>
        </is>
      </c>
      <c r="N746" t="inlineStr">
        <is>
          <t>Patio, Lawn &amp; Garden</t>
        </is>
      </c>
      <c r="O746" s="6">
        <v>8701</v>
      </c>
      <c r="P746" s="6">
        <v>25324</v>
      </c>
      <c r="Q746" s="6">
        <v>8110</v>
      </c>
      <c r="R746" s="6">
        <v>181</v>
      </c>
      <c r="S746" s="7">
        <v>74</v>
      </c>
      <c r="T746" s="7">
        <v>100</v>
      </c>
      <c r="U746">
        <v>124.95</v>
      </c>
      <c r="V746" s="8">
        <v>0</v>
      </c>
      <c r="W746" s="7">
        <v>0</v>
      </c>
      <c r="X746" s="7">
        <v>0</v>
      </c>
      <c r="Y746">
        <v>4.81</v>
      </c>
      <c r="Z746" s="8">
        <v>0</v>
      </c>
      <c r="AB746">
        <v>0</v>
      </c>
      <c r="AC746">
        <v>0</v>
      </c>
      <c r="AD746">
        <v>28</v>
      </c>
      <c r="AE746">
        <v>16</v>
      </c>
      <c r="AF746">
        <v>10</v>
      </c>
      <c r="AG746">
        <v>2</v>
      </c>
      <c r="AH746">
        <v>0</v>
      </c>
      <c r="AI746" t="inlineStr">
        <is>
          <t>False</t>
        </is>
      </c>
      <c r="AJ746" s="2" t="str">
        <f>HYPERLINK("https://keepa.com/#!product/1-B0CLHFCYPK", "https://keepa.com/#!product/1-B0CLHFCYPK")</f>
      </c>
      <c r="AK746" s="2" t="str">
        <f>HYPERLINK("https://camelcamelcamel.com/search?sq=B0CLHFCYPK", "https://camelcamelcamel.com/search?sq=B0CLHFCYPK")</f>
      </c>
      <c r="AL746" t="inlineStr">
        <is>
          <t/>
        </is>
      </c>
      <c r="AM746" s="10">
        <v>45417.11111111111</v>
      </c>
      <c r="AN746" t="inlineStr">
        <is>
          <t>RYOBI Offer</t>
        </is>
      </c>
      <c r="AO746" t="inlineStr">
        <is>
          <t>730</t>
        </is>
      </c>
      <c r="AP746" t="inlineStr">
        <is>
          <t>TAKE ALL</t>
        </is>
      </c>
    </row>
    <row r="747">
      <c r="A747" t="inlineStr">
        <is>
          <t>B0CLX1HQ17</t>
        </is>
      </c>
      <c r="B747" t="inlineStr">
        <is>
          <t>False</t>
        </is>
      </c>
      <c r="C747" t="inlineStr">
        <is>
          <t>B0CLX1HQ17</t>
        </is>
      </c>
      <c r="D747" t="inlineStr">
        <is>
          <t>Philips Norelco</t>
        </is>
      </c>
      <c r="E747" t="inlineStr">
        <is>
          <t>True</t>
        </is>
      </c>
      <c r="F747" t="inlineStr">
        <is>
          <t>Philips Norelco Multi Groomer All-in-One Trimmer Series 3000-13 Piece Mens Grooming Kit for Beard, Face, Nose, Ear Hair Trimmer and Hair Clipper - NO Blade Oil Needed, MG3740/40</t>
        </is>
      </c>
      <c r="G747">
        <v>1</v>
      </c>
      <c r="H747" s="2" t="str">
        <f>HYPERLINK("https://www.amazon.com/dp/B0CLX1HQ17", "https://www.amazon.com/dp/B0CLX1HQ17")</f>
      </c>
      <c r="I747" s="3">
        <v>38752</v>
      </c>
      <c r="J747" s="11">
        <v>0.05</v>
      </c>
      <c r="K747" s="5">
        <v>0.0025</v>
      </c>
      <c r="L747" s="5">
        <v>0.0043</v>
      </c>
      <c r="M747" t="inlineStr">
        <is>
          <t>True</t>
        </is>
      </c>
      <c r="N747" t="inlineStr">
        <is>
          <t>Beauty &amp; Personal Care</t>
        </is>
      </c>
      <c r="O747" s="6">
        <v>136</v>
      </c>
      <c r="P747" s="6">
        <v>100</v>
      </c>
      <c r="Q747" s="6">
        <v>58</v>
      </c>
      <c r="R747" s="6">
        <v>247</v>
      </c>
      <c r="S747" s="7">
        <v>11.75</v>
      </c>
      <c r="T747" s="7">
        <v>19.96</v>
      </c>
      <c r="U747">
        <v>19.96</v>
      </c>
      <c r="V747" s="8">
        <v>0</v>
      </c>
      <c r="W747" s="7">
        <v>0</v>
      </c>
      <c r="X747" s="7">
        <v>0</v>
      </c>
      <c r="Y747">
        <v>0.77</v>
      </c>
      <c r="Z747" s="9">
        <v>1</v>
      </c>
      <c r="AB747">
        <v>0</v>
      </c>
      <c r="AC747">
        <v>0</v>
      </c>
      <c r="AD747">
        <v>6</v>
      </c>
      <c r="AE747">
        <v>1</v>
      </c>
      <c r="AF747">
        <v>2</v>
      </c>
      <c r="AG747">
        <v>1</v>
      </c>
      <c r="AH747">
        <v>1</v>
      </c>
      <c r="AI747" t="inlineStr">
        <is>
          <t>True</t>
        </is>
      </c>
      <c r="AJ747" s="2" t="str">
        <f>HYPERLINK("https://keepa.com/#!product/1-B0CLX1HQ17", "https://keepa.com/#!product/1-B0CLX1HQ17")</f>
      </c>
      <c r="AK747" s="2" t="str">
        <f>HYPERLINK("https://camelcamelcamel.com/search?sq=B0CLX1HQ17", "https://camelcamelcamel.com/search?sq=B0CLX1HQ17")</f>
      </c>
      <c r="AL747" t="inlineStr">
        <is>
          <t/>
        </is>
      </c>
      <c r="AM747" s="10">
        <v>45417.11111111111</v>
      </c>
      <c r="AN747" t="inlineStr">
        <is>
          <t>Philips Norelco Multi Groomer All-in-One Trimmer Series 3000-13 Piece Mens Grooming Kit for Beard, Face, Nose, Ear Hair Trimmer and Hair Clipper - NO Blade Oil Needed, MG3740/40</t>
        </is>
      </c>
      <c r="AO747" t="inlineStr">
        <is>
          <t>1600</t>
        </is>
      </c>
      <c r="AP747" t="inlineStr">
        <is>
          <t>TAKE ALL</t>
        </is>
      </c>
    </row>
    <row r="748">
      <c r="A748" t="inlineStr">
        <is>
          <t>B0CM2YBHZ3</t>
        </is>
      </c>
      <c r="B748" t="inlineStr">
        <is>
          <t>False</t>
        </is>
      </c>
      <c r="C748" t="inlineStr">
        <is>
          <t>B0CM2YBHZ3</t>
        </is>
      </c>
      <c r="D748" t="inlineStr">
        <is>
          <t>Chefman</t>
        </is>
      </c>
      <c r="E748" t="inlineStr">
        <is>
          <t>False</t>
        </is>
      </c>
      <c r="F748" t="inlineStr">
        <is>
          <t>CHEFMAN Indoor Pizza Oven - Makes 12 Inch Pizzas in Minutes, Heats up to 800°F - Countertop Electric Pizza Maker with 5 Touchscreen Presets, Pizza Stone and Peel Included - Stainless Steel</t>
        </is>
      </c>
      <c r="G748">
        <v>1</v>
      </c>
      <c r="H748" s="2" t="str">
        <f>HYPERLINK("https://www.amazon.com/dp/B0CM2YBHZ3", "https://www.amazon.com/dp/B0CM2YBHZ3")</f>
      </c>
      <c r="I748" s="3">
        <v>123</v>
      </c>
      <c r="J748" s="12">
        <v>-60.54</v>
      </c>
      <c r="K748" s="13">
        <v>-0.20879999999999999</v>
      </c>
      <c r="L748" s="13">
        <v>-0.2162</v>
      </c>
      <c r="M748" t="inlineStr">
        <is>
          <t>True</t>
        </is>
      </c>
      <c r="N748" t="inlineStr">
        <is>
          <t>Kitchen &amp; Dining</t>
        </is>
      </c>
      <c r="O748" s="6">
        <v>52901</v>
      </c>
      <c r="P748" s="6">
        <v>30064</v>
      </c>
      <c r="Q748" s="6">
        <v>7411</v>
      </c>
      <c r="R748" s="6">
        <v>168</v>
      </c>
      <c r="S748" s="7">
        <v>280</v>
      </c>
      <c r="T748" s="7">
        <v>289.99</v>
      </c>
      <c r="U748">
        <v>311.92</v>
      </c>
      <c r="V748" s="8">
        <v>0</v>
      </c>
      <c r="W748" s="7">
        <v>0</v>
      </c>
      <c r="X748" s="7">
        <v>0</v>
      </c>
      <c r="Y748">
        <v>35.71</v>
      </c>
      <c r="Z748" s="9">
        <v>1</v>
      </c>
      <c r="AB748">
        <v>0</v>
      </c>
      <c r="AC748">
        <v>0</v>
      </c>
      <c r="AD748">
        <v>18</v>
      </c>
      <c r="AE748">
        <v>2</v>
      </c>
      <c r="AF748">
        <v>10</v>
      </c>
      <c r="AG748">
        <v>1</v>
      </c>
      <c r="AH748">
        <v>2</v>
      </c>
      <c r="AI748" t="inlineStr">
        <is>
          <t>False</t>
        </is>
      </c>
      <c r="AJ748" s="2" t="str">
        <f>HYPERLINK("https://keepa.com/#!product/1-B0CM2YBHZ3", "https://keepa.com/#!product/1-B0CM2YBHZ3")</f>
      </c>
      <c r="AK748" s="2" t="str">
        <f>HYPERLINK("https://camelcamelcamel.com/search?sq=B0CM2YBHZ3", "https://camelcamelcamel.com/search?sq=B0CM2YBHZ3")</f>
      </c>
      <c r="AL748" t="inlineStr">
        <is>
          <t/>
        </is>
      </c>
      <c r="AM748" s="10">
        <v>45417.11111111111</v>
      </c>
      <c r="AN748" t="inlineStr">
        <is>
          <t>CHEFMAN Indoor Pizza Oven - Makes 12 Inch Pizzas in Minutes, Heats up to 800Â°F - Countertop Electric Pizza Maker with 5 Touchscreen Presets, Pizza Stone and Peel Included - Stainless Steel</t>
        </is>
      </c>
      <c r="AO748" t="inlineStr">
        <is>
          <t>400</t>
        </is>
      </c>
      <c r="AP748" t="inlineStr">
        <is>
          <t>100</t>
        </is>
      </c>
    </row>
    <row r="749">
      <c r="A749" t="inlineStr">
        <is>
          <t>B0CMVBJQ8K</t>
        </is>
      </c>
      <c r="B749" t="inlineStr">
        <is>
          <t>False</t>
        </is>
      </c>
      <c r="C749" t="inlineStr">
        <is>
          <t>B0CMVBJQ8K</t>
        </is>
      </c>
      <c r="D749" t="inlineStr">
        <is>
          <t>Glade</t>
        </is>
      </c>
      <c r="E749" t="inlineStr">
        <is>
          <t>False</t>
        </is>
      </c>
      <c r="F749" t="inlineStr">
        <is>
          <t>Glade Automatic Spray Air Freshener, 6.2 Ounce (Pack of 6) (Strawberry Sundae Funday)</t>
        </is>
      </c>
      <c r="G749">
        <v>1</v>
      </c>
      <c r="H749" s="2" t="str">
        <f>HYPERLINK("https://www.amazon.com/dp/B0CMVBJQ8K", "https://www.amazon.com/dp/B0CMVBJQ8K")</f>
      </c>
      <c r="I749" s="3">
        <v>6264</v>
      </c>
      <c r="J749" s="12">
        <v>-7.69</v>
      </c>
      <c r="K749" s="13">
        <v>-0.2962</v>
      </c>
      <c r="L749" s="13">
        <v>-0.34950000000000003</v>
      </c>
      <c r="M749" t="inlineStr">
        <is>
          <t>True</t>
        </is>
      </c>
      <c r="N749" t="inlineStr">
        <is>
          <t>Health &amp; Household</t>
        </is>
      </c>
      <c r="O749" s="6">
        <v>4159</v>
      </c>
      <c r="P749" s="6">
        <v>3076</v>
      </c>
      <c r="Q749" s="6">
        <v>215</v>
      </c>
      <c r="R749" s="6">
        <v>225</v>
      </c>
      <c r="S749" s="7">
        <v>22</v>
      </c>
      <c r="T749" s="7">
        <v>25.96</v>
      </c>
      <c r="U749">
        <v>26.88</v>
      </c>
      <c r="V749" s="8">
        <v>0</v>
      </c>
      <c r="W749" s="7">
        <v>0</v>
      </c>
      <c r="X749" s="7">
        <v>0</v>
      </c>
      <c r="Y749">
        <v>3.62</v>
      </c>
      <c r="Z749" s="8">
        <v>0</v>
      </c>
      <c r="AB749">
        <v>0</v>
      </c>
      <c r="AC749">
        <v>0</v>
      </c>
      <c r="AD749">
        <v>8</v>
      </c>
      <c r="AE749">
        <v>0</v>
      </c>
      <c r="AF749">
        <v>8</v>
      </c>
      <c r="AG749">
        <v>4</v>
      </c>
      <c r="AH749">
        <v>89</v>
      </c>
      <c r="AI749" t="inlineStr">
        <is>
          <t>True</t>
        </is>
      </c>
      <c r="AJ749" s="2" t="str">
        <f>HYPERLINK("https://keepa.com/#!product/1-B0CMVBJQ8K", "https://keepa.com/#!product/1-B0CMVBJQ8K")</f>
      </c>
      <c r="AK749" s="2" t="str">
        <f>HYPERLINK("https://camelcamelcamel.com/search?sq=B0CMVBJQ8K", "https://camelcamelcamel.com/search?sq=B0CMVBJQ8K")</f>
      </c>
      <c r="AL749" t="inlineStr">
        <is>
          <t/>
        </is>
      </c>
      <c r="AM749" s="10">
        <v>45417.11111111111</v>
      </c>
      <c r="AN749" t="inlineStr">
        <is>
          <t>Glade Automatic Spray Air Freshener, 6.2 Ounce (Pack of 6) (Strawberry Sundae Funday)</t>
        </is>
      </c>
      <c r="AO749" t="inlineStr">
        <is>
          <t>300</t>
        </is>
      </c>
      <c r="AP749" t="inlineStr">
        <is>
          <t>TAKE ALL</t>
        </is>
      </c>
    </row>
    <row r="750">
      <c r="A750" t="inlineStr">
        <is>
          <t>B0CN6K4BND</t>
        </is>
      </c>
      <c r="B750" t="inlineStr">
        <is>
          <t>False</t>
        </is>
      </c>
      <c r="C750" t="inlineStr">
        <is>
          <t>B0CN6K4BND</t>
        </is>
      </c>
      <c r="D750" t="inlineStr">
        <is>
          <t>REDCON1</t>
        </is>
      </c>
      <c r="E750" t="inlineStr">
        <is>
          <t>False</t>
        </is>
      </c>
      <c r="F750" t="inlineStr">
        <is>
          <t>REDCON1 MRE Protein Bar, Cookies N' Cream - Contains MCT Oil + 20g of Whole Food Protein - Easily Digestible, Macro Balanced Low Sugar Meal Replacement Bar (12 Bars)</t>
        </is>
      </c>
      <c r="G750">
        <v>1</v>
      </c>
      <c r="H750" s="2" t="str">
        <f>HYPERLINK("https://www.amazon.com/dp/B0CN6K4BND", "https://www.amazon.com/dp/B0CN6K4BND")</f>
      </c>
      <c r="I750" s="3">
        <v>2490</v>
      </c>
      <c r="J750" s="11">
        <v>3.14</v>
      </c>
      <c r="K750" s="5">
        <v>0.11019999999999999</v>
      </c>
      <c r="L750" s="5">
        <v>0.2059</v>
      </c>
      <c r="M750" t="inlineStr">
        <is>
          <t>True</t>
        </is>
      </c>
      <c r="N750" t="inlineStr">
        <is>
          <t>Health &amp; Household</t>
        </is>
      </c>
      <c r="O750" s="6">
        <v>10480</v>
      </c>
      <c r="P750" s="6">
        <v>14833</v>
      </c>
      <c r="Q750" s="6">
        <v>8374</v>
      </c>
      <c r="R750" s="6">
        <v>112</v>
      </c>
      <c r="S750" s="7">
        <v>15.25</v>
      </c>
      <c r="T750" s="7">
        <v>28.49</v>
      </c>
      <c r="U750">
        <v>30.81</v>
      </c>
      <c r="V750" s="8">
        <v>0</v>
      </c>
      <c r="W750" s="7">
        <v>0</v>
      </c>
      <c r="X750" s="7">
        <v>0</v>
      </c>
      <c r="Y750">
        <v>1.94</v>
      </c>
      <c r="Z750" s="8">
        <v>0</v>
      </c>
      <c r="AB750">
        <v>0</v>
      </c>
      <c r="AC750">
        <v>0</v>
      </c>
      <c r="AD750">
        <v>2</v>
      </c>
      <c r="AE750">
        <v>2</v>
      </c>
      <c r="AF750">
        <v>0</v>
      </c>
      <c r="AG750">
        <v>1</v>
      </c>
      <c r="AH750">
        <v>15</v>
      </c>
      <c r="AI750" t="inlineStr">
        <is>
          <t>False</t>
        </is>
      </c>
      <c r="AJ750" s="2" t="str">
        <f>HYPERLINK("https://keepa.com/#!product/1-B0CN6K4BND", "https://keepa.com/#!product/1-B0CN6K4BND")</f>
      </c>
      <c r="AK750" s="2" t="str">
        <f>HYPERLINK("https://camelcamelcamel.com/search?sq=B0CN6K4BND", "https://camelcamelcamel.com/search?sq=B0CN6K4BND")</f>
      </c>
      <c r="AL750" t="inlineStr">
        <is>
          <t/>
        </is>
      </c>
      <c r="AM750" s="10">
        <v>45417.11111111111</v>
      </c>
      <c r="AN750" t="inlineStr">
        <is>
          <t>REDCON1 MRE Protein Bar, Cookies N' Cream - Contains MCT Oil + 20g of Whole Food Protein - Easily Digestible, Macro Balanced Low Sugar Meal Replacement Bar (12 Bars)</t>
        </is>
      </c>
      <c r="AO750" t="inlineStr">
        <is>
          <t>3000</t>
        </is>
      </c>
      <c r="AP750" t="inlineStr">
        <is>
          <t>1000</t>
        </is>
      </c>
    </row>
    <row r="751">
      <c r="A751" t="inlineStr">
        <is>
          <t>B0CNTS276L</t>
        </is>
      </c>
      <c r="B751" t="inlineStr">
        <is>
          <t>False</t>
        </is>
      </c>
      <c r="C751" t="inlineStr">
        <is>
          <t>B0CNTS276L</t>
        </is>
      </c>
      <c r="D751" t="inlineStr">
        <is>
          <t>jetolo</t>
        </is>
      </c>
      <c r="E751" t="inlineStr">
        <is>
          <t>False</t>
        </is>
      </c>
      <c r="F751" t="inlineStr">
        <is>
          <t>Portable Mini Washing Machine,Small Washer for RV,Travel,Dorm,Apartment; Portable washer with Upgraded Capacity(9L) and Round Body for Underwear,Baby Clothes,Pet Garments or Other Small Items.Green</t>
        </is>
      </c>
      <c r="G751">
        <v>1</v>
      </c>
      <c r="H751" s="2" t="str">
        <f>HYPERLINK("https://www.amazon.com/dp/B0CNTS276L", "https://www.amazon.com/dp/B0CNTS276L")</f>
      </c>
      <c r="I751" s="3">
        <v>456</v>
      </c>
      <c r="J751" s="4">
        <v>5.04</v>
      </c>
      <c r="K751" s="5">
        <v>0.14</v>
      </c>
      <c r="L751" s="15">
        <v>0.315</v>
      </c>
      <c r="M751" t="inlineStr">
        <is>
          <t>True</t>
        </is>
      </c>
      <c r="N751" t="inlineStr">
        <is>
          <t>Appliances</t>
        </is>
      </c>
      <c r="O751" s="6">
        <v>144</v>
      </c>
      <c r="P751" s="6">
        <v>1346</v>
      </c>
      <c r="Q751" s="6">
        <v>72</v>
      </c>
      <c r="R751" s="6">
        <v>124</v>
      </c>
      <c r="S751" s="7">
        <v>16</v>
      </c>
      <c r="T751" s="7">
        <v>35.99</v>
      </c>
      <c r="U751">
        <v>51.44</v>
      </c>
      <c r="V751" s="8">
        <v>0</v>
      </c>
      <c r="W751" s="7">
        <v>0</v>
      </c>
      <c r="X751" s="7">
        <v>0</v>
      </c>
      <c r="Y751">
        <v>5.58</v>
      </c>
      <c r="Z751" s="8">
        <v>0</v>
      </c>
      <c r="AB751">
        <v>0</v>
      </c>
      <c r="AC751">
        <v>0</v>
      </c>
      <c r="AD751">
        <v>3</v>
      </c>
      <c r="AE751">
        <v>2</v>
      </c>
      <c r="AF751">
        <v>1</v>
      </c>
      <c r="AG751">
        <v>1</v>
      </c>
      <c r="AH751">
        <v>4</v>
      </c>
      <c r="AI751" t="inlineStr">
        <is>
          <t>False</t>
        </is>
      </c>
      <c r="AJ751" s="2" t="str">
        <f>HYPERLINK("https://keepa.com/#!product/1-B0CNTS276L", "https://keepa.com/#!product/1-B0CNTS276L")</f>
      </c>
      <c r="AK751" s="2" t="str">
        <f>HYPERLINK("https://camelcamelcamel.com/search?sq=B0CNTS276L", "https://camelcamelcamel.com/search?sq=B0CNTS276L")</f>
      </c>
      <c r="AL751" t="inlineStr">
        <is>
          <t/>
        </is>
      </c>
      <c r="AM751" s="10">
        <v>45417.11111111111</v>
      </c>
      <c r="AN751" t="inlineStr">
        <is>
          <t>Portable Mini Washing Machine,Small Washer for RV,Travel,Dorm,Apartment; Portable washer with Upgraded Capacity(9L) and Round Body for Underwear,Baby Clothes,Pet Garments or Other Small Items.Green</t>
        </is>
      </c>
      <c r="AO751" t="inlineStr">
        <is>
          <t>190</t>
        </is>
      </c>
      <c r="AP751" t="inlineStr">
        <is>
          <t>TAKE ALL</t>
        </is>
      </c>
    </row>
    <row r="752">
      <c r="A752" t="inlineStr">
        <is>
          <t>B0CNTTL6TF</t>
        </is>
      </c>
      <c r="B752" t="inlineStr">
        <is>
          <t>False</t>
        </is>
      </c>
      <c r="C752" t="inlineStr">
        <is>
          <t>B0CNTTL6TF</t>
        </is>
      </c>
      <c r="D752" t="inlineStr">
        <is>
          <t>jetolo</t>
        </is>
      </c>
      <c r="E752" t="inlineStr">
        <is>
          <t>False</t>
        </is>
      </c>
      <c r="F752" t="inlineStr">
        <is>
          <t>Portable Mini Washing Machine, 9 Litre Large Capacity Mini Washer for Underwear, Foldable Washing Machine with Upgraded Capacity and Round Body for Baby Clothes,Pet Garments or Other Small Items.</t>
        </is>
      </c>
      <c r="G752">
        <v>1</v>
      </c>
      <c r="H752" s="2" t="str">
        <f>HYPERLINK("https://www.amazon.com/dp/B0CNTTL6TF", "https://www.amazon.com/dp/B0CNTTL6TF")</f>
      </c>
      <c r="I752" s="3">
        <v>456</v>
      </c>
      <c r="J752" s="4">
        <v>7.63</v>
      </c>
      <c r="K752" s="5">
        <v>0.19079999999999997</v>
      </c>
      <c r="L752" s="15">
        <v>0.44880000000000003</v>
      </c>
      <c r="M752" t="inlineStr">
        <is>
          <t>True</t>
        </is>
      </c>
      <c r="N752" t="inlineStr">
        <is>
          <t>Appliances</t>
        </is>
      </c>
      <c r="O752" s="6">
        <v>144</v>
      </c>
      <c r="P752" s="6">
        <v>5499</v>
      </c>
      <c r="Q752" s="6">
        <v>67</v>
      </c>
      <c r="R752" s="6">
        <v>51</v>
      </c>
      <c r="S752" s="7">
        <v>17</v>
      </c>
      <c r="T752" s="7">
        <v>39.99</v>
      </c>
      <c r="U752">
        <v>53.65</v>
      </c>
      <c r="V752" s="8">
        <v>0</v>
      </c>
      <c r="W752" s="7">
        <v>0</v>
      </c>
      <c r="X752" s="7">
        <v>0</v>
      </c>
      <c r="Y752">
        <v>5.2</v>
      </c>
      <c r="Z752" s="8">
        <v>0</v>
      </c>
      <c r="AB752">
        <v>0</v>
      </c>
      <c r="AC752">
        <v>0</v>
      </c>
      <c r="AD752">
        <v>1</v>
      </c>
      <c r="AE752">
        <v>1</v>
      </c>
      <c r="AF752">
        <v>0</v>
      </c>
      <c r="AG752">
        <v>1</v>
      </c>
      <c r="AH752">
        <v>4</v>
      </c>
      <c r="AI752" t="inlineStr">
        <is>
          <t>False</t>
        </is>
      </c>
      <c r="AJ752" s="2" t="str">
        <f>HYPERLINK("https://keepa.com/#!product/1-B0CNTTL6TF", "https://keepa.com/#!product/1-B0CNTTL6TF")</f>
      </c>
      <c r="AK752" s="2" t="str">
        <f>HYPERLINK("https://camelcamelcamel.com/search?sq=B0CNTTL6TF", "https://camelcamelcamel.com/search?sq=B0CNTTL6TF")</f>
      </c>
      <c r="AL752" t="inlineStr">
        <is>
          <t/>
        </is>
      </c>
      <c r="AM752" s="10">
        <v>45417.11111111111</v>
      </c>
      <c r="AN752" t="inlineStr">
        <is>
          <t>Portable Mini Washing Machine, 9 Litre Large Capacity Mini Washer for Underwear, Foldable Washing Machine with Upgraded Capacity and Round Body for Baby Clothes,Pet Garments or Other Small Items</t>
        </is>
      </c>
      <c r="AO752" t="inlineStr">
        <is>
          <t>200</t>
        </is>
      </c>
      <c r="AP752" t="inlineStr">
        <is>
          <t>TAKE ALL</t>
        </is>
      </c>
    </row>
    <row r="753">
      <c r="A753" t="inlineStr">
        <is>
          <t>B0CP8VPMG7</t>
        </is>
      </c>
      <c r="B753" t="inlineStr">
        <is>
          <t>False</t>
        </is>
      </c>
      <c r="C753" t="inlineStr">
        <is>
          <t>B0CP8VPMG7</t>
        </is>
      </c>
      <c r="D753" t="inlineStr">
        <is>
          <t>jetolo</t>
        </is>
      </c>
      <c r="E753" t="inlineStr">
        <is>
          <t>False</t>
        </is>
      </c>
      <c r="F753" t="inlineStr">
        <is>
          <t>Portable washing Machine,Foldable Small Washer, Mini Washing Machine for Baby Clothes,Underwear or Small Items,Apartment,Dorm,Camping,RV Travel laundry- Upgraded New power of 60W-Lavender Color</t>
        </is>
      </c>
      <c r="G753">
        <v>1</v>
      </c>
      <c r="H753" s="2" t="str">
        <f>HYPERLINK("https://www.amazon.com/dp/B0CP8VPMG7", "https://www.amazon.com/dp/B0CP8VPMG7")</f>
      </c>
      <c r="I753" s="3">
        <v>456</v>
      </c>
      <c r="J753" s="4">
        <v>4.95</v>
      </c>
      <c r="K753" s="5">
        <v>0.14150000000000001</v>
      </c>
      <c r="L753" s="15">
        <v>0.3094</v>
      </c>
      <c r="M753" t="inlineStr">
        <is>
          <t>True</t>
        </is>
      </c>
      <c r="N753" t="inlineStr">
        <is>
          <t>Appliances</t>
        </is>
      </c>
      <c r="O753" s="6">
        <v>144</v>
      </c>
      <c r="P753" s="6">
        <v>0</v>
      </c>
      <c r="Q753" s="6">
        <v>0</v>
      </c>
      <c r="R753" s="6">
        <v>0</v>
      </c>
      <c r="S753" s="7">
        <v>16</v>
      </c>
      <c r="T753" s="7">
        <v>34.99</v>
      </c>
      <c r="U753">
        <v>54.47</v>
      </c>
      <c r="V753" s="8">
        <v>0</v>
      </c>
      <c r="W753" s="7">
        <v>0</v>
      </c>
      <c r="X753" s="7">
        <v>0</v>
      </c>
      <c r="Y753">
        <v>5.03</v>
      </c>
      <c r="Z753" s="8">
        <v>0</v>
      </c>
      <c r="AB753">
        <v>0</v>
      </c>
      <c r="AC753">
        <v>0</v>
      </c>
      <c r="AD753">
        <v>2</v>
      </c>
      <c r="AE753">
        <v>1</v>
      </c>
      <c r="AF753">
        <v>0</v>
      </c>
      <c r="AG753">
        <v>1</v>
      </c>
      <c r="AH753">
        <v>4</v>
      </c>
      <c r="AI753" t="inlineStr">
        <is>
          <t>False</t>
        </is>
      </c>
      <c r="AJ753" s="2" t="str">
        <f>HYPERLINK("https://keepa.com/#!product/1-B0CP8VPMG7", "https://keepa.com/#!product/1-B0CP8VPMG7")</f>
      </c>
      <c r="AK753" s="2" t="str">
        <f>HYPERLINK("https://camelcamelcamel.com/search?sq=B0CP8VPMG7", "https://camelcamelcamel.com/search?sq=B0CP8VPMG7")</f>
      </c>
      <c r="AL753" t="inlineStr">
        <is>
          <t/>
        </is>
      </c>
      <c r="AM753" s="10">
        <v>45417.11111111111</v>
      </c>
      <c r="AN753" t="inlineStr">
        <is>
          <t>Portable washing Machine,Foldable Small Washer, Mini Washing Machine for Baby Clothes,Underwear or Small Items,Apartment,Dorm,Camping,RV Travel laundry- Upgraded New power of 60W-Lavender Color</t>
        </is>
      </c>
      <c r="AO753" t="inlineStr">
        <is>
          <t>300</t>
        </is>
      </c>
      <c r="AP753" t="inlineStr">
        <is>
          <t>150</t>
        </is>
      </c>
    </row>
    <row r="754">
      <c r="A754" t="inlineStr">
        <is>
          <t>B0CPGFQJM4</t>
        </is>
      </c>
      <c r="B754" t="inlineStr">
        <is>
          <t>False</t>
        </is>
      </c>
      <c r="C754" t="inlineStr">
        <is>
          <t>B0CPGFQJM4</t>
        </is>
      </c>
      <c r="D754" t="inlineStr">
        <is>
          <t>RUBY HORSEPOWER</t>
        </is>
      </c>
      <c r="E754" t="inlineStr">
        <is>
          <t>False</t>
        </is>
      </c>
      <c r="F754" t="inlineStr">
        <is>
          <t>Horsepower Scrubber AS-SEEN-ON-TV Waterproof Rechargeable Handheld 350 RPM Includes 5 Brush Heads, Blast Away Dirt &amp; Grime, Tile Grout, Bathrooms, Kitchen, Auto Rims, Outdoor Furniture</t>
        </is>
      </c>
      <c r="G754">
        <v>1</v>
      </c>
      <c r="H754" s="2" t="str">
        <f>HYPERLINK("https://www.amazon.com/dp/B0CPGFQJM4", "https://www.amazon.com/dp/B0CPGFQJM4")</f>
      </c>
      <c r="I754" s="14">
        <v>5</v>
      </c>
      <c r="J754" s="4">
        <v>10.68</v>
      </c>
      <c r="K754" s="5">
        <v>0.21850000000000003</v>
      </c>
      <c r="L754" s="15">
        <v>0.4315</v>
      </c>
      <c r="M754" t="inlineStr">
        <is>
          <t>True</t>
        </is>
      </c>
      <c r="N754" t="inlineStr">
        <is>
          <t>Kitchen</t>
        </is>
      </c>
      <c r="P754" s="6">
        <v>17709</v>
      </c>
      <c r="Q754" s="6">
        <v>56</v>
      </c>
      <c r="R754" s="6">
        <v>69</v>
      </c>
      <c r="S754" s="7">
        <v>24.75</v>
      </c>
      <c r="T754" s="7">
        <v>48.88</v>
      </c>
      <c r="U754">
        <v>51.69</v>
      </c>
      <c r="V754" s="8">
        <v>0</v>
      </c>
      <c r="W754" s="7">
        <v>0</v>
      </c>
      <c r="X754" s="7">
        <v>0</v>
      </c>
      <c r="Y754">
        <v>1.68</v>
      </c>
      <c r="Z754" s="9">
        <v>0.93</v>
      </c>
      <c r="AB754">
        <v>0</v>
      </c>
      <c r="AC754">
        <v>0</v>
      </c>
      <c r="AD754">
        <v>8</v>
      </c>
      <c r="AE754">
        <v>3</v>
      </c>
      <c r="AF754">
        <v>1</v>
      </c>
      <c r="AG754">
        <v>3</v>
      </c>
      <c r="AH754">
        <v>0</v>
      </c>
      <c r="AI754" t="inlineStr">
        <is>
          <t>True</t>
        </is>
      </c>
      <c r="AJ754" s="2" t="str">
        <f>HYPERLINK("https://keepa.com/#!product/1-B0CPGFQJM4", "https://keepa.com/#!product/1-B0CPGFQJM4")</f>
      </c>
      <c r="AK754" s="2" t="str">
        <f>HYPERLINK("https://camelcamelcamel.com/search?sq=B0CPGFQJM4", "https://camelcamelcamel.com/search?sq=B0CPGFQJM4")</f>
      </c>
      <c r="AL754" t="inlineStr">
        <is>
          <t/>
        </is>
      </c>
      <c r="AM754" s="10">
        <v>45417.11111111111</v>
      </c>
      <c r="AN754" t="inlineStr">
        <is>
          <t>Horsepower Scrubber AS-SEEN-ON-TV Waterproof Rechargeable Handheld 350 RPM Includes 5 Brush Heads, Blast Away Dirt &amp; Grime, Tile Grout, Bathrooms, Kitchen, Auto Rims, Outdoor Furniture</t>
        </is>
      </c>
      <c r="AO754" t="inlineStr">
        <is>
          <t>5000</t>
        </is>
      </c>
      <c r="AP754" t="inlineStr">
        <is>
          <t>500</t>
        </is>
      </c>
    </row>
    <row r="755">
      <c r="A755" t="inlineStr">
        <is>
          <t>B0CPKVB5N1</t>
        </is>
      </c>
      <c r="B755" t="inlineStr">
        <is>
          <t>False</t>
        </is>
      </c>
      <c r="C755" t="inlineStr">
        <is>
          <t>B0CPKVB5N1</t>
        </is>
      </c>
      <c r="D755" t="inlineStr">
        <is>
          <t>Crayola</t>
        </is>
      </c>
      <c r="E755" t="inlineStr">
        <is>
          <t>True</t>
        </is>
      </c>
      <c r="F755" t="inlineStr">
        <is>
          <t>Crayola Color Wonder, Daniel Tiger's Neighborhood, 8 Small, Mess Free Coloring Pages and Markers Kids Indoor Activities at Home, Gift for Age 3, 4, 5, 6</t>
        </is>
      </c>
      <c r="G755">
        <v>1</v>
      </c>
      <c r="H755" s="2" t="str">
        <f>HYPERLINK("https://www.amazon.com/dp/B0CPKVB5N1", "https://www.amazon.com/dp/B0CPKVB5N1")</f>
      </c>
      <c r="I755" s="3">
        <v>71</v>
      </c>
      <c r="J755" s="11">
        <v>0.59</v>
      </c>
      <c r="K755" s="5">
        <v>0.0591</v>
      </c>
      <c r="L755" s="5">
        <v>0.1242</v>
      </c>
      <c r="M755" t="inlineStr">
        <is>
          <t>True</t>
        </is>
      </c>
      <c r="N755" t="inlineStr">
        <is>
          <t>Toys &amp; Games</t>
        </is>
      </c>
      <c r="O755" s="6">
        <v>101945</v>
      </c>
      <c r="P755" s="6">
        <v>62942</v>
      </c>
      <c r="Q755" s="6">
        <v>5318</v>
      </c>
      <c r="R755" s="6">
        <v>104</v>
      </c>
      <c r="S755" s="7">
        <v>4.75</v>
      </c>
      <c r="T755" s="7">
        <v>9.99</v>
      </c>
      <c r="U755">
        <v>9.93</v>
      </c>
      <c r="V755" s="8">
        <v>0</v>
      </c>
      <c r="W755" s="7">
        <v>0</v>
      </c>
      <c r="X755" s="7">
        <v>0</v>
      </c>
      <c r="Y755">
        <v>0.17</v>
      </c>
      <c r="Z755" s="8">
        <v>0</v>
      </c>
      <c r="AB755">
        <v>0</v>
      </c>
      <c r="AC755">
        <v>0</v>
      </c>
      <c r="AD755">
        <v>1</v>
      </c>
      <c r="AE755">
        <v>1</v>
      </c>
      <c r="AF755">
        <v>0</v>
      </c>
      <c r="AG755">
        <v>1</v>
      </c>
      <c r="AH755">
        <v>0</v>
      </c>
      <c r="AI755" t="inlineStr">
        <is>
          <t>True</t>
        </is>
      </c>
      <c r="AJ755" s="2" t="str">
        <f>HYPERLINK("https://keepa.com/#!product/1-B0CPKVB5N1", "https://keepa.com/#!product/1-B0CPKVB5N1")</f>
      </c>
      <c r="AK755" s="2" t="str">
        <f>HYPERLINK("https://camelcamelcamel.com/search?sq=B0CPKVB5N1", "https://camelcamelcamel.com/search?sq=B0CPKVB5N1")</f>
      </c>
      <c r="AL755" t="inlineStr">
        <is>
          <t/>
        </is>
      </c>
      <c r="AM755" s="10">
        <v>45417.11111111111</v>
      </c>
      <c r="AN755" t="inlineStr">
        <is>
          <t>Crayola Color Wonder, Daniel Tiger's Neighborhood, 8 Small, Mess Free Coloring Pages and Markers Kids Indoor Activities at Home, Gift for Age 3, 4, 5, 6</t>
        </is>
      </c>
      <c r="AO755" t="inlineStr">
        <is>
          <t>500</t>
        </is>
      </c>
      <c r="AP755" t="inlineStr">
        <is>
          <t>TAKE ALL</t>
        </is>
      </c>
    </row>
    <row r="756">
      <c r="A756" t="inlineStr">
        <is>
          <t>B0CPNZYW3F</t>
        </is>
      </c>
      <c r="B756" t="inlineStr">
        <is>
          <t>False</t>
        </is>
      </c>
      <c r="C756" t="inlineStr">
        <is>
          <t>B0CPNZYW3F</t>
        </is>
      </c>
      <c r="D756" t="inlineStr">
        <is>
          <t>Cesar</t>
        </is>
      </c>
      <c r="E756" t="inlineStr">
        <is>
          <t>False</t>
        </is>
      </c>
      <c r="F756" t="inlineStr">
        <is>
          <t>Cesar Filets in Gravy Wet Dog Food Rotisserie Chicken Flavor, 1.76 oz. Mini-Pouch, 20 Pack</t>
        </is>
      </c>
      <c r="G756">
        <v>1</v>
      </c>
      <c r="H756" s="2" t="str">
        <f>HYPERLINK("https://www.amazon.com/dp/B0CPNZYW3F", "https://www.amazon.com/dp/B0CPNZYW3F")</f>
      </c>
      <c r="I756" s="3">
        <v>929</v>
      </c>
      <c r="J756" s="11">
        <v>1.23</v>
      </c>
      <c r="K756" s="5">
        <v>0.069</v>
      </c>
      <c r="L756" s="5">
        <v>0.15869999999999998</v>
      </c>
      <c r="M756" t="inlineStr">
        <is>
          <t>True</t>
        </is>
      </c>
      <c r="N756" t="inlineStr">
        <is>
          <t>Pet Supplies</t>
        </is>
      </c>
      <c r="O756" s="6">
        <v>8272</v>
      </c>
      <c r="P756" s="6">
        <v>28204</v>
      </c>
      <c r="Q756" s="6">
        <v>6869</v>
      </c>
      <c r="R756" s="6">
        <v>127</v>
      </c>
      <c r="S756" s="7">
        <v>7.75</v>
      </c>
      <c r="T756" s="7">
        <v>17.82</v>
      </c>
      <c r="U756">
        <v>19.71</v>
      </c>
      <c r="V756" s="8">
        <v>0</v>
      </c>
      <c r="W756" s="7">
        <v>0</v>
      </c>
      <c r="X756" s="7">
        <v>0</v>
      </c>
      <c r="Y756">
        <v>2.74</v>
      </c>
      <c r="Z756" s="9">
        <v>0.77</v>
      </c>
      <c r="AB756">
        <v>0</v>
      </c>
      <c r="AC756">
        <v>0</v>
      </c>
      <c r="AD756">
        <v>3</v>
      </c>
      <c r="AE756">
        <v>1</v>
      </c>
      <c r="AF756">
        <v>2</v>
      </c>
      <c r="AG756">
        <v>1</v>
      </c>
      <c r="AH756">
        <v>0</v>
      </c>
      <c r="AI756" t="inlineStr">
        <is>
          <t>False</t>
        </is>
      </c>
      <c r="AJ756" s="2" t="str">
        <f>HYPERLINK("https://keepa.com/#!product/1-B0CPNZYW3F", "https://keepa.com/#!product/1-B0CPNZYW3F")</f>
      </c>
      <c r="AK756" s="2" t="str">
        <f>HYPERLINK("https://camelcamelcamel.com/search?sq=B0CPNZYW3F", "https://camelcamelcamel.com/search?sq=B0CPNZYW3F")</f>
      </c>
      <c r="AL756" t="inlineStr">
        <is>
          <t/>
        </is>
      </c>
      <c r="AM756" s="10">
        <v>45417.11111111111</v>
      </c>
      <c r="AN756" t="inlineStr">
        <is>
          <t>Cesar Filets in Gravy Wet Dog Food Rotisserie Chicken Flavor, 1.76 oz. Mini-Pouch, 20 Pack</t>
        </is>
      </c>
      <c r="AO756" t="inlineStr">
        <is>
          <t>350</t>
        </is>
      </c>
      <c r="AP756" t="inlineStr">
        <is>
          <t>TAKE ALL</t>
        </is>
      </c>
    </row>
    <row r="757">
      <c r="A757" t="inlineStr">
        <is>
          <t>B0CQ4QHVTL</t>
        </is>
      </c>
      <c r="B757" t="inlineStr">
        <is>
          <t>False</t>
        </is>
      </c>
      <c r="C757" t="inlineStr">
        <is>
          <t>B0CQ4QHVTL</t>
        </is>
      </c>
      <c r="D757" t="inlineStr">
        <is>
          <t>amzchef</t>
        </is>
      </c>
      <c r="E757" t="inlineStr">
        <is>
          <t>False</t>
        </is>
      </c>
      <c r="F757" t="inlineStr">
        <is>
          <t>AMZCHEF Cold Press Juicer, Juicer Machine with Large Feed Chute for Whole Fruits and Vegetables - Durable Stainless Steel Masticating Juicer, Large Auger, Double Strainers (silvery iron)</t>
        </is>
      </c>
      <c r="G757">
        <v>1</v>
      </c>
      <c r="H757" s="2" t="str">
        <f>HYPERLINK("https://www.amazon.com/dp/B0CQ4QHVTL", "https://www.amazon.com/dp/B0CQ4QHVTL")</f>
      </c>
      <c r="I757" s="3">
        <v>687</v>
      </c>
      <c r="J757" s="12">
        <v>-7.74</v>
      </c>
      <c r="K757" s="13">
        <v>-0.0774</v>
      </c>
      <c r="L757" s="13">
        <v>-0.09380000000000001</v>
      </c>
      <c r="M757" t="inlineStr">
        <is>
          <t>True</t>
        </is>
      </c>
      <c r="N757" t="inlineStr">
        <is>
          <t>Kitchen &amp; Dining</t>
        </is>
      </c>
      <c r="O757" s="6">
        <v>10892</v>
      </c>
      <c r="P757" s="6">
        <v>39739</v>
      </c>
      <c r="Q757" s="6">
        <v>4562</v>
      </c>
      <c r="R757" s="6">
        <v>131</v>
      </c>
      <c r="S757" s="7">
        <v>82.5</v>
      </c>
      <c r="T757" s="7">
        <v>99.99</v>
      </c>
      <c r="U757">
        <v>162.08</v>
      </c>
      <c r="V757" s="8">
        <v>0</v>
      </c>
      <c r="W757" s="7">
        <v>0</v>
      </c>
      <c r="X757" s="7">
        <v>0</v>
      </c>
      <c r="Y757">
        <v>8.07</v>
      </c>
      <c r="Z757" s="8">
        <v>0</v>
      </c>
      <c r="AB757">
        <v>0</v>
      </c>
      <c r="AC757">
        <v>0</v>
      </c>
      <c r="AD757">
        <v>1</v>
      </c>
      <c r="AE757">
        <v>1</v>
      </c>
      <c r="AF757">
        <v>0</v>
      </c>
      <c r="AG757">
        <v>1</v>
      </c>
      <c r="AH757">
        <v>2</v>
      </c>
      <c r="AI757" t="inlineStr">
        <is>
          <t>False</t>
        </is>
      </c>
      <c r="AJ757" s="2" t="str">
        <f>HYPERLINK("https://keepa.com/#!product/1-B0CQ4QHVTL", "https://keepa.com/#!product/1-B0CQ4QHVTL")</f>
      </c>
      <c r="AK757" s="2" t="str">
        <f>HYPERLINK("https://camelcamelcamel.com/search?sq=B0CQ4QHVTL", "https://camelcamelcamel.com/search?sq=B0CQ4QHVTL")</f>
      </c>
      <c r="AL757" t="inlineStr">
        <is>
          <t/>
        </is>
      </c>
      <c r="AM757" s="10">
        <v>45417.11111111111</v>
      </c>
      <c r="AN757" t="inlineStr">
        <is>
          <t>AMZCHEF Cold Press Juicer, Juicer Machine with Large Feed Chute for Whole Fruits and Vegetables - Durable Stainless Steel Masticating Juicer, Large Auger, Double Strainers (silvery iron)</t>
        </is>
      </c>
      <c r="AO757" t="inlineStr">
        <is>
          <t>500</t>
        </is>
      </c>
      <c r="AP757" t="inlineStr">
        <is>
          <t>TAKE ALL</t>
        </is>
      </c>
    </row>
    <row r="758">
      <c r="A758" t="inlineStr">
        <is>
          <t>B0CQ8W2NHN</t>
        </is>
      </c>
      <c r="B758" t="inlineStr">
        <is>
          <t>False</t>
        </is>
      </c>
      <c r="C758" t="inlineStr">
        <is>
          <t>B0CQ8W2NHN</t>
        </is>
      </c>
      <c r="D758" t="inlineStr">
        <is>
          <t>West Bend</t>
        </is>
      </c>
      <c r="E758" t="inlineStr">
        <is>
          <t>False</t>
        </is>
      </c>
      <c r="F758" t="inlineStr">
        <is>
          <t>West Bend Stir Crazy Movie Theater Popcorn Popper, Gourmet Popcorn Maker Machine with Nonstick Popcorn Kettle and Popcorn Scoop for Popcorn Machine, 4 Qt., Black</t>
        </is>
      </c>
      <c r="G758">
        <v>1</v>
      </c>
      <c r="H758" s="2" t="str">
        <f>HYPERLINK("https://www.amazon.com/dp/B0CQ8W2NHN", "https://www.amazon.com/dp/B0CQ8W2NHN")</f>
      </c>
      <c r="I758" s="3">
        <v>3816</v>
      </c>
      <c r="J758" s="12">
        <v>-14.32</v>
      </c>
      <c r="K758" s="13">
        <v>-0.26039999999999996</v>
      </c>
      <c r="L758" s="13">
        <v>-0.3369</v>
      </c>
      <c r="M758" t="inlineStr">
        <is>
          <t>True</t>
        </is>
      </c>
      <c r="N758" t="inlineStr">
        <is>
          <t>Kitchen &amp; Dining</t>
        </is>
      </c>
      <c r="O758" s="6">
        <v>1299</v>
      </c>
      <c r="P758" s="6">
        <v>1976</v>
      </c>
      <c r="Q758" s="6">
        <v>829</v>
      </c>
      <c r="R758" s="6">
        <v>204</v>
      </c>
      <c r="S758" s="7">
        <v>42.5</v>
      </c>
      <c r="T758" s="7">
        <v>54.99</v>
      </c>
      <c r="U758">
        <v>68.18</v>
      </c>
      <c r="V758" s="8">
        <v>0</v>
      </c>
      <c r="W758" s="7">
        <v>0</v>
      </c>
      <c r="X758" s="7">
        <v>0</v>
      </c>
      <c r="Y758">
        <v>10.75</v>
      </c>
      <c r="Z758" s="9">
        <v>1</v>
      </c>
      <c r="AB758">
        <v>0</v>
      </c>
      <c r="AC758">
        <v>0</v>
      </c>
      <c r="AD758">
        <v>10</v>
      </c>
      <c r="AE758">
        <v>7</v>
      </c>
      <c r="AF758">
        <v>0</v>
      </c>
      <c r="AG758">
        <v>3</v>
      </c>
      <c r="AH758">
        <v>6</v>
      </c>
      <c r="AI758" t="inlineStr">
        <is>
          <t>False</t>
        </is>
      </c>
      <c r="AJ758" s="2" t="str">
        <f>HYPERLINK("https://keepa.com/#!product/1-B0CQ8W2NHN", "https://keepa.com/#!product/1-B0CQ8W2NHN")</f>
      </c>
      <c r="AK758" s="2" t="str">
        <f>HYPERLINK("https://camelcamelcamel.com/search?sq=B0CQ8W2NHN", "https://camelcamelcamel.com/search?sq=B0CQ8W2NHN")</f>
      </c>
      <c r="AL758" t="inlineStr">
        <is>
          <t/>
        </is>
      </c>
      <c r="AM758" s="10">
        <v>45417.11111111111</v>
      </c>
      <c r="AN758" t="inlineStr">
        <is>
          <t>West Bend Stir Crazy Movie Theater Popcorn Popper, Gourmet Popcorn Maker Machine with Nonstick Popcorn Kettle and Popcorn Scoop for Popcorn Machine, 4 Qt., Black</t>
        </is>
      </c>
      <c r="AO758" t="inlineStr">
        <is>
          <t>500</t>
        </is>
      </c>
      <c r="AP758" t="inlineStr">
        <is>
          <t>TAKE ALL</t>
        </is>
      </c>
    </row>
    <row r="759">
      <c r="A759" t="inlineStr">
        <is>
          <t>B0CQK58J33</t>
        </is>
      </c>
      <c r="B759" t="inlineStr">
        <is>
          <t>False</t>
        </is>
      </c>
      <c r="C759" t="inlineStr">
        <is>
          <t>B0CQK58J33</t>
        </is>
      </c>
      <c r="D759" t="inlineStr">
        <is>
          <t>ZCWA</t>
        </is>
      </c>
      <c r="E759" t="inlineStr">
        <is>
          <t>False</t>
        </is>
      </c>
      <c r="F759" t="inlineStr">
        <is>
          <t>ZCWA Robot Vacuum and Mop Combo, 2 in 1 Mopping Robotic Vacuum with WiFi/App, Robotic Vacuum Cleaner, Schedule Settings, Self-Charging, Ideal for Hard Floor, Pet Hair and Low Pile Carpet</t>
        </is>
      </c>
      <c r="G759">
        <v>1</v>
      </c>
      <c r="H759" s="2" t="str">
        <f>HYPERLINK("https://www.amazon.com/dp/B0CQK58J33", "https://www.amazon.com/dp/B0CQK58J33")</f>
      </c>
      <c r="I759" s="3">
        <v>74</v>
      </c>
      <c r="J759" s="4">
        <v>18.13</v>
      </c>
      <c r="K759" s="5">
        <v>0.1308</v>
      </c>
      <c r="L759" s="5">
        <v>0.2014</v>
      </c>
      <c r="M759" t="inlineStr">
        <is>
          <t>True</t>
        </is>
      </c>
      <c r="N759" t="inlineStr">
        <is>
          <t>Home &amp; Kitchen</t>
        </is>
      </c>
      <c r="O759" s="6">
        <v>276668</v>
      </c>
      <c r="P759" s="6">
        <v>104882</v>
      </c>
      <c r="Q759" s="6">
        <v>942</v>
      </c>
      <c r="R759" s="6">
        <v>204</v>
      </c>
      <c r="S759" s="7">
        <v>90</v>
      </c>
      <c r="T759" s="7">
        <v>138.59</v>
      </c>
      <c r="U759">
        <v>161.16</v>
      </c>
      <c r="V759" s="8">
        <v>0</v>
      </c>
      <c r="W759" s="7">
        <v>0</v>
      </c>
      <c r="X759" s="7">
        <v>0</v>
      </c>
      <c r="Y759">
        <v>7.96</v>
      </c>
      <c r="Z759" s="8">
        <v>0</v>
      </c>
      <c r="AB759">
        <v>0</v>
      </c>
      <c r="AC759">
        <v>0</v>
      </c>
      <c r="AD759">
        <v>15</v>
      </c>
      <c r="AE759">
        <v>11</v>
      </c>
      <c r="AF759">
        <v>2</v>
      </c>
      <c r="AG759">
        <v>1</v>
      </c>
      <c r="AH759">
        <v>0</v>
      </c>
      <c r="AI759" t="inlineStr">
        <is>
          <t>True</t>
        </is>
      </c>
      <c r="AJ759" s="2" t="str">
        <f>HYPERLINK("https://keepa.com/#!product/1-B0CQK58J33", "https://keepa.com/#!product/1-B0CQK58J33")</f>
      </c>
      <c r="AK759" s="2" t="str">
        <f>HYPERLINK("https://camelcamelcamel.com/search?sq=B0CQK58J33", "https://camelcamelcamel.com/search?sq=B0CQK58J33")</f>
      </c>
      <c r="AL759" t="inlineStr">
        <is>
          <t/>
        </is>
      </c>
      <c r="AM759" s="10">
        <v>45417.11111111111</v>
      </c>
      <c r="AN759" t="inlineStr">
        <is>
          <t>ZCWA Robot Vacuum and Mop Combo, 2 in 1 Mopping Robotic Vacuum with WiFi/App/Alexa, Robotic Vacuum Cleaner, Schedule Settings, Self-Charging, Ideal for Hard Floor, Pet Hair and Carpet</t>
        </is>
      </c>
      <c r="AO759" t="inlineStr">
        <is>
          <t>400</t>
        </is>
      </c>
      <c r="AP759" t="inlineStr">
        <is>
          <t>200</t>
        </is>
      </c>
    </row>
    <row r="760">
      <c r="A760" t="inlineStr">
        <is>
          <t>B0CR1X5BF1</t>
        </is>
      </c>
      <c r="B760" t="inlineStr">
        <is>
          <t>False</t>
        </is>
      </c>
      <c r="C760" t="inlineStr">
        <is>
          <t>B0CR1X5BF1</t>
        </is>
      </c>
      <c r="D760" t="inlineStr">
        <is>
          <t>TRUFF</t>
        </is>
      </c>
      <c r="E760" t="inlineStr">
        <is>
          <t>False</t>
        </is>
      </c>
      <c r="F760" t="inlineStr">
        <is>
          <t>TRUFF Jalapeño Lime Hot Sauce, Gourmet Hot Sauce with Black Winter Truffles, Green Jalapeño Peppers, Black Truffle Oil, Unique Flavor Experience in a Bottle, 6 oz.</t>
        </is>
      </c>
      <c r="G760">
        <v>1</v>
      </c>
      <c r="H760" s="2" t="str">
        <f>HYPERLINK("https://www.amazon.com/dp/B0CR1X5BF1", "https://www.amazon.com/dp/B0CR1X5BF1")</f>
      </c>
      <c r="I760" s="3">
        <v>5105</v>
      </c>
      <c r="J760" s="11">
        <v>2.27</v>
      </c>
      <c r="K760" s="5">
        <v>0.1263</v>
      </c>
      <c r="L760" s="5">
        <v>0.2838</v>
      </c>
      <c r="M760" t="inlineStr">
        <is>
          <t>True</t>
        </is>
      </c>
      <c r="N760" t="inlineStr">
        <is>
          <t>Grocery &amp; Gourmet Food</t>
        </is>
      </c>
      <c r="O760" s="6">
        <v>1029</v>
      </c>
      <c r="P760" s="6">
        <v>939</v>
      </c>
      <c r="Q760" s="6">
        <v>583</v>
      </c>
      <c r="R760" s="6">
        <v>223</v>
      </c>
      <c r="S760" s="7">
        <v>8</v>
      </c>
      <c r="T760" s="7">
        <v>17.98</v>
      </c>
      <c r="U760">
        <v>17.79</v>
      </c>
      <c r="V760" s="8">
        <v>0</v>
      </c>
      <c r="W760" s="7">
        <v>0</v>
      </c>
      <c r="X760" s="7">
        <v>0</v>
      </c>
      <c r="Y760">
        <v>1.04</v>
      </c>
      <c r="Z760" s="8">
        <v>0</v>
      </c>
      <c r="AB760">
        <v>0</v>
      </c>
      <c r="AC760">
        <v>0</v>
      </c>
      <c r="AD760">
        <v>2</v>
      </c>
      <c r="AE760">
        <v>1</v>
      </c>
      <c r="AF760">
        <v>1</v>
      </c>
      <c r="AG760">
        <v>1</v>
      </c>
      <c r="AH760">
        <v>12</v>
      </c>
      <c r="AI760" t="inlineStr">
        <is>
          <t>False</t>
        </is>
      </c>
      <c r="AJ760" s="2" t="str">
        <f>HYPERLINK("https://keepa.com/#!product/1-B0CR1X5BF1", "https://keepa.com/#!product/1-B0CR1X5BF1")</f>
      </c>
      <c r="AK760" s="2" t="str">
        <f>HYPERLINK("https://camelcamelcamel.com/search?sq=B0CR1X5BF1", "https://camelcamelcamel.com/search?sq=B0CR1X5BF1")</f>
      </c>
      <c r="AL760" t="inlineStr">
        <is>
          <t/>
        </is>
      </c>
      <c r="AM760" s="10">
        <v>45417.11111111111</v>
      </c>
      <c r="AN760" t="inlineStr">
        <is>
          <t>TRUFF JalapeÃ±o Lime Hot Sauce, Gourmet Hot Sauce with Black Winter Truffles, Green JalapeÃ±o Peppers, Black Truffle Oil, Unique Flavor Experience in a Bottle, 6 oz</t>
        </is>
      </c>
      <c r="AO760" t="inlineStr">
        <is>
          <t>635</t>
        </is>
      </c>
      <c r="AP760" t="inlineStr">
        <is>
          <t>TAKE ALL</t>
        </is>
      </c>
    </row>
    <row r="761">
      <c r="A761" t="inlineStr">
        <is>
          <t>B0CRHVK9SX</t>
        </is>
      </c>
      <c r="B761" t="inlineStr">
        <is>
          <t>False</t>
        </is>
      </c>
      <c r="C761" t="inlineStr">
        <is>
          <t>B0CRHVK9SX</t>
        </is>
      </c>
      <c r="D761" t="inlineStr">
        <is>
          <t>Colace</t>
        </is>
      </c>
      <c r="E761" t="inlineStr">
        <is>
          <t>False</t>
        </is>
      </c>
      <c r="F761" t="inlineStr">
        <is>
          <t>Colace Stool Softener Gummies, Gentle Dependable Constipation Relief Magnesium Citrate Gummies, No.1 Doctor Recommended Stool Softener Brand, Berry Flavored 60ct</t>
        </is>
      </c>
      <c r="G761">
        <v>1</v>
      </c>
      <c r="H761" s="2" t="str">
        <f>HYPERLINK("https://www.amazon.com/dp/B0CRHVK9SX", "https://www.amazon.com/dp/B0CRHVK9SX")</f>
      </c>
      <c r="I761" s="3">
        <v>637</v>
      </c>
      <c r="J761" s="12">
        <v>-2.57</v>
      </c>
      <c r="K761" s="13">
        <v>-0.19690000000000002</v>
      </c>
      <c r="L761" s="13">
        <v>-0.2636</v>
      </c>
      <c r="M761" t="inlineStr">
        <is>
          <t>True</t>
        </is>
      </c>
      <c r="N761" t="inlineStr">
        <is>
          <t>Health &amp; Household</t>
        </is>
      </c>
      <c r="O761" s="6">
        <v>31472</v>
      </c>
      <c r="P761" s="6">
        <v>44557</v>
      </c>
      <c r="Q761" s="6">
        <v>10415</v>
      </c>
      <c r="R761" s="6">
        <v>144</v>
      </c>
      <c r="S761" s="7">
        <v>9.75</v>
      </c>
      <c r="T761" s="7">
        <v>13.05</v>
      </c>
      <c r="U761">
        <v>15.21</v>
      </c>
      <c r="V761" s="8">
        <v>0</v>
      </c>
      <c r="W761" s="7">
        <v>0</v>
      </c>
      <c r="X761" s="7">
        <v>0</v>
      </c>
      <c r="Y761">
        <v>0.43</v>
      </c>
      <c r="Z761" s="9">
        <v>0.97</v>
      </c>
      <c r="AB761">
        <v>0</v>
      </c>
      <c r="AC761">
        <v>0</v>
      </c>
      <c r="AD761">
        <v>13</v>
      </c>
      <c r="AE761">
        <v>10</v>
      </c>
      <c r="AF761">
        <v>3</v>
      </c>
      <c r="AG761">
        <v>3</v>
      </c>
      <c r="AH761">
        <v>0</v>
      </c>
      <c r="AI761" t="inlineStr">
        <is>
          <t>False</t>
        </is>
      </c>
      <c r="AJ761" s="2" t="str">
        <f>HYPERLINK("https://keepa.com/#!product/1-B0CRHVK9SX", "https://keepa.com/#!product/1-B0CRHVK9SX")</f>
      </c>
      <c r="AK761" s="2" t="str">
        <f>HYPERLINK("https://camelcamelcamel.com/search?sq=B0CRHVK9SX", "https://camelcamelcamel.com/search?sq=B0CRHVK9SX")</f>
      </c>
      <c r="AL761" t="inlineStr">
        <is>
          <t/>
        </is>
      </c>
      <c r="AM761" s="10">
        <v>45417.11111111111</v>
      </c>
      <c r="AN761" t="inlineStr">
        <is>
          <t>Colace Stool Softener Gummies, Gentle Dependable Constipation Relief Magnesium Citrate Gummies, 1 Doctor Recommended Stool Softener Brand, Berry Flavored 60ct</t>
        </is>
      </c>
      <c r="AO761" t="inlineStr">
        <is>
          <t>2000</t>
        </is>
      </c>
      <c r="AP761" t="inlineStr">
        <is>
          <t>1000</t>
        </is>
      </c>
    </row>
    <row r="762">
      <c r="A762" t="inlineStr">
        <is>
          <t>B0CSB2WDZC</t>
        </is>
      </c>
      <c r="B762" t="inlineStr">
        <is>
          <t>False</t>
        </is>
      </c>
      <c r="C762" t="inlineStr">
        <is>
          <t>B0CSB2WDZC</t>
        </is>
      </c>
      <c r="D762" t="inlineStr">
        <is>
          <t>Generic</t>
        </is>
      </c>
      <c r="E762" t="inlineStr">
        <is>
          <t>False</t>
        </is>
      </c>
      <c r="F762" t="inlineStr">
        <is>
          <t>Neutrogena, Body Oil, Light Sesame Formula, 32 fl. oz. (1Pack)</t>
        </is>
      </c>
      <c r="G762">
        <v>1</v>
      </c>
      <c r="H762" s="2" t="str">
        <f>HYPERLINK("https://www.amazon.com/dp/B0CSB2WDZC", "https://www.amazon.com/dp/B0CSB2WDZC")</f>
      </c>
      <c r="I762" s="3">
        <v>92</v>
      </c>
      <c r="J762" s="11">
        <v>3.61</v>
      </c>
      <c r="K762" s="5">
        <v>0.1094</v>
      </c>
      <c r="L762" s="5">
        <v>0.19510000000000002</v>
      </c>
      <c r="M762" t="inlineStr">
        <is>
          <t>True</t>
        </is>
      </c>
      <c r="N762" t="inlineStr">
        <is>
          <t>Beauty &amp; Personal Care</t>
        </is>
      </c>
      <c r="O762" s="6">
        <v>100230</v>
      </c>
      <c r="P762" s="6">
        <v>158473</v>
      </c>
      <c r="Q762" s="6">
        <v>44046</v>
      </c>
      <c r="R762" s="6">
        <v>84</v>
      </c>
      <c r="S762" s="7">
        <v>18.5</v>
      </c>
      <c r="T762" s="7">
        <v>32.99</v>
      </c>
      <c r="U762">
        <v>35.58</v>
      </c>
      <c r="V762" s="8">
        <v>0</v>
      </c>
      <c r="W762" s="7">
        <v>0</v>
      </c>
      <c r="X762" s="7">
        <v>0</v>
      </c>
      <c r="Y762">
        <v>2.11</v>
      </c>
      <c r="Z762" s="8">
        <v>0</v>
      </c>
      <c r="AB762">
        <v>0</v>
      </c>
      <c r="AC762">
        <v>0</v>
      </c>
      <c r="AD762">
        <v>1</v>
      </c>
      <c r="AE762">
        <v>1</v>
      </c>
      <c r="AF762">
        <v>0</v>
      </c>
      <c r="AG762">
        <v>1</v>
      </c>
      <c r="AH762">
        <v>1</v>
      </c>
      <c r="AI762" t="inlineStr">
        <is>
          <t>False</t>
        </is>
      </c>
      <c r="AJ762" s="2" t="str">
        <f>HYPERLINK("https://keepa.com/#!product/1-B0CSB2WDZC", "https://keepa.com/#!product/1-B0CSB2WDZC")</f>
      </c>
      <c r="AK762" s="2" t="str">
        <f>HYPERLINK("https://camelcamelcamel.com/search?sq=B0CSB2WDZC", "https://camelcamelcamel.com/search?sq=B0CSB2WDZC")</f>
      </c>
      <c r="AL762" t="inlineStr">
        <is>
          <t/>
        </is>
      </c>
      <c r="AM762" s="10">
        <v>45417.11111111111</v>
      </c>
      <c r="AN762" t="inlineStr">
        <is>
          <t>Neutrogena, Body Oil, Light Sesame Formula, 32 fl. oz. (1Pack)</t>
        </is>
      </c>
      <c r="AO762" t="inlineStr">
        <is>
          <t>3024</t>
        </is>
      </c>
      <c r="AP762" t="inlineStr">
        <is>
          <t>500</t>
        </is>
      </c>
    </row>
    <row r="763">
      <c r="A763" t="inlineStr">
        <is>
          <t>B0CSFSBLYN</t>
        </is>
      </c>
      <c r="B763" t="inlineStr">
        <is>
          <t>False</t>
        </is>
      </c>
      <c r="C763" t="inlineStr">
        <is>
          <t>B0CSFSBLYN</t>
        </is>
      </c>
      <c r="D763" t="inlineStr">
        <is>
          <t>ASMOKE</t>
        </is>
      </c>
      <c r="E763" t="inlineStr">
        <is>
          <t>False</t>
        </is>
      </c>
      <c r="F763" t="inlineStr">
        <is>
          <t>ASMOKE Portable Pellet Grill &amp; Smoker - AS350DC Battery Powered ASCA™ Pellet Smoker, 256 sq. Smoker Grill w/Meat Probe, Temp Control Portable Smoker w/Detachable Ash Pan, 8-In-1 Grill Smoker, Blue</t>
        </is>
      </c>
      <c r="G763">
        <v>1</v>
      </c>
      <c r="H763" s="2" t="str">
        <f>HYPERLINK("https://www.amazon.com/dp/B0CSFSBLYN", "https://www.amazon.com/dp/B0CSFSBLYN")</f>
      </c>
      <c r="I763" s="16">
        <v>26</v>
      </c>
      <c r="J763" s="4">
        <v>88.8</v>
      </c>
      <c r="K763" s="5">
        <v>0.222</v>
      </c>
      <c r="L763" s="15">
        <v>0.4254</v>
      </c>
      <c r="M763" t="inlineStr">
        <is>
          <t>True</t>
        </is>
      </c>
      <c r="N763" t="inlineStr">
        <is>
          <t>Patio, Lawn &amp; Garden</t>
        </is>
      </c>
      <c r="O763" s="6">
        <v>166393</v>
      </c>
      <c r="P763" s="6">
        <v>117942</v>
      </c>
      <c r="Q763" s="6">
        <v>28377</v>
      </c>
      <c r="R763" s="6">
        <v>73</v>
      </c>
      <c r="S763" s="7">
        <v>208.75</v>
      </c>
      <c r="T763" s="7">
        <v>399.99</v>
      </c>
      <c r="U763">
        <v>420.76</v>
      </c>
      <c r="V763" s="8">
        <v>0</v>
      </c>
      <c r="W763" s="7">
        <v>0</v>
      </c>
      <c r="X763" s="7">
        <v>0</v>
      </c>
      <c r="Y763">
        <v>50.9</v>
      </c>
      <c r="Z763" s="9">
        <v>0.23</v>
      </c>
      <c r="AB763">
        <v>0</v>
      </c>
      <c r="AC763">
        <v>0</v>
      </c>
      <c r="AD763">
        <v>1</v>
      </c>
      <c r="AE763">
        <v>0</v>
      </c>
      <c r="AF763">
        <v>1</v>
      </c>
      <c r="AG763">
        <v>1</v>
      </c>
      <c r="AH763">
        <v>7</v>
      </c>
      <c r="AI763" t="inlineStr">
        <is>
          <t>True</t>
        </is>
      </c>
      <c r="AJ763" s="2" t="str">
        <f>HYPERLINK("https://keepa.com/#!product/1-B0CSFSBLYN", "https://keepa.com/#!product/1-B0CSFSBLYN")</f>
      </c>
      <c r="AK763" s="2" t="str">
        <f>HYPERLINK("https://camelcamelcamel.com/search?sq=B0CSFSBLYN", "https://camelcamelcamel.com/search?sq=B0CSFSBLYN")</f>
      </c>
      <c r="AL763" t="inlineStr">
        <is>
          <t/>
        </is>
      </c>
      <c r="AM763" s="10">
        <v>45417.11111111111</v>
      </c>
      <c r="AN763" t="inlineStr">
        <is>
          <t>ASMOKE Portable Pellet Grill &amp; Smoker - AS350DC Battery Powered ASCAâ„¢ Pellet Smoker, 256 sq. Smoker Grill w/Meat Probe, Temp Control Portable Smoker w/Detachable Ash Pan, 8-In-1 Grill Smoker, Blue</t>
        </is>
      </c>
      <c r="AO763" t="inlineStr">
        <is>
          <t>20</t>
        </is>
      </c>
      <c r="AP763" t="inlineStr">
        <is>
          <t>TAKE ALL</t>
        </is>
      </c>
    </row>
    <row r="764">
      <c r="A764" t="inlineStr">
        <is>
          <t>B0CSSCPK4G</t>
        </is>
      </c>
      <c r="B764" t="inlineStr">
        <is>
          <t>False</t>
        </is>
      </c>
      <c r="C764" t="inlineStr">
        <is>
          <t>B0CSSCPK4G</t>
        </is>
      </c>
      <c r="D764" t="inlineStr">
        <is>
          <t>DelizeCo</t>
        </is>
      </c>
      <c r="E764" t="inlineStr">
        <is>
          <t>False</t>
        </is>
      </c>
      <c r="F764" t="inlineStr">
        <is>
          <t>DelizeCo PINALEN Original Fresh Pine Multipurpose Cleaner 28 oz, Pack of 9</t>
        </is>
      </c>
      <c r="G764">
        <v>1</v>
      </c>
      <c r="H764" s="2" t="str">
        <f>HYPERLINK("https://www.amazon.com/dp/B0CSSCPK4G", "https://www.amazon.com/dp/B0CSSCPK4G")</f>
      </c>
      <c r="I764" s="14">
        <v>5</v>
      </c>
      <c r="J764" s="4">
        <v>4.48</v>
      </c>
      <c r="K764" s="5">
        <v>0.11199999999999999</v>
      </c>
      <c r="L764" s="15">
        <v>0.3319</v>
      </c>
      <c r="M764" t="inlineStr">
        <is>
          <t>True</t>
        </is>
      </c>
      <c r="N764" t="inlineStr">
        <is>
          <t>Health &amp; Household</t>
        </is>
      </c>
      <c r="O764" s="6">
        <v>1003928</v>
      </c>
      <c r="P764" s="6">
        <v>754508</v>
      </c>
      <c r="Q764" s="6">
        <v>291340</v>
      </c>
      <c r="R764" s="6">
        <v>0</v>
      </c>
      <c r="S764" s="7">
        <v>13.5</v>
      </c>
      <c r="T764" s="7">
        <v>40</v>
      </c>
      <c r="U764">
        <v>42.26</v>
      </c>
      <c r="V764" s="8">
        <v>0</v>
      </c>
      <c r="W764" s="7">
        <v>0</v>
      </c>
      <c r="X764" s="7">
        <v>0</v>
      </c>
      <c r="Y764">
        <v>19</v>
      </c>
      <c r="Z764" s="8">
        <v>0</v>
      </c>
      <c r="AB764">
        <v>0</v>
      </c>
      <c r="AC764">
        <v>0</v>
      </c>
      <c r="AD764">
        <v>3</v>
      </c>
      <c r="AE764">
        <v>0</v>
      </c>
      <c r="AF764">
        <v>3</v>
      </c>
      <c r="AG764">
        <v>1</v>
      </c>
      <c r="AH764">
        <v>1</v>
      </c>
      <c r="AI764" t="inlineStr">
        <is>
          <t>False</t>
        </is>
      </c>
      <c r="AJ764" s="2" t="str">
        <f>HYPERLINK("https://keepa.com/#!product/1-B0CSSCPK4G", "https://keepa.com/#!product/1-B0CSSCPK4G")</f>
      </c>
      <c r="AK764" s="2" t="str">
        <f>HYPERLINK("https://camelcamelcamel.com/search?sq=B0CSSCPK4G", "https://camelcamelcamel.com/search?sq=B0CSSCPK4G")</f>
      </c>
      <c r="AL764" t="inlineStr">
        <is>
          <t/>
        </is>
      </c>
      <c r="AM764" s="10">
        <v>45417.11111111111</v>
      </c>
      <c r="AN764" t="inlineStr">
        <is>
          <t>DelizeCo PINALEN Original Fresh Pine Multipurpose Cleaner 28 oz, Pack of 9</t>
        </is>
      </c>
      <c r="AO764" t="inlineStr">
        <is>
          <t>1500</t>
        </is>
      </c>
      <c r="AP764" t="inlineStr">
        <is>
          <t>600</t>
        </is>
      </c>
    </row>
    <row r="765">
      <c r="A765" t="inlineStr">
        <is>
          <t>B0CTGTGQ89</t>
        </is>
      </c>
      <c r="B765" t="inlineStr">
        <is>
          <t>False</t>
        </is>
      </c>
      <c r="C765" t="inlineStr">
        <is>
          <t>B0CTGTGQ89</t>
        </is>
      </c>
      <c r="D765" t="inlineStr">
        <is>
          <t>ANIEKIN</t>
        </is>
      </c>
      <c r="E765" t="inlineStr">
        <is>
          <t>False</t>
        </is>
      </c>
      <c r="F765" t="inlineStr">
        <is>
          <t>ANIEKIN Hair Dryer, 1875W Ionic Blow Dryer with Diffuser, Professional Portable Hair Dryers &amp; Accessories for Women Curly Hair, Grey</t>
        </is>
      </c>
      <c r="G765">
        <v>1</v>
      </c>
      <c r="H765" s="2" t="str">
        <f>HYPERLINK("https://www.amazon.com/dp/B0CTGTGQ89", "https://www.amazon.com/dp/B0CTGTGQ89")</f>
      </c>
      <c r="I765" s="3">
        <v>14910</v>
      </c>
      <c r="J765" s="12">
        <v>-1.51</v>
      </c>
      <c r="K765" s="13">
        <v>-0.084</v>
      </c>
      <c r="L765" s="13">
        <v>-0.1208</v>
      </c>
      <c r="M765" t="inlineStr">
        <is>
          <t>True</t>
        </is>
      </c>
      <c r="N765" t="inlineStr">
        <is>
          <t>Beauty &amp; Personal Care</t>
        </is>
      </c>
      <c r="O765" s="6">
        <v>814</v>
      </c>
      <c r="P765" s="6">
        <v>64660</v>
      </c>
      <c r="Q765" s="6">
        <v>305</v>
      </c>
      <c r="R765" s="6">
        <v>170</v>
      </c>
      <c r="S765" s="7">
        <v>12.5</v>
      </c>
      <c r="T765" s="7">
        <v>17.97</v>
      </c>
      <c r="U765">
        <v>25.46</v>
      </c>
      <c r="V765" s="8">
        <v>0</v>
      </c>
      <c r="W765" s="7">
        <v>0</v>
      </c>
      <c r="X765" s="7">
        <v>0</v>
      </c>
      <c r="Y765">
        <v>1.63</v>
      </c>
      <c r="Z765" s="8">
        <v>0</v>
      </c>
      <c r="AB765">
        <v>0</v>
      </c>
      <c r="AC765">
        <v>0</v>
      </c>
      <c r="AD765">
        <v>4</v>
      </c>
      <c r="AE765">
        <v>3</v>
      </c>
      <c r="AF765">
        <v>1</v>
      </c>
      <c r="AG765">
        <v>1</v>
      </c>
      <c r="AH765">
        <v>3</v>
      </c>
      <c r="AI765" t="inlineStr">
        <is>
          <t>False</t>
        </is>
      </c>
      <c r="AJ765" s="2" t="str">
        <f>HYPERLINK("https://keepa.com/#!product/1-B0CTGTGQ89", "https://keepa.com/#!product/1-B0CTGTGQ89")</f>
      </c>
      <c r="AK765" s="2" t="str">
        <f>HYPERLINK("https://camelcamelcamel.com/search?sq=B0CTGTGQ89", "https://camelcamelcamel.com/search?sq=B0CTGTGQ89")</f>
      </c>
      <c r="AL765" t="inlineStr">
        <is>
          <t/>
        </is>
      </c>
      <c r="AM765" s="10">
        <v>45417.11111111111</v>
      </c>
      <c r="AN765" t="inlineStr">
        <is>
          <t>ANIEKIN Hair Dryer with Diffuser, 1875W Ionic Blow Dryer, Professional Portable Hair Dryers &amp; Accessories for Women Curly Hair, Grey</t>
        </is>
      </c>
      <c r="AO765" t="inlineStr">
        <is>
          <t>100</t>
        </is>
      </c>
      <c r="AP765" t="inlineStr">
        <is>
          <t>50</t>
        </is>
      </c>
    </row>
    <row r="766">
      <c r="A766" t="inlineStr">
        <is>
          <t>B0CTQ52ZGC</t>
        </is>
      </c>
      <c r="B766" t="inlineStr">
        <is>
          <t>False</t>
        </is>
      </c>
      <c r="C766" t="inlineStr">
        <is>
          <t>B0CTQ52ZGC</t>
        </is>
      </c>
      <c r="D766" t="inlineStr">
        <is>
          <t>Fezen</t>
        </is>
      </c>
      <c r="E766" t="inlineStr">
        <is>
          <t>False</t>
        </is>
      </c>
      <c r="F766" t="inlineStr">
        <is>
          <t>Juicer Machines, FEZEN Slow Masticating Juicer Easy to Clean, 95% Juice Yield, Reverse Function &amp; Quiet Motor &amp; Portable Handle, Brush &amp; Recipe, Cold Press Juicer for Vegetables and Fruits (White)</t>
        </is>
      </c>
      <c r="G766">
        <v>1</v>
      </c>
      <c r="H766" s="2" t="str">
        <f>HYPERLINK("https://www.amazon.com/dp/B0CTQ52ZGC", "https://www.amazon.com/dp/B0CTQ52ZGC")</f>
      </c>
      <c r="I766" s="14">
        <v>5</v>
      </c>
      <c r="J766" s="12">
        <v>-100.32</v>
      </c>
      <c r="K766" s="13">
        <v>-1.2542</v>
      </c>
      <c r="L766" s="13">
        <v>-0.6349</v>
      </c>
      <c r="M766" t="inlineStr">
        <is>
          <t>True</t>
        </is>
      </c>
      <c r="N766" t="inlineStr">
        <is>
          <t>Kitchen &amp; Dining</t>
        </is>
      </c>
      <c r="O766" s="6">
        <v>254480</v>
      </c>
      <c r="P766" s="6">
        <v>269363</v>
      </c>
      <c r="Q766" s="6">
        <v>10136</v>
      </c>
      <c r="R766" s="6">
        <v>21</v>
      </c>
      <c r="S766" s="7">
        <v>158</v>
      </c>
      <c r="T766" s="7">
        <v>79.99</v>
      </c>
      <c r="U766">
        <v>184.53</v>
      </c>
      <c r="V766" s="8">
        <v>0</v>
      </c>
      <c r="W766" s="7">
        <v>0</v>
      </c>
      <c r="X766" s="7">
        <v>0</v>
      </c>
      <c r="Y766">
        <v>10.05</v>
      </c>
      <c r="Z766" s="8">
        <v>0</v>
      </c>
      <c r="AB766">
        <v>0</v>
      </c>
      <c r="AC766">
        <v>0</v>
      </c>
      <c r="AD766">
        <v>2</v>
      </c>
      <c r="AE766">
        <v>2</v>
      </c>
      <c r="AF766">
        <v>0</v>
      </c>
      <c r="AG766">
        <v>2</v>
      </c>
      <c r="AH766">
        <v>0</v>
      </c>
      <c r="AI766" t="inlineStr">
        <is>
          <t>False</t>
        </is>
      </c>
      <c r="AJ766" s="2" t="str">
        <f>HYPERLINK("https://keepa.com/#!product/1-B0CTQ52ZGC", "https://keepa.com/#!product/1-B0CTQ52ZGC")</f>
      </c>
      <c r="AK766" s="2" t="str">
        <f>HYPERLINK("https://camelcamelcamel.com/search?sq=B0CTQ52ZGC", "https://camelcamelcamel.com/search?sq=B0CTQ52ZGC")</f>
      </c>
      <c r="AL766" t="inlineStr">
        <is>
          <t/>
        </is>
      </c>
      <c r="AM766" s="10">
        <v>45417.11111111111</v>
      </c>
      <c r="AN766" t="inlineStr">
        <is>
          <t>Juicer Machines, FEZEN Slow Masticating Juicer Easy to Clean, 95% Juice Yield, Reverse Function &amp; Quiet Motor &amp; Portable Handle, Brush &amp; Recipe, Cold Press Juicer for Vegetables and Fruits (White</t>
        </is>
      </c>
      <c r="AO766" t="inlineStr">
        <is>
          <t>37</t>
        </is>
      </c>
      <c r="AP766" t="inlineStr">
        <is>
          <t>TAKE ALL</t>
        </is>
      </c>
    </row>
    <row r="767">
      <c r="A767" t="inlineStr">
        <is>
          <t>B0CV9RCJMX</t>
        </is>
      </c>
      <c r="B767" t="inlineStr">
        <is>
          <t>False</t>
        </is>
      </c>
      <c r="C767" t="inlineStr">
        <is>
          <t>B0CV9RCJMX</t>
        </is>
      </c>
      <c r="D767" t="inlineStr">
        <is>
          <t>SAMSUNG</t>
        </is>
      </c>
      <c r="E767" t="inlineStr">
        <is>
          <t>True</t>
        </is>
      </c>
      <c r="F767" t="inlineStr">
        <is>
          <t>SAMSUNG 50-Inch Class QLED 4K Q60D Series Quantum HDR Smart TV w/Object Tracking Sound Lite, Motion Xcelerator, Slim Design, Gaming Hub, Alexa Built-in (QN50Q60D, 2024 Model)</t>
        </is>
      </c>
      <c r="G767">
        <v>1</v>
      </c>
      <c r="H767" s="2" t="str">
        <f>HYPERLINK("https://www.amazon.com/dp/B0CV9RCJMX", "https://www.amazon.com/dp/B0CV9RCJMX")</f>
      </c>
      <c r="I767" s="3">
        <v>348</v>
      </c>
      <c r="J767" s="4">
        <v>79.55</v>
      </c>
      <c r="K767" s="5">
        <v>0.12869999999999998</v>
      </c>
      <c r="L767" s="5">
        <v>0.1788</v>
      </c>
      <c r="M767" t="inlineStr">
        <is>
          <t>True</t>
        </is>
      </c>
      <c r="N767" t="inlineStr">
        <is>
          <t>Electronics</t>
        </is>
      </c>
      <c r="O767" s="6">
        <v>11860</v>
      </c>
      <c r="P767" s="6">
        <v>28803</v>
      </c>
      <c r="Q767" s="6">
        <v>7032</v>
      </c>
      <c r="R767" s="6">
        <v>107</v>
      </c>
      <c r="S767" s="7">
        <v>445</v>
      </c>
      <c r="T767" s="7">
        <v>617.99</v>
      </c>
      <c r="U767">
        <v>647.99</v>
      </c>
      <c r="V767" s="8">
        <v>0</v>
      </c>
      <c r="W767" s="7">
        <v>0</v>
      </c>
      <c r="X767" s="7">
        <v>0</v>
      </c>
      <c r="Y767">
        <v>34</v>
      </c>
      <c r="Z767" s="9">
        <v>0.63</v>
      </c>
      <c r="AB767">
        <v>0</v>
      </c>
      <c r="AC767">
        <v>0</v>
      </c>
      <c r="AD767">
        <v>112</v>
      </c>
      <c r="AE767">
        <v>2</v>
      </c>
      <c r="AF767">
        <v>106</v>
      </c>
      <c r="AG767">
        <v>1</v>
      </c>
      <c r="AH767">
        <v>8</v>
      </c>
      <c r="AI767" t="inlineStr">
        <is>
          <t>False</t>
        </is>
      </c>
      <c r="AJ767" s="2" t="str">
        <f>HYPERLINK("https://keepa.com/#!product/1-B0CV9RCJMX", "https://keepa.com/#!product/1-B0CV9RCJMX")</f>
      </c>
      <c r="AK767" s="2" t="str">
        <f>HYPERLINK("https://camelcamelcamel.com/search?sq=B0CV9RCJMX", "https://camelcamelcamel.com/search?sq=B0CV9RCJMX")</f>
      </c>
      <c r="AL767" t="inlineStr">
        <is>
          <t/>
        </is>
      </c>
      <c r="AM767" s="10">
        <v>45417.11111111111</v>
      </c>
      <c r="AN767" t="inlineStr">
        <is>
          <t>SAMSUNG 50-Inch Class QLED 4K Q60D Series Quantum HDR Smart TV w/Object Tracking Sound Lite, Motion Xcelerator, Slim Design, Gaming Hub, Alexa Built-in (QN50Q60D, 2024 Model)</t>
        </is>
      </c>
      <c r="AO767" t="inlineStr">
        <is>
          <t>60</t>
        </is>
      </c>
      <c r="AP767" t="inlineStr">
        <is>
          <t>TAKE ALL</t>
        </is>
      </c>
    </row>
    <row r="768">
      <c r="A768" t="inlineStr">
        <is>
          <t>B0CXPWMZQS</t>
        </is>
      </c>
      <c r="B768" t="inlineStr">
        <is>
          <t>False</t>
        </is>
      </c>
      <c r="C768" t="inlineStr">
        <is>
          <t>B0CXPWMZQS</t>
        </is>
      </c>
      <c r="D768" t="inlineStr">
        <is>
          <t>Insta360</t>
        </is>
      </c>
      <c r="E768" t="inlineStr">
        <is>
          <t>False</t>
        </is>
      </c>
      <c r="F768" t="inlineStr">
        <is>
          <t>Insta360 X4 - Waterproof 8K 360 Action Camera, 4K Wide-Angle Video, Invisible Selfie Stick Effect, Removable Lens Guards, 135 Min Battery Life, AI Editing, Stabilization, for Sports, Travel, Outdoor</t>
        </is>
      </c>
      <c r="G768">
        <v>1</v>
      </c>
      <c r="H768" s="2" t="str">
        <f>HYPERLINK("https://www.amazon.com/dp/B0CXPWMZQS", "https://www.amazon.com/dp/B0CXPWMZQS")</f>
      </c>
      <c r="I768" s="3">
        <v>4156</v>
      </c>
      <c r="J768" s="4">
        <v>155.96</v>
      </c>
      <c r="K768" s="15">
        <v>0.3119</v>
      </c>
      <c r="L768" s="15">
        <v>0.5225</v>
      </c>
      <c r="M768" t="inlineStr">
        <is>
          <t>True</t>
        </is>
      </c>
      <c r="N768" t="inlineStr">
        <is>
          <t>Electronics</t>
        </is>
      </c>
      <c r="O768" s="6">
        <v>751</v>
      </c>
      <c r="P768" s="6">
        <v>661</v>
      </c>
      <c r="Q768" s="6">
        <v>110</v>
      </c>
      <c r="R768" s="6">
        <v>38</v>
      </c>
      <c r="S768" s="7">
        <v>298.5</v>
      </c>
      <c r="T768" s="7">
        <v>499.99</v>
      </c>
      <c r="U768">
        <v>499.98</v>
      </c>
      <c r="V768" s="8">
        <v>0</v>
      </c>
      <c r="W768" s="7">
        <v>0</v>
      </c>
      <c r="X768" s="7">
        <v>0</v>
      </c>
      <c r="Y768">
        <v>1.39</v>
      </c>
      <c r="Z768" s="8">
        <v>0</v>
      </c>
      <c r="AB768">
        <v>0</v>
      </c>
      <c r="AC768">
        <v>0</v>
      </c>
      <c r="AD768">
        <v>2</v>
      </c>
      <c r="AE768">
        <v>2</v>
      </c>
      <c r="AF768">
        <v>0</v>
      </c>
      <c r="AG768">
        <v>2</v>
      </c>
      <c r="AH768">
        <v>0</v>
      </c>
      <c r="AI768" t="inlineStr">
        <is>
          <t>True</t>
        </is>
      </c>
      <c r="AJ768" s="2" t="str">
        <f>HYPERLINK("https://keepa.com/#!product/1-B0CXPWMZQS", "https://keepa.com/#!product/1-B0CXPWMZQS")</f>
      </c>
      <c r="AK768" s="2" t="str">
        <f>HYPERLINK("https://camelcamelcamel.com/search?sq=B0CXPWMZQS", "https://camelcamelcamel.com/search?sq=B0CXPWMZQS")</f>
      </c>
      <c r="AL768" t="inlineStr">
        <is>
          <t/>
        </is>
      </c>
      <c r="AM768" s="10">
        <v>45417.11111111111</v>
      </c>
      <c r="AN768" t="inlineStr">
        <is>
          <t>Insta360 X4 - Waterproof 8K 360 Action Camera, 4K Wide-Angle Video, Invisible Selfie Stick, Removable Lens Guards, 135 Min Battery Life, AI Editing, Stabilization, for Sports, Travel, Outdoor</t>
        </is>
      </c>
      <c r="AO768" t="inlineStr">
        <is>
          <t>500</t>
        </is>
      </c>
      <c r="AP768" t="inlineStr">
        <is>
          <t>TAKE ALL</t>
        </is>
      </c>
    </row>
    <row r="769">
      <c r="A769" t="inlineStr">
        <is>
          <t>Not found on Amazon</t>
        </is>
      </c>
      <c r="C769" t="inlineStr">
        <is>
          <t>000WALMART</t>
        </is>
      </c>
      <c r="S769" s="7">
        <v>10</v>
      </c>
      <c r="AM769" s="10">
        <v>45417.11111111111</v>
      </c>
      <c r="AN769" t="inlineStr">
        <is>
          <t>PDP Controller Rematch Glow Wired Jolt Green GlowInDark Xbox</t>
        </is>
      </c>
      <c r="AO769" t="inlineStr">
        <is>
          <t>1308</t>
        </is>
      </c>
      <c r="AP769" t="inlineStr">
        <is>
          <t>TAKE ALL</t>
        </is>
      </c>
    </row>
    <row r="770">
      <c r="A770" t="inlineStr">
        <is>
          <t>Not found on Amazon</t>
        </is>
      </c>
      <c r="C770" t="inlineStr">
        <is>
          <t>0B07CCDKT6</t>
        </is>
      </c>
      <c r="S770" s="7">
        <v>12.5</v>
      </c>
      <c r="AM770" s="10">
        <v>45417.11111111111</v>
      </c>
      <c r="AN770" t="inlineStr">
        <is>
          <t>Seventh Generation Pantiliners Pads Absorbent pads Light Absorbency Chlorine Free Pads 100 count</t>
        </is>
      </c>
      <c r="AO770" t="inlineStr">
        <is>
          <t>2500</t>
        </is>
      </c>
      <c r="AP770" t="inlineStr">
        <is>
          <t>600</t>
        </is>
      </c>
    </row>
    <row r="771">
      <c r="A771" t="inlineStr">
        <is>
          <t>Not found on Amazon</t>
        </is>
      </c>
      <c r="C771" t="inlineStr">
        <is>
          <t>0B07ZGXJYZ</t>
        </is>
      </c>
      <c r="S771" s="7">
        <v>4.5</v>
      </c>
      <c r="AM771" s="10">
        <v>45417.11111111111</v>
      </c>
      <c r="AN771" t="inlineStr">
        <is>
          <t>Garnier Nutrisse 5 Minute Nourishing Color Hair Mask with Triple Oils Delivers Day 1 Color Results, for Color Treated Hair, Warm Brown, 4.2 fl. oz.</t>
        </is>
      </c>
      <c r="AO771" t="inlineStr">
        <is>
          <t>300</t>
        </is>
      </c>
      <c r="AP771" t="inlineStr">
        <is>
          <t>TAKE ALL</t>
        </is>
      </c>
    </row>
    <row r="772">
      <c r="A772" t="inlineStr">
        <is>
          <t>Not found on Amazon</t>
        </is>
      </c>
      <c r="C772" t="inlineStr">
        <is>
          <t>B00032BPCMP</t>
        </is>
      </c>
      <c r="S772" s="7">
        <v>3.25</v>
      </c>
      <c r="AM772" s="10">
        <v>45417.11111111111</v>
      </c>
      <c r="AN772" t="inlineStr">
        <is>
          <t>Arm &amp; Hammer Pure Baking Soda, 8 oz</t>
        </is>
      </c>
      <c r="AO772" t="inlineStr">
        <is>
          <t>4224</t>
        </is>
      </c>
      <c r="AP772" t="inlineStr">
        <is>
          <t>1056</t>
        </is>
      </c>
    </row>
    <row r="773">
      <c r="A773" t="inlineStr">
        <is>
          <t>Not found on Amazon</t>
        </is>
      </c>
      <c r="C773" t="inlineStr">
        <is>
          <t>B0012BNVE8</t>
        </is>
      </c>
      <c r="S773" s="7">
        <v>27.25</v>
      </c>
      <c r="AM773" s="10">
        <v>45417.11111111111</v>
      </c>
      <c r="AN773" t="inlineStr">
        <is>
          <t>Men's Rogaine 5% Minoxidil Topical Aerosol Hair Regrowth Treatment Foam, 3 Month Supply (Each Can 2.11 Ounce - 60 Gram)</t>
        </is>
      </c>
      <c r="AO773" t="inlineStr">
        <is>
          <t>1000</t>
        </is>
      </c>
      <c r="AP773" t="inlineStr">
        <is>
          <t>TAKE ALL</t>
        </is>
      </c>
    </row>
    <row r="774">
      <c r="A774" t="inlineStr">
        <is>
          <t>Not found on Amazon</t>
        </is>
      </c>
      <c r="C774" t="inlineStr">
        <is>
          <t>B001QW9B5Q</t>
        </is>
      </c>
      <c r="S774" s="7">
        <v>31.25</v>
      </c>
      <c r="AM774" s="10">
        <v>45417.11111111111</v>
      </c>
      <c r="AN774" t="inlineStr">
        <is>
          <t>Herbalife Formula 1 Shake Mix - French Vanilla (750g)</t>
        </is>
      </c>
      <c r="AO774" t="inlineStr">
        <is>
          <t>1200</t>
        </is>
      </c>
      <c r="AP774" t="inlineStr">
        <is>
          <t>600</t>
        </is>
      </c>
    </row>
    <row r="775">
      <c r="A775" t="inlineStr">
        <is>
          <t>Not found on Amazon</t>
        </is>
      </c>
      <c r="C775" t="inlineStr">
        <is>
          <t>B001U582SQ</t>
        </is>
      </c>
      <c r="S775" s="7">
        <v>28.5</v>
      </c>
      <c r="AM775" s="10">
        <v>45417.11111111111</v>
      </c>
      <c r="AN775" t="inlineStr">
        <is>
          <t>GIORGIO ARMANI Acqua Di Gio Men Eau-de-toilette, 3.4-Fluid Ounce</t>
        </is>
      </c>
      <c r="AO775" t="inlineStr">
        <is>
          <t>800</t>
        </is>
      </c>
      <c r="AP775" t="inlineStr">
        <is>
          <t>400</t>
        </is>
      </c>
    </row>
    <row r="776">
      <c r="A776" t="inlineStr">
        <is>
          <t>Not found on Amazon</t>
        </is>
      </c>
      <c r="C776" t="inlineStr">
        <is>
          <t>B0059CVEDGR</t>
        </is>
      </c>
      <c r="S776" s="7">
        <v>15.5</v>
      </c>
      <c r="AM776" s="10">
        <v>45417.11111111111</v>
      </c>
      <c r="AN776" t="inlineStr">
        <is>
          <t>Nike Dri-Fit Crew 6-Pair Pack</t>
        </is>
      </c>
      <c r="AO776" t="inlineStr">
        <is>
          <t>1000</t>
        </is>
      </c>
      <c r="AP776" t="inlineStr">
        <is>
          <t>500</t>
        </is>
      </c>
    </row>
    <row r="777">
      <c r="A777" t="inlineStr">
        <is>
          <t>Not found on Amazon</t>
        </is>
      </c>
      <c r="C777" t="inlineStr">
        <is>
          <t>B00NR1YQHM</t>
        </is>
      </c>
      <c r="S777" s="7">
        <v>8.5</v>
      </c>
      <c r="AM777" s="10">
        <v>45417.11111111111</v>
      </c>
      <c r="AN777" t="inlineStr">
        <is>
          <t>Neutrogena Hydro Boost Face Moisturizer with Hyaluronic Acid for Dry Skin, Oil-Free and Non-Comedogenic Water Gel Face Lotion, 1.7 oz</t>
        </is>
      </c>
      <c r="AO777" t="inlineStr">
        <is>
          <t>20000</t>
        </is>
      </c>
      <c r="AP777" t="inlineStr">
        <is>
          <t>5000</t>
        </is>
      </c>
    </row>
    <row r="778">
      <c r="A778" t="inlineStr">
        <is>
          <t>Not found on Amazon</t>
        </is>
      </c>
      <c r="C778" t="inlineStr">
        <is>
          <t>B07FKG7W63</t>
        </is>
      </c>
      <c r="S778" s="7">
        <v>7.5</v>
      </c>
      <c r="AM778" s="10">
        <v>45417.11111111111</v>
      </c>
      <c r="AN778" t="inlineStr">
        <is>
          <t>Nike Unisex Everyday Cushion Crew 3 Pair</t>
        </is>
      </c>
      <c r="AO778" t="inlineStr">
        <is>
          <t>259</t>
        </is>
      </c>
      <c r="AP778" t="inlineStr">
        <is>
          <t>TAKE ALL</t>
        </is>
      </c>
    </row>
    <row r="779">
      <c r="A779" t="inlineStr">
        <is>
          <t>Not found on Amazon</t>
        </is>
      </c>
      <c r="C779" t="inlineStr">
        <is>
          <t>B07K7P7FYD</t>
        </is>
      </c>
      <c r="S779" s="7">
        <v>29.95</v>
      </c>
      <c r="AM779" s="10">
        <v>45417.11111111111</v>
      </c>
      <c r="AN779" t="inlineStr">
        <is>
          <t>Mayluck Handheld Inhaler Tabletop Nebulizer Strong Mist for Kids Adults</t>
        </is>
      </c>
      <c r="AO779" t="inlineStr">
        <is>
          <t>2000</t>
        </is>
      </c>
      <c r="AP779" t="inlineStr">
        <is>
          <t>1000</t>
        </is>
      </c>
    </row>
    <row r="780">
      <c r="A780" t="inlineStr">
        <is>
          <t>Not found on Amazon</t>
        </is>
      </c>
      <c r="C780" t="inlineStr">
        <is>
          <t>B084BZGSR5</t>
        </is>
      </c>
      <c r="S780" s="7">
        <v>10</v>
      </c>
      <c r="AM780" s="10">
        <v>45417.11111111111</v>
      </c>
      <c r="AN780" t="inlineStr">
        <is>
          <t>Nespresso Descaling Solution, Fits all Models, 1 Pack (2 count)</t>
        </is>
      </c>
      <c r="AO780" t="inlineStr">
        <is>
          <t>2000</t>
        </is>
      </c>
      <c r="AP780" t="inlineStr">
        <is>
          <t>1000</t>
        </is>
      </c>
    </row>
    <row r="781">
      <c r="A781" t="inlineStr">
        <is>
          <t>Not found on Amazon</t>
        </is>
      </c>
      <c r="C781" t="inlineStr">
        <is>
          <t>B08BTB2H5N</t>
        </is>
      </c>
      <c r="S781" s="7">
        <v>11.25</v>
      </c>
      <c r="AM781" s="10">
        <v>45417.11111111111</v>
      </c>
      <c r="AN781" t="inlineStr">
        <is>
          <t>Liquid Hand Soap, Micellar Deep Cleansing, Fresh Clean Scent (40 oz.)</t>
        </is>
      </c>
      <c r="AO781" t="inlineStr">
        <is>
          <t>400</t>
        </is>
      </c>
      <c r="AP781" t="inlineStr">
        <is>
          <t>TAKE ALL</t>
        </is>
      </c>
    </row>
    <row r="782">
      <c r="A782" t="inlineStr">
        <is>
          <t>Not found on Amazon</t>
        </is>
      </c>
      <c r="C782" t="inlineStr">
        <is>
          <t>B08G1ZBKGP</t>
        </is>
      </c>
      <c r="S782" s="7">
        <v>63.75</v>
      </c>
      <c r="AM782" s="10">
        <v>45417.11111111111</v>
      </c>
      <c r="AN782" t="inlineStr">
        <is>
          <t>Skullcandy Hesh ANC - Black (Discontinued by Manufacturer)</t>
        </is>
      </c>
      <c r="AO782" t="inlineStr">
        <is>
          <t>3000</t>
        </is>
      </c>
      <c r="AP782" t="inlineStr">
        <is>
          <t>TAKE ALL</t>
        </is>
      </c>
    </row>
    <row r="783">
      <c r="A783" t="inlineStr">
        <is>
          <t>Not found on Amazon</t>
        </is>
      </c>
      <c r="C783" t="inlineStr">
        <is>
          <t>B09DJJQGCNR</t>
        </is>
      </c>
      <c r="S783" s="7">
        <v>49</v>
      </c>
      <c r="AM783" s="10">
        <v>45417.11111111111</v>
      </c>
      <c r="AN783" t="inlineStr">
        <is>
          <t>BLACK+DECKER POWERSERIES+ 20V MAX Cordless Vacuum, LED Floor Lights, Autosense Technology, For Multi-Surfaces (BHFEA520J), White</t>
        </is>
      </c>
      <c r="AO783" t="inlineStr">
        <is>
          <t>1000</t>
        </is>
      </c>
      <c r="AP783" t="inlineStr">
        <is>
          <t>250</t>
        </is>
      </c>
    </row>
    <row r="784">
      <c r="A784" t="inlineStr">
        <is>
          <t>Not found on Amazon</t>
        </is>
      </c>
      <c r="C784" t="inlineStr">
        <is>
          <t>B0B1TMX3B6TH1</t>
        </is>
      </c>
      <c r="S784" s="7">
        <v>55.5</v>
      </c>
      <c r="AM784" s="10">
        <v>45417.11111111111</v>
      </c>
      <c r="AN784" t="inlineStr">
        <is>
          <t>NineSky Dehumidifier for Home, 85 OZ Water Tank, (800 sq.ft) Dehumidifiers for Bathroom Bedroom with Auto Shut Off,7 Colors LED Light(White)</t>
        </is>
      </c>
      <c r="AO784" t="inlineStr">
        <is>
          <t>360</t>
        </is>
      </c>
      <c r="AP784" t="inlineStr">
        <is>
          <t>TAKE ALL</t>
        </is>
      </c>
    </row>
    <row r="785">
      <c r="A785" t="inlineStr">
        <is>
          <t>Not found on Amazon</t>
        </is>
      </c>
      <c r="C785" t="inlineStr">
        <is>
          <t>B0BWDBNJJG</t>
        </is>
      </c>
      <c r="S785" s="7">
        <v>35.25</v>
      </c>
      <c r="AM785" s="10">
        <v>45417.11111111111</v>
      </c>
      <c r="AN785" t="inlineStr">
        <is>
          <t>Lemon Herbal Tea Concentrate by HERBALIFE: Gluten-Free, Kosher Certified, and No Artificial Flavors or Sweeteners - 3.6 Oz. (102g)</t>
        </is>
      </c>
      <c r="AO785" t="inlineStr">
        <is>
          <t>100</t>
        </is>
      </c>
      <c r="AP785" t="inlineStr">
        <is>
          <t>TAKE ALL</t>
        </is>
      </c>
    </row>
    <row r="786">
      <c r="A786" t="inlineStr">
        <is>
          <t>Not found on Amazon</t>
        </is>
      </c>
      <c r="C786" t="inlineStr">
        <is>
          <t>B0CB9BLR2R</t>
        </is>
      </c>
      <c r="S786" s="7">
        <v>22</v>
      </c>
      <c r="AM786" s="10">
        <v>45417.11111111111</v>
      </c>
      <c r="AN786" t="inlineStr">
        <is>
          <t>Clinique New Dramatically Different Moisturizing Lotion+ 8.5oz/250ml</t>
        </is>
      </c>
      <c r="AO786" t="inlineStr">
        <is>
          <t>200</t>
        </is>
      </c>
      <c r="AP786" t="inlineStr">
        <is>
          <t>100</t>
        </is>
      </c>
    </row>
    <row r="787">
      <c r="A787" t="inlineStr">
        <is>
          <t>Not found on Amazon</t>
        </is>
      </c>
      <c r="C787" t="inlineStr">
        <is>
          <t>B0CXDT8S63</t>
        </is>
      </c>
      <c r="S787" s="7">
        <v>10</v>
      </c>
      <c r="AM787" s="10">
        <v>45417.11111111111</v>
      </c>
      <c r="AN787" t="inlineStr">
        <is>
          <t>Puri-tans Pride CoQ10 200mg - 240 Softgels, Promoting Energy Production, Healthy Supplement, Energy Supplement, Gluten Free</t>
        </is>
      </c>
      <c r="AO787" t="inlineStr">
        <is>
          <t>2160</t>
        </is>
      </c>
      <c r="AP787" t="inlineStr">
        <is>
          <t>TAKE ALL</t>
        </is>
      </c>
    </row>
  </sheetData>
</worksheet>
</file>

<file path=docProps/app.xml><?xml version="1.0" encoding="utf-8"?>
<Properties xmlns="http://schemas.openxmlformats.org/officeDocument/2006/extended-properties">
  <Application>LargeXlsx/1.9.1</Application>
  <AppVersion>15.0000</AppVersion>
</Properties>
</file>